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ables/table6.xml" ContentType="application/vnd.openxmlformats-officedocument.spreadsheetml.table+xml"/>
  <Override PartName="/xl/comments2.xml" ContentType="application/vnd.openxmlformats-officedocument.spreadsheetml.comments+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G:\Meu Drive\GUARANI\COMERCIAL\VENDAS\"/>
    </mc:Choice>
  </mc:AlternateContent>
  <xr:revisionPtr revIDLastSave="0" documentId="13_ncr:1_{E776D53B-B1FA-44A8-A03D-3CAD20FB318D}" xr6:coauthVersionLast="47" xr6:coauthVersionMax="47" xr10:uidLastSave="{00000000-0000-0000-0000-000000000000}"/>
  <bookViews>
    <workbookView xWindow="-21720" yWindow="660" windowWidth="21840" windowHeight="13020" tabRatio="1000" activeTab="3" xr2:uid="{00000000-000D-0000-FFFF-FFFF00000000}"/>
  </bookViews>
  <sheets>
    <sheet name="Pendentes" sheetId="1" r:id="rId1"/>
    <sheet name="2026" sheetId="2" r:id="rId2"/>
    <sheet name="Metas Quadro" sheetId="3" r:id="rId3"/>
    <sheet name="QtdeMetas" sheetId="4" r:id="rId4"/>
    <sheet name="KPI" sheetId="5" r:id="rId5"/>
    <sheet name="Forecast" sheetId="6" r:id="rId6"/>
    <sheet name="||" sheetId="7" r:id="rId7"/>
    <sheet name="KPI-Metas" sheetId="8" r:id="rId8"/>
    <sheet name="FU - Vendas2026-fev" sheetId="9" r:id="rId9"/>
    <sheet name="FU - Vendas2026-jan" sheetId="10" r:id="rId10"/>
    <sheet name="AnaliseT1" sheetId="11" r:id="rId11"/>
    <sheet name="Resumo de Vendas" sheetId="12" r:id="rId12"/>
    <sheet name="2025" sheetId="13" r:id="rId13"/>
    <sheet name="Comissao Pagas" sheetId="14" r:id="rId14"/>
    <sheet name="opportunity_12_01_2026_22_48_52" sheetId="15" state="hidden" r:id="rId15"/>
    <sheet name="after_sale_12_01_2026_23_39_32" sheetId="16" state="hidden" r:id="rId16"/>
    <sheet name="posvenda" sheetId="17" r:id="rId17"/>
    <sheet name="oportunidade" sheetId="18" r:id="rId18"/>
    <sheet name="325-oportunidade" sheetId="19" r:id="rId19"/>
    <sheet name="pos" sheetId="20" r:id="rId20"/>
  </sheets>
  <externalReferences>
    <externalReference r:id="rId21"/>
  </externalReferences>
  <definedNames>
    <definedName name="_xlnm.Print_Area" localSheetId="8">'FU - Vendas2026-fev'!$A$1:$U$121</definedName>
    <definedName name="_xlnm.Print_Area" localSheetId="9">'FU - Vendas2026-jan'!$A$1:$T$99</definedName>
    <definedName name="_xlnm.Print_Area" localSheetId="4">KPI!$A$1:$N$32</definedName>
    <definedName name="_xlnm.Print_Area" localSheetId="7">'KPI-Metas'!$CW$1:$DK$30</definedName>
    <definedName name="DadosExternos_1" localSheetId="15" hidden="1">after_sale_12_01_2026_23_39_32!$A$1:$AP$594</definedName>
    <definedName name="DadosExternos_1" localSheetId="17" hidden="1">oportunidade!$A$1:$AX$606</definedName>
    <definedName name="DadosExternos_1" localSheetId="14" hidden="1">opportunity_12_01_2026_22_48_52!$A$1:$AW$473</definedName>
    <definedName name="DadosExternos_1" localSheetId="19" hidden="1">pos!$A$1:$AP$503</definedName>
    <definedName name="DadosExternos_1" localSheetId="16" hidden="1">posvenda!$A$1:$AQ$491</definedName>
    <definedName name="DadosExternos_2" localSheetId="18" hidden="1">'325-oportunidade'!$A$1:$AW$717</definedName>
  </definedNames>
  <calcPr calcId="191029" iterateDelta="1E-4"/>
  <pivotCaches>
    <pivotCache cacheId="7" r:id="rId22"/>
    <pivotCache cacheId="8" r:id="rId23"/>
    <pivotCache cacheId="9" r:id="rId24"/>
    <pivotCache cacheId="10" r:id="rId25"/>
    <pivotCache cacheId="11" r:id="rId26"/>
    <pivotCache cacheId="12" r:id="rId27"/>
    <pivotCache cacheId="13" r:id="rId2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7" i="2" l="1"/>
  <c r="L258" i="2"/>
  <c r="I257" i="2"/>
  <c r="I258" i="2"/>
  <c r="AB63" i="4"/>
  <c r="AB62" i="4"/>
  <c r="AB60" i="4"/>
  <c r="AB61" i="4"/>
  <c r="U65" i="4"/>
  <c r="U64" i="4"/>
  <c r="U63" i="4"/>
  <c r="U62" i="4"/>
  <c r="S65" i="4"/>
  <c r="S64" i="4"/>
  <c r="S63" i="4"/>
  <c r="S62" i="4"/>
  <c r="T59" i="4"/>
  <c r="AB65" i="4"/>
  <c r="AB64" i="4"/>
  <c r="L256" i="2"/>
  <c r="I256" i="2"/>
  <c r="L255" i="2"/>
  <c r="I255" i="2"/>
  <c r="L254" i="2"/>
  <c r="I254" i="2"/>
  <c r="L253" i="2"/>
  <c r="I253" i="2"/>
  <c r="L252" i="2"/>
  <c r="I252" i="2"/>
  <c r="L251" i="2"/>
  <c r="I251" i="2"/>
  <c r="L250" i="2"/>
  <c r="I250" i="2"/>
  <c r="L249" i="2"/>
  <c r="I249" i="2"/>
  <c r="L248" i="2"/>
  <c r="I248" i="2"/>
  <c r="L247" i="2"/>
  <c r="I247" i="2"/>
  <c r="B25" i="3"/>
  <c r="B29" i="3" s="1"/>
  <c r="I246" i="2"/>
  <c r="O246" i="2" s="1"/>
  <c r="I245" i="2"/>
  <c r="I244" i="2"/>
  <c r="L243" i="2"/>
  <c r="I243" i="2"/>
  <c r="L242" i="2"/>
  <c r="I242" i="2"/>
  <c r="L241" i="2"/>
  <c r="I241" i="2"/>
  <c r="L240" i="2"/>
  <c r="I240" i="2"/>
  <c r="L239" i="2"/>
  <c r="I239" i="2"/>
  <c r="L238" i="2"/>
  <c r="I238" i="2"/>
  <c r="L237" i="2"/>
  <c r="I237" i="2"/>
  <c r="L236" i="2"/>
  <c r="I236" i="2"/>
  <c r="L235" i="2"/>
  <c r="I235" i="2"/>
  <c r="L234" i="2"/>
  <c r="I234" i="2"/>
  <c r="L233" i="2"/>
  <c r="I233" i="2"/>
  <c r="L232" i="2"/>
  <c r="I232" i="2"/>
  <c r="L231" i="2"/>
  <c r="I231" i="2"/>
  <c r="L230" i="2"/>
  <c r="I230" i="2"/>
  <c r="I229" i="2"/>
  <c r="L228" i="2"/>
  <c r="I228" i="2"/>
  <c r="L227" i="2"/>
  <c r="I227" i="2"/>
  <c r="I226" i="2"/>
  <c r="L225" i="2"/>
  <c r="I225" i="2"/>
  <c r="L224" i="2"/>
  <c r="I224" i="2"/>
  <c r="U61" i="4"/>
  <c r="S61" i="4"/>
  <c r="AB59" i="4"/>
  <c r="AB58" i="4"/>
  <c r="C25" i="3"/>
  <c r="C29" i="3"/>
  <c r="B24" i="3"/>
  <c r="B28" i="3"/>
  <c r="C28" i="3"/>
  <c r="D28" i="3" s="1"/>
  <c r="C1038" i="14"/>
  <c r="C1037" i="14"/>
  <c r="C1036" i="14"/>
  <c r="C1035" i="14"/>
  <c r="C1034" i="14"/>
  <c r="C1033" i="14"/>
  <c r="C1032" i="14"/>
  <c r="C1031" i="14"/>
  <c r="C1030" i="14"/>
  <c r="C1029" i="14"/>
  <c r="C1028" i="14"/>
  <c r="C1027" i="14"/>
  <c r="C1026" i="14"/>
  <c r="C1025" i="14"/>
  <c r="C1023" i="14"/>
  <c r="C1022" i="14"/>
  <c r="C1021" i="14"/>
  <c r="C1020" i="14"/>
  <c r="C1019" i="14"/>
  <c r="C1018" i="14"/>
  <c r="C1017" i="14"/>
  <c r="C1016" i="14"/>
  <c r="C1015" i="14"/>
  <c r="C1014" i="14"/>
  <c r="C1013" i="14"/>
  <c r="C1012" i="14"/>
  <c r="C1011" i="14"/>
  <c r="C1010" i="14"/>
  <c r="C1009" i="14"/>
  <c r="C1008" i="14"/>
  <c r="C1007" i="14"/>
  <c r="C1006" i="14"/>
  <c r="C1005" i="14"/>
  <c r="C1004" i="14"/>
  <c r="C1001" i="14"/>
  <c r="C1000" i="14"/>
  <c r="C998" i="14"/>
  <c r="C997" i="14"/>
  <c r="C996" i="14"/>
  <c r="C994" i="14"/>
  <c r="C993" i="14"/>
  <c r="C992" i="14"/>
  <c r="C991" i="14"/>
  <c r="C990" i="14"/>
  <c r="C989" i="14"/>
  <c r="C987" i="14"/>
  <c r="C986" i="14"/>
  <c r="C985" i="14"/>
  <c r="C983" i="14"/>
  <c r="C982" i="14"/>
  <c r="C976" i="14"/>
  <c r="C975" i="14"/>
  <c r="C974" i="14"/>
  <c r="C973" i="14"/>
  <c r="C970" i="14"/>
  <c r="C969" i="14"/>
  <c r="C945" i="14"/>
  <c r="C942" i="14"/>
  <c r="C941" i="14"/>
  <c r="C940" i="14"/>
  <c r="C939" i="14"/>
  <c r="C938" i="14"/>
  <c r="D937" i="14"/>
  <c r="C936" i="14"/>
  <c r="C935" i="14"/>
  <c r="D934" i="14"/>
  <c r="C934" i="14"/>
  <c r="C933" i="14"/>
  <c r="C932" i="14"/>
  <c r="D931" i="14"/>
  <c r="C931" i="14"/>
  <c r="C930" i="14"/>
  <c r="C929" i="14"/>
  <c r="D928" i="14"/>
  <c r="C928" i="14"/>
  <c r="C927" i="14"/>
  <c r="C926" i="14"/>
  <c r="D925" i="14"/>
  <c r="C925" i="14"/>
  <c r="C924" i="14"/>
  <c r="C923" i="14"/>
  <c r="D922" i="14"/>
  <c r="C922" i="14"/>
  <c r="C921" i="14"/>
  <c r="C920" i="14"/>
  <c r="D919" i="14"/>
  <c r="C919" i="14"/>
  <c r="C918" i="14"/>
  <c r="C917" i="14"/>
  <c r="D916" i="14"/>
  <c r="C915" i="14"/>
  <c r="D913" i="14"/>
  <c r="C912" i="14"/>
  <c r="C911" i="14"/>
  <c r="D910" i="14"/>
  <c r="AC908" i="14"/>
  <c r="AB908" i="14"/>
  <c r="AA908" i="14"/>
  <c r="C908" i="14"/>
  <c r="AC907" i="14"/>
  <c r="AB907" i="14"/>
  <c r="AA907" i="14"/>
  <c r="D907" i="14"/>
  <c r="C907" i="14"/>
  <c r="C906" i="14"/>
  <c r="C905" i="14"/>
  <c r="D904" i="14"/>
  <c r="AC903" i="14"/>
  <c r="AB903" i="14"/>
  <c r="AA903" i="14"/>
  <c r="D903" i="14"/>
  <c r="AC902" i="14"/>
  <c r="AB902" i="14"/>
  <c r="AA902" i="14"/>
  <c r="D902" i="14"/>
  <c r="D901" i="14"/>
  <c r="D900" i="14"/>
  <c r="D899" i="14"/>
  <c r="D898" i="14"/>
  <c r="D897" i="14"/>
  <c r="D896" i="14"/>
  <c r="D895" i="14"/>
  <c r="D894" i="14"/>
  <c r="D893" i="14"/>
  <c r="D892" i="14"/>
  <c r="AB890" i="14"/>
  <c r="Q872" i="14"/>
  <c r="R871" i="14"/>
  <c r="R872" i="14" s="1"/>
  <c r="AI18" i="14"/>
  <c r="AO8" i="14" s="1"/>
  <c r="AF18" i="14"/>
  <c r="AC18" i="14"/>
  <c r="Z18" i="14"/>
  <c r="W17" i="14"/>
  <c r="J16" i="14"/>
  <c r="H16" i="14"/>
  <c r="M9" i="14"/>
  <c r="M7" i="14"/>
  <c r="R3" i="14"/>
  <c r="T473" i="13"/>
  <c r="G473" i="13"/>
  <c r="K472" i="13"/>
  <c r="I472" i="13"/>
  <c r="K471" i="13"/>
  <c r="I471" i="13"/>
  <c r="K470" i="13"/>
  <c r="I470" i="13"/>
  <c r="K469" i="13"/>
  <c r="I469" i="13"/>
  <c r="K468" i="13"/>
  <c r="I468" i="13"/>
  <c r="K467" i="13"/>
  <c r="I467" i="13"/>
  <c r="K466" i="13"/>
  <c r="I466" i="13"/>
  <c r="K465" i="13"/>
  <c r="I465" i="13"/>
  <c r="K464" i="13"/>
  <c r="I464" i="13"/>
  <c r="I463" i="13"/>
  <c r="I462" i="13"/>
  <c r="K461" i="13"/>
  <c r="I461" i="13"/>
  <c r="K460" i="13"/>
  <c r="I460" i="13"/>
  <c r="K459" i="13"/>
  <c r="I459" i="13"/>
  <c r="K458" i="13"/>
  <c r="I458" i="13"/>
  <c r="K457" i="13"/>
  <c r="I457" i="13"/>
  <c r="K456" i="13"/>
  <c r="I456" i="13"/>
  <c r="K455" i="13"/>
  <c r="I455" i="13"/>
  <c r="K454" i="13"/>
  <c r="I454" i="13"/>
  <c r="K453" i="13"/>
  <c r="I453" i="13"/>
  <c r="K452" i="13"/>
  <c r="I452" i="13"/>
  <c r="K451" i="13"/>
  <c r="I451" i="13"/>
  <c r="K450" i="13"/>
  <c r="I450" i="13"/>
  <c r="K449" i="13"/>
  <c r="I449" i="13"/>
  <c r="K448" i="13"/>
  <c r="I448" i="13"/>
  <c r="K447" i="13"/>
  <c r="I447" i="13"/>
  <c r="K446" i="13"/>
  <c r="I446" i="13"/>
  <c r="K445" i="13"/>
  <c r="I445" i="13"/>
  <c r="K444" i="13"/>
  <c r="I444" i="13"/>
  <c r="K443" i="13"/>
  <c r="I443" i="13"/>
  <c r="I442" i="13"/>
  <c r="I441" i="13"/>
  <c r="I440" i="13"/>
  <c r="K439" i="13"/>
  <c r="I439" i="13"/>
  <c r="K438" i="13"/>
  <c r="I438" i="13"/>
  <c r="K437" i="13"/>
  <c r="I437" i="13"/>
  <c r="K436" i="13"/>
  <c r="I436" i="13"/>
  <c r="K435" i="13"/>
  <c r="I435" i="13"/>
  <c r="K434" i="13"/>
  <c r="I434" i="13"/>
  <c r="K433" i="13"/>
  <c r="I433" i="13"/>
  <c r="K432" i="13"/>
  <c r="I432" i="13"/>
  <c r="K431" i="13"/>
  <c r="I431" i="13"/>
  <c r="K430" i="13"/>
  <c r="I430" i="13"/>
  <c r="K429" i="13"/>
  <c r="I429" i="13"/>
  <c r="K428" i="13"/>
  <c r="I428" i="13"/>
  <c r="K427" i="13"/>
  <c r="I427" i="13"/>
  <c r="K426" i="13"/>
  <c r="I426" i="13"/>
  <c r="K425" i="13"/>
  <c r="I425" i="13"/>
  <c r="K424" i="13"/>
  <c r="I424" i="13"/>
  <c r="K423" i="13"/>
  <c r="I423" i="13"/>
  <c r="K422" i="13"/>
  <c r="I422" i="13"/>
  <c r="K421" i="13"/>
  <c r="I421" i="13"/>
  <c r="K420" i="13"/>
  <c r="I420" i="13"/>
  <c r="K419" i="13"/>
  <c r="I419" i="13"/>
  <c r="K418" i="13"/>
  <c r="I418" i="13"/>
  <c r="K417" i="13"/>
  <c r="I417" i="13"/>
  <c r="K416" i="13"/>
  <c r="I416" i="13"/>
  <c r="K415" i="13"/>
  <c r="I415" i="13"/>
  <c r="K414" i="13"/>
  <c r="I414" i="13"/>
  <c r="K413" i="13"/>
  <c r="I413" i="13"/>
  <c r="K412" i="13"/>
  <c r="I412" i="13"/>
  <c r="K411" i="13"/>
  <c r="I411" i="13"/>
  <c r="K410" i="13"/>
  <c r="I410" i="13"/>
  <c r="K409" i="13"/>
  <c r="I409" i="13"/>
  <c r="K408" i="13"/>
  <c r="I408" i="13"/>
  <c r="K407" i="13"/>
  <c r="I407" i="13"/>
  <c r="K406" i="13"/>
  <c r="I406" i="13"/>
  <c r="I405" i="13"/>
  <c r="I404" i="13"/>
  <c r="I403" i="13"/>
  <c r="I402" i="13"/>
  <c r="K401" i="13"/>
  <c r="I401" i="13"/>
  <c r="K400" i="13"/>
  <c r="I400" i="13"/>
  <c r="K399" i="13"/>
  <c r="I399" i="13"/>
  <c r="K398" i="13"/>
  <c r="I398" i="13"/>
  <c r="K397" i="13"/>
  <c r="I397" i="13"/>
  <c r="K396" i="13"/>
  <c r="I396" i="13"/>
  <c r="K395" i="13"/>
  <c r="I395" i="13"/>
  <c r="K394" i="13"/>
  <c r="I394" i="13"/>
  <c r="K393" i="13"/>
  <c r="I393" i="13"/>
  <c r="K392" i="13"/>
  <c r="I392" i="13"/>
  <c r="K391" i="13"/>
  <c r="I391" i="13"/>
  <c r="K390" i="13"/>
  <c r="I390" i="13"/>
  <c r="K389" i="13"/>
  <c r="I389" i="13"/>
  <c r="K388" i="13"/>
  <c r="I388" i="13"/>
  <c r="K387" i="13"/>
  <c r="I387" i="13"/>
  <c r="K386" i="13"/>
  <c r="I386" i="13"/>
  <c r="K385" i="13"/>
  <c r="I385" i="13"/>
  <c r="K384" i="13"/>
  <c r="I384" i="13"/>
  <c r="K383" i="13"/>
  <c r="I383" i="13"/>
  <c r="K382" i="13"/>
  <c r="I382" i="13"/>
  <c r="K381" i="13"/>
  <c r="I381" i="13"/>
  <c r="K380" i="13"/>
  <c r="I380" i="13"/>
  <c r="K379" i="13"/>
  <c r="I379" i="13"/>
  <c r="K378" i="13"/>
  <c r="I378" i="13"/>
  <c r="K377" i="13"/>
  <c r="I377" i="13"/>
  <c r="K376" i="13"/>
  <c r="I376" i="13"/>
  <c r="K375" i="13"/>
  <c r="I375" i="13"/>
  <c r="K374" i="13"/>
  <c r="I374" i="13"/>
  <c r="K373" i="13"/>
  <c r="I373" i="13"/>
  <c r="K372" i="13"/>
  <c r="I372" i="13"/>
  <c r="K371" i="13"/>
  <c r="I371" i="13"/>
  <c r="K370" i="13"/>
  <c r="I370" i="13"/>
  <c r="K369" i="13"/>
  <c r="I369" i="13"/>
  <c r="K368" i="13"/>
  <c r="I368" i="13"/>
  <c r="K367" i="13"/>
  <c r="I367" i="13"/>
  <c r="K366" i="13"/>
  <c r="I366" i="13"/>
  <c r="K365" i="13"/>
  <c r="I365" i="13"/>
  <c r="K364" i="13"/>
  <c r="I364" i="13"/>
  <c r="K363" i="13"/>
  <c r="I363" i="13"/>
  <c r="K362" i="13"/>
  <c r="I362" i="13"/>
  <c r="K361" i="13"/>
  <c r="H361" i="13"/>
  <c r="I361" i="13" s="1"/>
  <c r="K360" i="13"/>
  <c r="I360" i="13"/>
  <c r="K359" i="13"/>
  <c r="I359" i="13"/>
  <c r="K358" i="13"/>
  <c r="I358" i="13"/>
  <c r="K357" i="13"/>
  <c r="I357" i="13"/>
  <c r="K356" i="13"/>
  <c r="I356" i="13"/>
  <c r="K355" i="13"/>
  <c r="I355" i="13"/>
  <c r="K354" i="13"/>
  <c r="I354" i="13"/>
  <c r="K353" i="13"/>
  <c r="I353" i="13"/>
  <c r="K352" i="13"/>
  <c r="I352" i="13"/>
  <c r="K351" i="13"/>
  <c r="I351" i="13"/>
  <c r="I350" i="13"/>
  <c r="I349" i="13"/>
  <c r="I348" i="13"/>
  <c r="I347" i="13"/>
  <c r="I346" i="13"/>
  <c r="I345" i="13"/>
  <c r="I344" i="13"/>
  <c r="K343" i="13"/>
  <c r="I343" i="13"/>
  <c r="K342" i="13"/>
  <c r="I342" i="13"/>
  <c r="K341" i="13"/>
  <c r="I341" i="13"/>
  <c r="K340" i="13"/>
  <c r="I340" i="13"/>
  <c r="K339" i="13"/>
  <c r="I339" i="13"/>
  <c r="K338" i="13"/>
  <c r="I338" i="13"/>
  <c r="K337" i="13"/>
  <c r="I337" i="13"/>
  <c r="K336" i="13"/>
  <c r="I336" i="13"/>
  <c r="K335" i="13"/>
  <c r="I335" i="13"/>
  <c r="K334" i="13"/>
  <c r="I334" i="13"/>
  <c r="K333" i="13"/>
  <c r="I333" i="13"/>
  <c r="K332" i="13"/>
  <c r="I332" i="13"/>
  <c r="K331" i="13"/>
  <c r="I331" i="13"/>
  <c r="K330" i="13"/>
  <c r="I330" i="13"/>
  <c r="K329" i="13"/>
  <c r="I329" i="13"/>
  <c r="K328" i="13"/>
  <c r="I328" i="13"/>
  <c r="K327" i="13"/>
  <c r="I327" i="13"/>
  <c r="K326" i="13"/>
  <c r="I326" i="13"/>
  <c r="K325" i="13"/>
  <c r="I325" i="13"/>
  <c r="I324" i="13"/>
  <c r="K323" i="13"/>
  <c r="I323" i="13"/>
  <c r="K322" i="13"/>
  <c r="I322" i="13"/>
  <c r="K321" i="13"/>
  <c r="I321" i="13"/>
  <c r="K320" i="13"/>
  <c r="I320" i="13"/>
  <c r="K319" i="13"/>
  <c r="I319" i="13"/>
  <c r="K318" i="13"/>
  <c r="I318" i="13"/>
  <c r="K317" i="13"/>
  <c r="I317" i="13"/>
  <c r="K316" i="13"/>
  <c r="I316" i="13"/>
  <c r="K315" i="13"/>
  <c r="I315" i="13"/>
  <c r="K314" i="13"/>
  <c r="I314" i="13"/>
  <c r="K313" i="13"/>
  <c r="I313" i="13"/>
  <c r="K312" i="13"/>
  <c r="I312" i="13"/>
  <c r="K311" i="13"/>
  <c r="I311" i="13"/>
  <c r="K310" i="13"/>
  <c r="I310" i="13"/>
  <c r="K309" i="13"/>
  <c r="I309" i="13"/>
  <c r="K308" i="13"/>
  <c r="I308" i="13"/>
  <c r="K307" i="13"/>
  <c r="I307" i="13"/>
  <c r="K306" i="13"/>
  <c r="I306" i="13"/>
  <c r="K305" i="13"/>
  <c r="I305" i="13"/>
  <c r="K304" i="13"/>
  <c r="I304" i="13"/>
  <c r="K303" i="13"/>
  <c r="I303" i="13"/>
  <c r="I302" i="13"/>
  <c r="I301" i="13"/>
  <c r="I300" i="13"/>
  <c r="I299" i="13"/>
  <c r="I298" i="13"/>
  <c r="I297" i="13"/>
  <c r="I296" i="13"/>
  <c r="M295" i="13"/>
  <c r="I295" i="13"/>
  <c r="N295" i="13" s="1"/>
  <c r="I294" i="13"/>
  <c r="M293" i="13"/>
  <c r="I293" i="13"/>
  <c r="N293" i="13" s="1"/>
  <c r="K292" i="13"/>
  <c r="I292" i="13"/>
  <c r="I291" i="13"/>
  <c r="K290" i="13"/>
  <c r="I290" i="13"/>
  <c r="K289" i="13"/>
  <c r="I289" i="13"/>
  <c r="K288" i="13"/>
  <c r="I288" i="13"/>
  <c r="I287" i="13"/>
  <c r="I286" i="13"/>
  <c r="I285" i="13"/>
  <c r="K284" i="13"/>
  <c r="I284" i="13"/>
  <c r="I283" i="13"/>
  <c r="I282" i="13"/>
  <c r="K281" i="13"/>
  <c r="I281" i="13"/>
  <c r="N280" i="13"/>
  <c r="M280" i="13"/>
  <c r="I280" i="13"/>
  <c r="I279" i="13"/>
  <c r="K278" i="13"/>
  <c r="I278" i="13"/>
  <c r="K277" i="13"/>
  <c r="I277" i="13"/>
  <c r="K276" i="13"/>
  <c r="I276" i="13"/>
  <c r="K275" i="13"/>
  <c r="I275" i="13"/>
  <c r="K274" i="13"/>
  <c r="I274" i="13"/>
  <c r="K273" i="13"/>
  <c r="I273" i="13"/>
  <c r="K272" i="13"/>
  <c r="I272" i="13"/>
  <c r="K271" i="13"/>
  <c r="I271" i="13"/>
  <c r="K270" i="13"/>
  <c r="I270" i="13"/>
  <c r="K269" i="13"/>
  <c r="I269" i="13"/>
  <c r="K268" i="13"/>
  <c r="I268" i="13"/>
  <c r="K267" i="13"/>
  <c r="I267" i="13"/>
  <c r="K266" i="13"/>
  <c r="I266" i="13"/>
  <c r="K265" i="13"/>
  <c r="I265" i="13"/>
  <c r="K264" i="13"/>
  <c r="I264" i="13"/>
  <c r="K263"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K240" i="13"/>
  <c r="I240" i="13"/>
  <c r="K239" i="13"/>
  <c r="I239" i="13"/>
  <c r="K238" i="13"/>
  <c r="I238" i="13"/>
  <c r="K237" i="13"/>
  <c r="I237" i="13"/>
  <c r="K236" i="13"/>
  <c r="I236" i="13"/>
  <c r="K235" i="13"/>
  <c r="I235" i="13"/>
  <c r="K234" i="13"/>
  <c r="I234" i="13"/>
  <c r="K233" i="13"/>
  <c r="I233" i="13"/>
  <c r="K232" i="13"/>
  <c r="I232" i="13"/>
  <c r="K231" i="13"/>
  <c r="I231" i="13"/>
  <c r="K230" i="13"/>
  <c r="I230" i="13"/>
  <c r="K229" i="13"/>
  <c r="I229" i="13"/>
  <c r="K228" i="13"/>
  <c r="I228" i="13"/>
  <c r="K227" i="13"/>
  <c r="I227" i="13"/>
  <c r="I226" i="13"/>
  <c r="I225" i="13"/>
  <c r="K224" i="13"/>
  <c r="I224" i="13"/>
  <c r="K223" i="13"/>
  <c r="I223" i="13"/>
  <c r="K222" i="13"/>
  <c r="I222" i="13"/>
  <c r="K221" i="13"/>
  <c r="I221" i="13"/>
  <c r="K220" i="13"/>
  <c r="I220" i="13"/>
  <c r="K219" i="13"/>
  <c r="I219" i="13"/>
  <c r="K218" i="13"/>
  <c r="I218" i="13"/>
  <c r="K217" i="13"/>
  <c r="I217" i="13"/>
  <c r="K216" i="13"/>
  <c r="I216" i="13"/>
  <c r="K215" i="13"/>
  <c r="I215" i="13"/>
  <c r="K214" i="13"/>
  <c r="I214" i="13"/>
  <c r="K213" i="13"/>
  <c r="I213" i="13"/>
  <c r="K212" i="13"/>
  <c r="I212" i="13"/>
  <c r="I211" i="13"/>
  <c r="K210" i="13"/>
  <c r="I210" i="13"/>
  <c r="K209" i="13"/>
  <c r="I209" i="13"/>
  <c r="K208" i="13"/>
  <c r="I208" i="13"/>
  <c r="K207" i="13"/>
  <c r="I207" i="13"/>
  <c r="I206" i="13"/>
  <c r="K205" i="13"/>
  <c r="I205" i="13"/>
  <c r="K204" i="13"/>
  <c r="I204" i="13"/>
  <c r="K203" i="13"/>
  <c r="I203" i="13"/>
  <c r="K202" i="13"/>
  <c r="I202" i="13"/>
  <c r="K201" i="13"/>
  <c r="I201" i="13"/>
  <c r="K200" i="13"/>
  <c r="I200" i="13"/>
  <c r="K199" i="13"/>
  <c r="I199" i="13"/>
  <c r="K198" i="13"/>
  <c r="I198" i="13"/>
  <c r="K197" i="13"/>
  <c r="I197" i="13"/>
  <c r="K196" i="13"/>
  <c r="I196" i="13"/>
  <c r="K195" i="13"/>
  <c r="I195" i="13"/>
  <c r="K194" i="13"/>
  <c r="I194" i="13"/>
  <c r="K193" i="13"/>
  <c r="I193" i="13"/>
  <c r="K192" i="13"/>
  <c r="I192" i="13"/>
  <c r="K191" i="13"/>
  <c r="I191" i="13"/>
  <c r="K190" i="13"/>
  <c r="I190" i="13"/>
  <c r="K189" i="13"/>
  <c r="I189" i="13"/>
  <c r="K188" i="13"/>
  <c r="I188" i="13"/>
  <c r="K187" i="13"/>
  <c r="I187" i="13"/>
  <c r="K186" i="13"/>
  <c r="I186" i="13"/>
  <c r="I185" i="13"/>
  <c r="I184" i="13"/>
  <c r="I183" i="13"/>
  <c r="I182" i="13"/>
  <c r="I181" i="13"/>
  <c r="K180" i="13"/>
  <c r="I180" i="13"/>
  <c r="K179" i="13"/>
  <c r="I179" i="13"/>
  <c r="K178" i="13"/>
  <c r="I178" i="13"/>
  <c r="K177" i="13"/>
  <c r="I177" i="13"/>
  <c r="M176" i="13"/>
  <c r="K176" i="13"/>
  <c r="N176" i="13" s="1"/>
  <c r="H176" i="13"/>
  <c r="K175" i="13"/>
  <c r="I175" i="13"/>
  <c r="K174" i="13"/>
  <c r="I174" i="13"/>
  <c r="K173" i="13"/>
  <c r="I173" i="13"/>
  <c r="K172" i="13"/>
  <c r="I172" i="13"/>
  <c r="K171" i="13"/>
  <c r="I171" i="13"/>
  <c r="K170" i="13"/>
  <c r="I170" i="13"/>
  <c r="K169" i="13"/>
  <c r="I169" i="13"/>
  <c r="I168" i="13"/>
  <c r="K167" i="13"/>
  <c r="I167" i="13"/>
  <c r="K166" i="13"/>
  <c r="I166" i="13"/>
  <c r="K165" i="13"/>
  <c r="I165" i="13"/>
  <c r="I164" i="13"/>
  <c r="I163" i="13"/>
  <c r="K162" i="13"/>
  <c r="I162" i="13"/>
  <c r="K161" i="13"/>
  <c r="I161" i="13"/>
  <c r="K160" i="13"/>
  <c r="I160" i="13"/>
  <c r="K159" i="13"/>
  <c r="I159" i="13"/>
  <c r="K158" i="13"/>
  <c r="I158" i="13"/>
  <c r="M157" i="13"/>
  <c r="K157" i="13"/>
  <c r="N157" i="13" s="1"/>
  <c r="K156" i="13"/>
  <c r="I156" i="13"/>
  <c r="K155" i="13"/>
  <c r="I155" i="13"/>
  <c r="K154" i="13"/>
  <c r="I154" i="13"/>
  <c r="K153" i="13"/>
  <c r="I153" i="13"/>
  <c r="K152" i="13"/>
  <c r="G152" i="13"/>
  <c r="I152" i="13" s="1"/>
  <c r="K151" i="13"/>
  <c r="I151" i="13"/>
  <c r="K150" i="13"/>
  <c r="I150" i="13"/>
  <c r="K149" i="13"/>
  <c r="I149" i="13"/>
  <c r="K148" i="13"/>
  <c r="I148" i="13"/>
  <c r="K147" i="13"/>
  <c r="I147" i="13"/>
  <c r="K146" i="13"/>
  <c r="I146" i="13"/>
  <c r="K145" i="13"/>
  <c r="I145" i="13"/>
  <c r="K144" i="13"/>
  <c r="I144" i="13"/>
  <c r="K143" i="13"/>
  <c r="I143" i="13"/>
  <c r="K142" i="13"/>
  <c r="I142" i="13"/>
  <c r="K141" i="13"/>
  <c r="I141" i="13"/>
  <c r="K140" i="13"/>
  <c r="I140" i="13"/>
  <c r="K139" i="13"/>
  <c r="H139" i="13"/>
  <c r="I139" i="13" s="1"/>
  <c r="K138" i="13"/>
  <c r="I138" i="13"/>
  <c r="K137" i="13"/>
  <c r="I137" i="13"/>
  <c r="K136" i="13"/>
  <c r="I136" i="13"/>
  <c r="K135" i="13"/>
  <c r="I135" i="13"/>
  <c r="K134" i="13"/>
  <c r="I134" i="13"/>
  <c r="K133" i="13"/>
  <c r="H133" i="13"/>
  <c r="I133" i="13" s="1"/>
  <c r="K132" i="13"/>
  <c r="I132" i="13"/>
  <c r="K131" i="13"/>
  <c r="I131" i="13"/>
  <c r="K130" i="13"/>
  <c r="I130" i="13"/>
  <c r="K129" i="13"/>
  <c r="I129" i="13"/>
  <c r="K128" i="13"/>
  <c r="I128" i="13"/>
  <c r="K127" i="13"/>
  <c r="I127" i="13"/>
  <c r="K126" i="13"/>
  <c r="I126" i="13"/>
  <c r="I125" i="13"/>
  <c r="I124" i="13"/>
  <c r="I123" i="13"/>
  <c r="I122" i="13"/>
  <c r="I121" i="13"/>
  <c r="I120" i="13"/>
  <c r="I119" i="13"/>
  <c r="K118" i="13"/>
  <c r="I118" i="13"/>
  <c r="I117" i="13"/>
  <c r="M117" i="13" s="1"/>
  <c r="K116" i="13"/>
  <c r="I116" i="13"/>
  <c r="K115" i="13"/>
  <c r="I115" i="13"/>
  <c r="K114" i="13"/>
  <c r="I114" i="13"/>
  <c r="M114" i="13" s="1"/>
  <c r="M113" i="13"/>
  <c r="K113" i="13"/>
  <c r="N113" i="13" s="1"/>
  <c r="H113" i="13"/>
  <c r="K112" i="13"/>
  <c r="I112" i="13"/>
  <c r="K111" i="13"/>
  <c r="I111" i="13"/>
  <c r="K110" i="13"/>
  <c r="I110" i="13"/>
  <c r="K109" i="13"/>
  <c r="I109" i="13"/>
  <c r="K108" i="13"/>
  <c r="I108" i="13"/>
  <c r="K107" i="13"/>
  <c r="I107" i="13"/>
  <c r="K106" i="13"/>
  <c r="I106" i="13"/>
  <c r="K105" i="13"/>
  <c r="I105" i="13"/>
  <c r="K104" i="13"/>
  <c r="I104" i="13"/>
  <c r="K103" i="13"/>
  <c r="I103" i="13"/>
  <c r="K102" i="13"/>
  <c r="I102" i="13"/>
  <c r="K101" i="13"/>
  <c r="I101" i="13"/>
  <c r="K100" i="13"/>
  <c r="I100" i="13"/>
  <c r="K99" i="13"/>
  <c r="I99" i="13"/>
  <c r="K98" i="13"/>
  <c r="I98" i="13"/>
  <c r="N97" i="13"/>
  <c r="K96" i="13"/>
  <c r="I96" i="13"/>
  <c r="K95" i="13"/>
  <c r="I95" i="13"/>
  <c r="K94" i="13"/>
  <c r="I94" i="13"/>
  <c r="K93" i="13"/>
  <c r="I93" i="13"/>
  <c r="K92" i="13"/>
  <c r="I92" i="13"/>
  <c r="K91" i="13"/>
  <c r="I91" i="13"/>
  <c r="K90" i="13"/>
  <c r="I90" i="13"/>
  <c r="K89" i="13"/>
  <c r="I89" i="13"/>
  <c r="K88" i="13"/>
  <c r="I88" i="13"/>
  <c r="K87" i="13"/>
  <c r="I87" i="13"/>
  <c r="K86" i="13"/>
  <c r="I86" i="13"/>
  <c r="K85" i="13"/>
  <c r="I85" i="13"/>
  <c r="K84" i="13"/>
  <c r="I84" i="13"/>
  <c r="K83" i="13"/>
  <c r="I83" i="13"/>
  <c r="I82" i="13"/>
  <c r="I81" i="13"/>
  <c r="I80" i="13"/>
  <c r="I79" i="13"/>
  <c r="I78" i="13"/>
  <c r="K77" i="13"/>
  <c r="I77" i="13"/>
  <c r="K76" i="13"/>
  <c r="I76" i="13"/>
  <c r="K75" i="13"/>
  <c r="I75" i="13"/>
  <c r="K74" i="13"/>
  <c r="I74" i="13"/>
  <c r="K73" i="13"/>
  <c r="I73" i="13"/>
  <c r="K72" i="13"/>
  <c r="I72" i="13"/>
  <c r="I71" i="13"/>
  <c r="K70" i="13"/>
  <c r="I70" i="13"/>
  <c r="I69" i="13"/>
  <c r="K68" i="13"/>
  <c r="I68" i="13"/>
  <c r="K67" i="13"/>
  <c r="I67" i="13"/>
  <c r="K66" i="13"/>
  <c r="I66" i="13"/>
  <c r="K65" i="13"/>
  <c r="I65" i="13"/>
  <c r="K64" i="13"/>
  <c r="I64" i="13"/>
  <c r="K63" i="13"/>
  <c r="I63" i="13"/>
  <c r="K62" i="13"/>
  <c r="I62" i="13"/>
  <c r="K61" i="13"/>
  <c r="I61" i="13"/>
  <c r="K60" i="13"/>
  <c r="I60" i="13"/>
  <c r="K59" i="13"/>
  <c r="I59" i="13"/>
  <c r="K58" i="13"/>
  <c r="I58" i="13"/>
  <c r="K57" i="13"/>
  <c r="I57" i="13"/>
  <c r="K56" i="13"/>
  <c r="I56" i="13"/>
  <c r="K55" i="13"/>
  <c r="I55" i="13"/>
  <c r="K54" i="13"/>
  <c r="I54" i="13"/>
  <c r="K53" i="13"/>
  <c r="I53" i="13"/>
  <c r="K52" i="13"/>
  <c r="I52" i="13"/>
  <c r="K51" i="13"/>
  <c r="I51" i="13"/>
  <c r="I50" i="13"/>
  <c r="K49" i="13"/>
  <c r="I49" i="13"/>
  <c r="K48" i="13"/>
  <c r="I48" i="13"/>
  <c r="K47" i="13"/>
  <c r="I47" i="13"/>
  <c r="K46" i="13"/>
  <c r="I46" i="13"/>
  <c r="K45" i="13"/>
  <c r="I45" i="13"/>
  <c r="N44" i="13"/>
  <c r="M44" i="13"/>
  <c r="K44" i="13"/>
  <c r="I44" i="13"/>
  <c r="K43" i="13"/>
  <c r="I43" i="13"/>
  <c r="K42" i="13"/>
  <c r="I42" i="13"/>
  <c r="K41" i="13"/>
  <c r="I41" i="13"/>
  <c r="K40" i="13"/>
  <c r="I40" i="13"/>
  <c r="K39" i="13"/>
  <c r="I39" i="13"/>
  <c r="K38" i="13"/>
  <c r="I38" i="13"/>
  <c r="K37" i="13"/>
  <c r="I37" i="13"/>
  <c r="K36" i="13"/>
  <c r="I36" i="13"/>
  <c r="K35" i="13"/>
  <c r="I35" i="13"/>
  <c r="K34" i="13"/>
  <c r="I34" i="13"/>
  <c r="K33" i="13"/>
  <c r="I33" i="13"/>
  <c r="K32" i="13"/>
  <c r="I32" i="13"/>
  <c r="K31" i="13"/>
  <c r="I31" i="13"/>
  <c r="I30" i="13"/>
  <c r="I29" i="13"/>
  <c r="I28" i="13"/>
  <c r="M28" i="13" s="1"/>
  <c r="K27" i="13"/>
  <c r="I27" i="13"/>
  <c r="I26" i="13"/>
  <c r="K25" i="13"/>
  <c r="I25" i="13"/>
  <c r="K24" i="13"/>
  <c r="I24" i="13"/>
  <c r="I23" i="13"/>
  <c r="K22" i="13"/>
  <c r="I22" i="13"/>
  <c r="K21" i="13"/>
  <c r="I21" i="13"/>
  <c r="K20" i="13"/>
  <c r="I20" i="13"/>
  <c r="K19" i="13"/>
  <c r="I19" i="13"/>
  <c r="K18" i="13"/>
  <c r="I18" i="13"/>
  <c r="K17" i="13"/>
  <c r="I17" i="13"/>
  <c r="K16" i="13"/>
  <c r="I16" i="13"/>
  <c r="K15" i="13"/>
  <c r="I15" i="13"/>
  <c r="K14" i="13"/>
  <c r="I14" i="13"/>
  <c r="K13" i="13"/>
  <c r="I13" i="13"/>
  <c r="K12" i="13"/>
  <c r="I12" i="13"/>
  <c r="K11" i="13"/>
  <c r="I11" i="13"/>
  <c r="K10" i="13"/>
  <c r="I10" i="13"/>
  <c r="K9" i="13"/>
  <c r="I9" i="13"/>
  <c r="K8" i="13"/>
  <c r="I8" i="13"/>
  <c r="K7" i="13"/>
  <c r="I7" i="13"/>
  <c r="K6" i="13"/>
  <c r="I6" i="13"/>
  <c r="K5" i="13"/>
  <c r="I5" i="13"/>
  <c r="K4" i="13"/>
  <c r="I4" i="13"/>
  <c r="K3" i="13"/>
  <c r="I3" i="13"/>
  <c r="K2" i="13"/>
  <c r="I2" i="13"/>
  <c r="F84" i="10"/>
  <c r="E84" i="10"/>
  <c r="F97" i="10" s="1"/>
  <c r="G83" i="10"/>
  <c r="F83" i="10"/>
  <c r="E83" i="10"/>
  <c r="F93" i="10" s="1"/>
  <c r="N78" i="10"/>
  <c r="H78" i="10"/>
  <c r="F78" i="10"/>
  <c r="E78" i="10"/>
  <c r="K77" i="10"/>
  <c r="G77" i="10"/>
  <c r="K76" i="10"/>
  <c r="G76" i="10"/>
  <c r="K75" i="10"/>
  <c r="L75" i="10" s="1"/>
  <c r="G75" i="10"/>
  <c r="G78" i="10" s="1"/>
  <c r="G72" i="10"/>
  <c r="F72" i="10"/>
  <c r="E72" i="10"/>
  <c r="K71" i="10"/>
  <c r="L71" i="10" s="1"/>
  <c r="H71" i="10"/>
  <c r="K70" i="10"/>
  <c r="H70" i="10"/>
  <c r="K69" i="10"/>
  <c r="L69" i="10" s="1"/>
  <c r="H69" i="10"/>
  <c r="H72" i="10" s="1"/>
  <c r="M76" i="10" s="1"/>
  <c r="G66" i="10"/>
  <c r="F66" i="10"/>
  <c r="F82" i="10" s="1"/>
  <c r="E66" i="10"/>
  <c r="E82" i="10" s="1"/>
  <c r="K65" i="10"/>
  <c r="H65" i="10"/>
  <c r="K64" i="10"/>
  <c r="L64" i="10" s="1"/>
  <c r="H64" i="10"/>
  <c r="H66" i="10" s="1"/>
  <c r="M75" i="10" s="1"/>
  <c r="M50" i="10"/>
  <c r="N50" i="10" s="1"/>
  <c r="I50" i="10"/>
  <c r="J50" i="10" s="1"/>
  <c r="E50" i="10"/>
  <c r="F50" i="10" s="1"/>
  <c r="M48" i="10"/>
  <c r="N48" i="10" s="1"/>
  <c r="I75" i="10" s="1"/>
  <c r="I48" i="10"/>
  <c r="J48" i="10" s="1"/>
  <c r="I64" i="10" s="1"/>
  <c r="E48" i="10"/>
  <c r="N47" i="10"/>
  <c r="J47" i="10"/>
  <c r="F47" i="10"/>
  <c r="N46" i="10"/>
  <c r="J46" i="10"/>
  <c r="F46" i="10"/>
  <c r="T40" i="10"/>
  <c r="N40" i="10"/>
  <c r="M40" i="10"/>
  <c r="I40" i="10"/>
  <c r="F107" i="9"/>
  <c r="E107" i="9"/>
  <c r="F120" i="9" s="1"/>
  <c r="F106" i="9"/>
  <c r="E106" i="9"/>
  <c r="F116" i="9" s="1"/>
  <c r="N101" i="9"/>
  <c r="H101" i="9"/>
  <c r="F101" i="9"/>
  <c r="E101" i="9"/>
  <c r="K100" i="9"/>
  <c r="G100" i="9"/>
  <c r="K99" i="9"/>
  <c r="G99" i="9"/>
  <c r="K98" i="9"/>
  <c r="G98" i="9"/>
  <c r="G101" i="9" s="1"/>
  <c r="G95" i="9"/>
  <c r="F95" i="9"/>
  <c r="E95" i="9"/>
  <c r="K94" i="9"/>
  <c r="H94" i="9"/>
  <c r="K93" i="9"/>
  <c r="H93" i="9"/>
  <c r="K92" i="9"/>
  <c r="H92" i="9"/>
  <c r="H95" i="9" s="1"/>
  <c r="M99" i="9" s="1"/>
  <c r="H89" i="9"/>
  <c r="F89" i="9"/>
  <c r="F105" i="9" s="1"/>
  <c r="E89" i="9"/>
  <c r="E105" i="9" s="1"/>
  <c r="K88" i="9"/>
  <c r="G88" i="9"/>
  <c r="K87" i="9"/>
  <c r="G87" i="9"/>
  <c r="G89" i="9" s="1"/>
  <c r="N73" i="9"/>
  <c r="J73" i="9"/>
  <c r="F73" i="9"/>
  <c r="E72" i="9"/>
  <c r="N71" i="9"/>
  <c r="I98" i="9" s="1"/>
  <c r="J71" i="9"/>
  <c r="I87" i="9" s="1"/>
  <c r="F71" i="9"/>
  <c r="I92" i="9" s="1"/>
  <c r="N70" i="9"/>
  <c r="J70" i="9"/>
  <c r="F70" i="9"/>
  <c r="N69" i="9"/>
  <c r="J69" i="9"/>
  <c r="F69" i="9"/>
  <c r="U62" i="9"/>
  <c r="O62" i="9"/>
  <c r="N62" i="9"/>
  <c r="J62" i="9"/>
  <c r="I62" i="9"/>
  <c r="C47" i="8"/>
  <c r="AZ42" i="8"/>
  <c r="BP38" i="8"/>
  <c r="S37" i="8"/>
  <c r="AJ36" i="8"/>
  <c r="CG27" i="8"/>
  <c r="DK23" i="8"/>
  <c r="DJ23" i="8"/>
  <c r="ER18" i="8"/>
  <c r="EQ18" i="8"/>
  <c r="CF14" i="8"/>
  <c r="AH14" i="8"/>
  <c r="ED13" i="8"/>
  <c r="DM13" i="8"/>
  <c r="CW13" i="8"/>
  <c r="CF13" i="8"/>
  <c r="BO13" i="8"/>
  <c r="AY13" i="8"/>
  <c r="Q13" i="8"/>
  <c r="A13" i="8"/>
  <c r="EE12" i="8"/>
  <c r="DN12" i="8"/>
  <c r="CY12" i="8"/>
  <c r="CX12" i="8"/>
  <c r="CG12" i="8"/>
  <c r="BP12" i="8"/>
  <c r="BA12" i="8"/>
  <c r="AZ12" i="8"/>
  <c r="AI12" i="8"/>
  <c r="R12" i="8"/>
  <c r="C12" i="8"/>
  <c r="B12" i="8"/>
  <c r="EG11" i="8"/>
  <c r="EB11" i="8"/>
  <c r="EA11" i="8"/>
  <c r="DP11" i="8"/>
  <c r="CZ11" i="8"/>
  <c r="CI11" i="8"/>
  <c r="BR11" i="8"/>
  <c r="BB11" i="8"/>
  <c r="AK11" i="8"/>
  <c r="T11" i="8"/>
  <c r="D11" i="8"/>
  <c r="CY10" i="8"/>
  <c r="BA10" i="8"/>
  <c r="C10" i="8"/>
  <c r="EG9" i="8"/>
  <c r="DP9" i="8"/>
  <c r="CZ9" i="8"/>
  <c r="CI9" i="8"/>
  <c r="BR9" i="8"/>
  <c r="BB9" i="8"/>
  <c r="AK9" i="8"/>
  <c r="T9" i="8"/>
  <c r="D9" i="8"/>
  <c r="EG8" i="8"/>
  <c r="DP8" i="8"/>
  <c r="CZ8" i="8"/>
  <c r="CI8" i="8"/>
  <c r="BR8" i="8"/>
  <c r="BB8" i="8"/>
  <c r="AK8" i="8"/>
  <c r="T8" i="8"/>
  <c r="D8" i="8"/>
  <c r="EG7" i="8"/>
  <c r="DP7" i="8"/>
  <c r="CZ7" i="8"/>
  <c r="CI7" i="8"/>
  <c r="BR7" i="8"/>
  <c r="BB7" i="8"/>
  <c r="AK7" i="8"/>
  <c r="T7" i="8"/>
  <c r="D7" i="8"/>
  <c r="DM3" i="8"/>
  <c r="ED3" i="8" s="1"/>
  <c r="BO3" i="8"/>
  <c r="CF3" i="8" s="1"/>
  <c r="Q3" i="8"/>
  <c r="AH3" i="8" s="1"/>
  <c r="DM2" i="8"/>
  <c r="ED2" i="8" s="1"/>
  <c r="BO2" i="8"/>
  <c r="CF2" i="8" s="1"/>
  <c r="Q2" i="8"/>
  <c r="AH2" i="8" s="1"/>
  <c r="DM1" i="8"/>
  <c r="ED1" i="8" s="1"/>
  <c r="BO1" i="8"/>
  <c r="CF1" i="8" s="1"/>
  <c r="Q1" i="8"/>
  <c r="AH1" i="8" s="1"/>
  <c r="E19" i="6"/>
  <c r="AB57" i="4"/>
  <c r="AB56" i="4"/>
  <c r="AB55" i="4"/>
  <c r="AB54" i="4"/>
  <c r="AC53" i="4"/>
  <c r="AB53" i="4"/>
  <c r="AC52" i="4"/>
  <c r="AB52" i="4"/>
  <c r="AC51" i="4"/>
  <c r="AB51" i="4"/>
  <c r="AC50" i="4"/>
  <c r="AB50" i="4"/>
  <c r="AC49" i="4"/>
  <c r="AB49" i="4"/>
  <c r="AC48" i="4"/>
  <c r="AB48" i="4"/>
  <c r="AC47" i="4"/>
  <c r="AB47" i="4"/>
  <c r="AC46" i="4"/>
  <c r="AB46" i="4"/>
  <c r="AC45" i="4"/>
  <c r="AB45" i="4"/>
  <c r="AC44" i="4"/>
  <c r="AB44" i="4"/>
  <c r="AC43" i="4"/>
  <c r="AB43" i="4"/>
  <c r="AC42" i="4"/>
  <c r="AB42" i="4"/>
  <c r="AC41" i="4"/>
  <c r="AB41" i="4"/>
  <c r="AC40" i="4"/>
  <c r="AB40" i="4"/>
  <c r="AC39" i="4"/>
  <c r="AB39" i="4"/>
  <c r="AC38" i="4"/>
  <c r="AB38" i="4"/>
  <c r="AC37" i="4"/>
  <c r="AB37" i="4"/>
  <c r="U37" i="4"/>
  <c r="AC36" i="4"/>
  <c r="AB36" i="4"/>
  <c r="AC35" i="4"/>
  <c r="AB35" i="4"/>
  <c r="U34" i="4"/>
  <c r="T34" i="4"/>
  <c r="AC34" i="4" s="1"/>
  <c r="S34" i="4"/>
  <c r="AB34" i="4" s="1"/>
  <c r="R34" i="4"/>
  <c r="Q34" i="4"/>
  <c r="U33" i="4"/>
  <c r="T33" i="4"/>
  <c r="AC33" i="4" s="1"/>
  <c r="S33" i="4"/>
  <c r="AB33" i="4" s="1"/>
  <c r="R33" i="4"/>
  <c r="Q33" i="4"/>
  <c r="U32" i="4"/>
  <c r="T32" i="4"/>
  <c r="AC32" i="4" s="1"/>
  <c r="S32" i="4"/>
  <c r="AB32" i="4" s="1"/>
  <c r="R32" i="4"/>
  <c r="Q32" i="4"/>
  <c r="U31" i="4"/>
  <c r="T31" i="4"/>
  <c r="AC31" i="4" s="1"/>
  <c r="S31" i="4"/>
  <c r="AB31" i="4" s="1"/>
  <c r="R31" i="4"/>
  <c r="Q31" i="4"/>
  <c r="U30" i="4"/>
  <c r="T30" i="4"/>
  <c r="AC30" i="4" s="1"/>
  <c r="S30" i="4"/>
  <c r="AB30" i="4" s="1"/>
  <c r="R30" i="4"/>
  <c r="Q30" i="4"/>
  <c r="U29" i="4"/>
  <c r="T29" i="4"/>
  <c r="AC29" i="4" s="1"/>
  <c r="S29" i="4"/>
  <c r="AB29" i="4" s="1"/>
  <c r="R29" i="4"/>
  <c r="Q29" i="4"/>
  <c r="U28" i="4"/>
  <c r="T28" i="4"/>
  <c r="AC28" i="4" s="1"/>
  <c r="S28" i="4"/>
  <c r="AB28" i="4" s="1"/>
  <c r="R28" i="4"/>
  <c r="Q28" i="4"/>
  <c r="U27" i="4"/>
  <c r="T27" i="4"/>
  <c r="AC27" i="4" s="1"/>
  <c r="S27" i="4"/>
  <c r="AB27" i="4" s="1"/>
  <c r="R27" i="4"/>
  <c r="Q27" i="4"/>
  <c r="U26" i="4"/>
  <c r="T26" i="4"/>
  <c r="AC26" i="4" s="1"/>
  <c r="S26" i="4"/>
  <c r="AB26" i="4" s="1"/>
  <c r="R26" i="4"/>
  <c r="Q26" i="4"/>
  <c r="U25" i="4"/>
  <c r="T25" i="4"/>
  <c r="AC25" i="4" s="1"/>
  <c r="S25" i="4"/>
  <c r="AB25" i="4" s="1"/>
  <c r="R25" i="4"/>
  <c r="Q25" i="4"/>
  <c r="U24" i="4"/>
  <c r="T24" i="4"/>
  <c r="AC24" i="4" s="1"/>
  <c r="S24" i="4"/>
  <c r="AB24" i="4" s="1"/>
  <c r="R24" i="4"/>
  <c r="Q24" i="4"/>
  <c r="U23" i="4"/>
  <c r="T23" i="4"/>
  <c r="AC23" i="4" s="1"/>
  <c r="S23" i="4"/>
  <c r="AB23" i="4" s="1"/>
  <c r="R23" i="4"/>
  <c r="Q23" i="4"/>
  <c r="U22" i="4"/>
  <c r="T22" i="4"/>
  <c r="AC22" i="4" s="1"/>
  <c r="S22" i="4"/>
  <c r="AB22" i="4" s="1"/>
  <c r="R22" i="4"/>
  <c r="Q22" i="4"/>
  <c r="U21" i="4"/>
  <c r="T21" i="4"/>
  <c r="AC21" i="4" s="1"/>
  <c r="S21" i="4"/>
  <c r="AB21" i="4" s="1"/>
  <c r="R21" i="4"/>
  <c r="Q21" i="4"/>
  <c r="U20" i="4"/>
  <c r="T20" i="4"/>
  <c r="AC20" i="4" s="1"/>
  <c r="S20" i="4"/>
  <c r="AB20" i="4" s="1"/>
  <c r="R20" i="4"/>
  <c r="Q20" i="4"/>
  <c r="U19" i="4"/>
  <c r="T19" i="4"/>
  <c r="AC19" i="4" s="1"/>
  <c r="S19" i="4"/>
  <c r="AB19" i="4" s="1"/>
  <c r="R19" i="4"/>
  <c r="Q19" i="4"/>
  <c r="U18" i="4"/>
  <c r="T18" i="4"/>
  <c r="AC18" i="4" s="1"/>
  <c r="S18" i="4"/>
  <c r="AB18" i="4" s="1"/>
  <c r="R18" i="4"/>
  <c r="Q18" i="4"/>
  <c r="U17" i="4"/>
  <c r="T17" i="4"/>
  <c r="AC17" i="4" s="1"/>
  <c r="S17" i="4"/>
  <c r="AB17" i="4" s="1"/>
  <c r="R17" i="4"/>
  <c r="Q17" i="4"/>
  <c r="U16" i="4"/>
  <c r="T16" i="4"/>
  <c r="AC16" i="4" s="1"/>
  <c r="S16" i="4"/>
  <c r="AB16" i="4" s="1"/>
  <c r="R16" i="4"/>
  <c r="Q16" i="4"/>
  <c r="U15" i="4"/>
  <c r="T15" i="4"/>
  <c r="AC15" i="4" s="1"/>
  <c r="S15" i="4"/>
  <c r="AB15" i="4" s="1"/>
  <c r="R15" i="4"/>
  <c r="Q15" i="4"/>
  <c r="U14" i="4"/>
  <c r="T14" i="4"/>
  <c r="AC14" i="4" s="1"/>
  <c r="S14" i="4"/>
  <c r="AB14" i="4" s="1"/>
  <c r="R14" i="4"/>
  <c r="Q14" i="4"/>
  <c r="U13" i="4"/>
  <c r="T13" i="4"/>
  <c r="AC13" i="4" s="1"/>
  <c r="S13" i="4"/>
  <c r="AB13" i="4" s="1"/>
  <c r="R13" i="4"/>
  <c r="Q13" i="4"/>
  <c r="U12" i="4"/>
  <c r="T12" i="4"/>
  <c r="AC12" i="4" s="1"/>
  <c r="S12" i="4"/>
  <c r="AB12" i="4" s="1"/>
  <c r="R12" i="4"/>
  <c r="Q12" i="4"/>
  <c r="U11" i="4"/>
  <c r="T11" i="4"/>
  <c r="AC11" i="4" s="1"/>
  <c r="S11" i="4"/>
  <c r="AB11" i="4" s="1"/>
  <c r="R11" i="4"/>
  <c r="Q11" i="4"/>
  <c r="U10" i="4"/>
  <c r="T10" i="4"/>
  <c r="AC10" i="4" s="1"/>
  <c r="S10" i="4"/>
  <c r="AB10" i="4" s="1"/>
  <c r="R10" i="4"/>
  <c r="Q10" i="4"/>
  <c r="U9" i="4"/>
  <c r="T9" i="4"/>
  <c r="AC9" i="4" s="1"/>
  <c r="S9" i="4"/>
  <c r="AB9" i="4" s="1"/>
  <c r="R9" i="4"/>
  <c r="Q9" i="4"/>
  <c r="U8" i="4"/>
  <c r="T8" i="4"/>
  <c r="AC8" i="4" s="1"/>
  <c r="S8" i="4"/>
  <c r="AB8" i="4" s="1"/>
  <c r="R8" i="4"/>
  <c r="Q8" i="4"/>
  <c r="U7" i="4"/>
  <c r="T7" i="4"/>
  <c r="AC7" i="4" s="1"/>
  <c r="S7" i="4"/>
  <c r="AB7" i="4" s="1"/>
  <c r="R7" i="4"/>
  <c r="Q7" i="4"/>
  <c r="U6" i="4"/>
  <c r="T6" i="4"/>
  <c r="AC6" i="4" s="1"/>
  <c r="S6" i="4"/>
  <c r="AB6" i="4" s="1"/>
  <c r="R6" i="4"/>
  <c r="Q6" i="4"/>
  <c r="U5" i="4"/>
  <c r="T5" i="4"/>
  <c r="AC5" i="4" s="1"/>
  <c r="S5" i="4"/>
  <c r="AB5" i="4" s="1"/>
  <c r="R5" i="4"/>
  <c r="Q5" i="4"/>
  <c r="U4" i="4"/>
  <c r="T4" i="4"/>
  <c r="AC4" i="4" s="1"/>
  <c r="S4" i="4"/>
  <c r="AB4" i="4" s="1"/>
  <c r="R4" i="4"/>
  <c r="Q4" i="4"/>
  <c r="U3" i="4"/>
  <c r="T3" i="4"/>
  <c r="AC3" i="4" s="1"/>
  <c r="S3" i="4"/>
  <c r="AB3" i="4" s="1"/>
  <c r="R3" i="4"/>
  <c r="Q3" i="4"/>
  <c r="U2" i="4"/>
  <c r="T2" i="4"/>
  <c r="AC2" i="4" s="1"/>
  <c r="S2" i="4"/>
  <c r="AB2" i="4" s="1"/>
  <c r="R2" i="4"/>
  <c r="Q2" i="4"/>
  <c r="C24" i="3"/>
  <c r="D24" i="3" s="1"/>
  <c r="D22" i="3"/>
  <c r="D21" i="3"/>
  <c r="D18" i="3"/>
  <c r="D17" i="3"/>
  <c r="D14" i="3"/>
  <c r="D13" i="3"/>
  <c r="D9" i="3"/>
  <c r="D8" i="3"/>
  <c r="D5" i="3"/>
  <c r="D4" i="3"/>
  <c r="L5" i="1"/>
  <c r="I5" i="1"/>
  <c r="L4" i="1"/>
  <c r="I4" i="1"/>
  <c r="O3" i="1"/>
  <c r="N3" i="1"/>
  <c r="L3" i="1"/>
  <c r="J3" i="1"/>
  <c r="I3" i="1"/>
  <c r="O2" i="1"/>
  <c r="N2" i="1"/>
  <c r="L2" i="1"/>
  <c r="J2" i="1"/>
  <c r="I2" i="1"/>
  <c r="V259" i="2"/>
  <c r="G259" i="2"/>
  <c r="L219" i="2"/>
  <c r="I219" i="2"/>
  <c r="L218" i="2"/>
  <c r="I218" i="2"/>
  <c r="L217" i="2"/>
  <c r="I217" i="2"/>
  <c r="L223" i="2"/>
  <c r="I223" i="2"/>
  <c r="L216" i="2"/>
  <c r="I216" i="2"/>
  <c r="L215" i="2"/>
  <c r="I215" i="2"/>
  <c r="L214" i="2"/>
  <c r="I214" i="2"/>
  <c r="L213" i="2"/>
  <c r="I213" i="2"/>
  <c r="L212" i="2"/>
  <c r="I212" i="2"/>
  <c r="L211" i="2"/>
  <c r="I211" i="2"/>
  <c r="L210" i="2"/>
  <c r="I210" i="2"/>
  <c r="L209" i="2"/>
  <c r="I209" i="2"/>
  <c r="L208" i="2"/>
  <c r="I208" i="2"/>
  <c r="L207" i="2"/>
  <c r="I207" i="2"/>
  <c r="L206" i="2"/>
  <c r="I206" i="2"/>
  <c r="L205" i="2"/>
  <c r="I205" i="2"/>
  <c r="L204" i="2"/>
  <c r="I204" i="2"/>
  <c r="L203" i="2"/>
  <c r="I203" i="2"/>
  <c r="L202" i="2"/>
  <c r="I202" i="2"/>
  <c r="L201" i="2"/>
  <c r="I201" i="2"/>
  <c r="L200" i="2"/>
  <c r="I200" i="2"/>
  <c r="L199" i="2"/>
  <c r="I199" i="2"/>
  <c r="L198" i="2"/>
  <c r="I198" i="2"/>
  <c r="L197" i="2"/>
  <c r="I197" i="2"/>
  <c r="L196" i="2"/>
  <c r="I196" i="2"/>
  <c r="L195" i="2"/>
  <c r="I195" i="2"/>
  <c r="I194" i="2"/>
  <c r="L193" i="2"/>
  <c r="I193" i="2"/>
  <c r="L192" i="2"/>
  <c r="I192" i="2"/>
  <c r="L191" i="2"/>
  <c r="I191" i="2"/>
  <c r="L190" i="2"/>
  <c r="I190" i="2"/>
  <c r="L189" i="2"/>
  <c r="I189" i="2"/>
  <c r="L188" i="2"/>
  <c r="I188" i="2"/>
  <c r="L187" i="2"/>
  <c r="I187" i="2"/>
  <c r="L186" i="2"/>
  <c r="I186" i="2"/>
  <c r="L185" i="2"/>
  <c r="I185" i="2"/>
  <c r="L184" i="2"/>
  <c r="I184" i="2"/>
  <c r="L183" i="2"/>
  <c r="I183" i="2"/>
  <c r="L182" i="2"/>
  <c r="I182" i="2"/>
  <c r="L181" i="2"/>
  <c r="I181" i="2"/>
  <c r="L180" i="2"/>
  <c r="I180" i="2"/>
  <c r="L179" i="2"/>
  <c r="I179" i="2"/>
  <c r="L178" i="2"/>
  <c r="I178" i="2"/>
  <c r="L177" i="2"/>
  <c r="I177" i="2"/>
  <c r="L176" i="2"/>
  <c r="I176" i="2"/>
  <c r="L175" i="2"/>
  <c r="I175" i="2"/>
  <c r="L174" i="2"/>
  <c r="I174" i="2"/>
  <c r="L173" i="2"/>
  <c r="I173" i="2"/>
  <c r="L172" i="2"/>
  <c r="I172" i="2"/>
  <c r="L171" i="2"/>
  <c r="I171" i="2"/>
  <c r="L170" i="2"/>
  <c r="I170" i="2"/>
  <c r="L169" i="2"/>
  <c r="I169" i="2"/>
  <c r="L168" i="2"/>
  <c r="I168" i="2"/>
  <c r="L167" i="2"/>
  <c r="I167" i="2"/>
  <c r="I166" i="2"/>
  <c r="L165" i="2"/>
  <c r="I165" i="2"/>
  <c r="L164" i="2"/>
  <c r="I164" i="2"/>
  <c r="L163" i="2"/>
  <c r="I163" i="2"/>
  <c r="L162" i="2"/>
  <c r="I162" i="2"/>
  <c r="L161" i="2"/>
  <c r="I161" i="2"/>
  <c r="L160" i="2"/>
  <c r="I160" i="2"/>
  <c r="I159" i="2"/>
  <c r="I158" i="2"/>
  <c r="I157" i="2"/>
  <c r="I156" i="2"/>
  <c r="I155" i="2"/>
  <c r="I154" i="2"/>
  <c r="L153" i="2"/>
  <c r="I153" i="2"/>
  <c r="L152" i="2"/>
  <c r="I152" i="2"/>
  <c r="L151" i="2"/>
  <c r="I151" i="2"/>
  <c r="L150" i="2"/>
  <c r="I150" i="2"/>
  <c r="I149" i="2"/>
  <c r="I148" i="2"/>
  <c r="L147" i="2"/>
  <c r="I147" i="2"/>
  <c r="I146" i="2"/>
  <c r="L145" i="2"/>
  <c r="I145" i="2"/>
  <c r="L144" i="2"/>
  <c r="I144" i="2"/>
  <c r="L143" i="2"/>
  <c r="I143" i="2"/>
  <c r="L142" i="2"/>
  <c r="I142" i="2"/>
  <c r="L141" i="2"/>
  <c r="I141" i="2"/>
  <c r="L140" i="2"/>
  <c r="I140" i="2"/>
  <c r="L139" i="2"/>
  <c r="I139" i="2"/>
  <c r="L138" i="2"/>
  <c r="I138" i="2"/>
  <c r="L137" i="2"/>
  <c r="I137" i="2"/>
  <c r="L136" i="2"/>
  <c r="I136" i="2"/>
  <c r="L135" i="2"/>
  <c r="I135" i="2"/>
  <c r="L134" i="2"/>
  <c r="I134" i="2"/>
  <c r="L133" i="2"/>
  <c r="I133" i="2"/>
  <c r="L132" i="2"/>
  <c r="I132" i="2"/>
  <c r="L131" i="2"/>
  <c r="I131" i="2"/>
  <c r="L130" i="2"/>
  <c r="I130" i="2"/>
  <c r="I129" i="2"/>
  <c r="L128" i="2"/>
  <c r="I128" i="2"/>
  <c r="L127" i="2"/>
  <c r="I127" i="2"/>
  <c r="L126" i="2"/>
  <c r="I126" i="2"/>
  <c r="L125" i="2"/>
  <c r="I125" i="2"/>
  <c r="L124" i="2"/>
  <c r="I124" i="2"/>
  <c r="L123" i="2"/>
  <c r="I123" i="2"/>
  <c r="L122" i="2"/>
  <c r="I122" i="2"/>
  <c r="L121" i="2"/>
  <c r="I121" i="2"/>
  <c r="L120" i="2"/>
  <c r="I120" i="2"/>
  <c r="L119" i="2"/>
  <c r="I119" i="2"/>
  <c r="L118" i="2"/>
  <c r="I118" i="2"/>
  <c r="I117" i="2"/>
  <c r="L116" i="2"/>
  <c r="I116" i="2"/>
  <c r="L115" i="2"/>
  <c r="I115" i="2"/>
  <c r="L114" i="2"/>
  <c r="I114" i="2"/>
  <c r="L113" i="2"/>
  <c r="I113" i="2"/>
  <c r="L112" i="2"/>
  <c r="I112" i="2"/>
  <c r="N111" i="2"/>
  <c r="L111" i="2"/>
  <c r="O111" i="2" s="1"/>
  <c r="L110" i="2"/>
  <c r="I110" i="2"/>
  <c r="L109" i="2"/>
  <c r="I109" i="2"/>
  <c r="L108" i="2"/>
  <c r="I108" i="2"/>
  <c r="L107" i="2"/>
  <c r="I107" i="2"/>
  <c r="L106" i="2"/>
  <c r="I106" i="2"/>
  <c r="L105" i="2"/>
  <c r="I105" i="2"/>
  <c r="L104" i="2"/>
  <c r="I104" i="2"/>
  <c r="L103" i="2"/>
  <c r="I103" i="2"/>
  <c r="L102" i="2"/>
  <c r="I102" i="2"/>
  <c r="L101" i="2"/>
  <c r="I101" i="2"/>
  <c r="L100" i="2"/>
  <c r="I100" i="2"/>
  <c r="L99" i="2"/>
  <c r="I99" i="2"/>
  <c r="L98" i="2"/>
  <c r="I98" i="2"/>
  <c r="L97" i="2"/>
  <c r="I97" i="2"/>
  <c r="L96" i="2"/>
  <c r="I96" i="2"/>
  <c r="L95"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L60" i="2"/>
  <c r="I60" i="2"/>
  <c r="L59" i="2"/>
  <c r="I59" i="2"/>
  <c r="L58" i="2"/>
  <c r="I58" i="2"/>
  <c r="L57" i="2"/>
  <c r="I57" i="2"/>
  <c r="L56" i="2"/>
  <c r="I56" i="2"/>
  <c r="I55" i="2"/>
  <c r="L54" i="2"/>
  <c r="I54" i="2"/>
  <c r="L53" i="2"/>
  <c r="I53" i="2"/>
  <c r="L52" i="2"/>
  <c r="I52" i="2"/>
  <c r="L51" i="2"/>
  <c r="I51" i="2"/>
  <c r="L50" i="2"/>
  <c r="I50" i="2"/>
  <c r="L49" i="2"/>
  <c r="I49" i="2"/>
  <c r="L48" i="2"/>
  <c r="I48" i="2"/>
  <c r="L47" i="2"/>
  <c r="I47" i="2"/>
  <c r="L46" i="2"/>
  <c r="I46" i="2"/>
  <c r="L45" i="2"/>
  <c r="I45" i="2"/>
  <c r="I44" i="2"/>
  <c r="N44" i="2" s="1"/>
  <c r="I43" i="2"/>
  <c r="N43" i="2" s="1"/>
  <c r="I42" i="2"/>
  <c r="N42" i="2" s="1"/>
  <c r="L41" i="2"/>
  <c r="I41" i="2"/>
  <c r="L40" i="2"/>
  <c r="I40" i="2"/>
  <c r="I39" i="2"/>
  <c r="L38" i="2"/>
  <c r="I38" i="2"/>
  <c r="L37" i="2"/>
  <c r="I37" i="2"/>
  <c r="L36" i="2"/>
  <c r="I36" i="2"/>
  <c r="L35" i="2"/>
  <c r="I35" i="2"/>
  <c r="L34" i="2"/>
  <c r="I34" i="2"/>
  <c r="L33" i="2"/>
  <c r="I33" i="2"/>
  <c r="L32" i="2"/>
  <c r="I32" i="2"/>
  <c r="L31" i="2"/>
  <c r="I31" i="2"/>
  <c r="L30" i="2"/>
  <c r="I30" i="2"/>
  <c r="L29" i="2"/>
  <c r="I29" i="2"/>
  <c r="L28" i="2"/>
  <c r="I28" i="2"/>
  <c r="L27" i="2"/>
  <c r="I27" i="2"/>
  <c r="L26" i="2"/>
  <c r="I26" i="2"/>
  <c r="L25" i="2"/>
  <c r="I25" i="2"/>
  <c r="L24" i="2"/>
  <c r="I24" i="2"/>
  <c r="I23" i="2"/>
  <c r="I22" i="2"/>
  <c r="I21" i="2"/>
  <c r="I20" i="2"/>
  <c r="I19" i="2"/>
  <c r="I18" i="2"/>
  <c r="I17" i="2"/>
  <c r="I16" i="2"/>
  <c r="I15" i="2"/>
  <c r="I14" i="2"/>
  <c r="L13" i="2"/>
  <c r="I13" i="2"/>
  <c r="L12" i="2"/>
  <c r="I12" i="2"/>
  <c r="L11" i="2"/>
  <c r="I11" i="2"/>
  <c r="L10" i="2"/>
  <c r="I10" i="2"/>
  <c r="L9" i="2"/>
  <c r="I9" i="2"/>
  <c r="I8" i="2"/>
  <c r="I7" i="2"/>
  <c r="L6" i="2"/>
  <c r="I6" i="2"/>
  <c r="L5" i="2"/>
  <c r="I5" i="2"/>
  <c r="L4" i="2"/>
  <c r="I4" i="2"/>
  <c r="O257" i="2" l="1"/>
  <c r="N257" i="2"/>
  <c r="J257" i="2"/>
  <c r="O258" i="2"/>
  <c r="N258" i="2"/>
  <c r="J258" i="2"/>
  <c r="D25" i="3"/>
  <c r="T62" i="4"/>
  <c r="O256" i="2"/>
  <c r="N256" i="2"/>
  <c r="J256" i="2"/>
  <c r="O255" i="2"/>
  <c r="N255" i="2"/>
  <c r="J255" i="2"/>
  <c r="J254" i="2"/>
  <c r="O254" i="2"/>
  <c r="N254" i="2"/>
  <c r="J253" i="2"/>
  <c r="O253" i="2"/>
  <c r="N253" i="2"/>
  <c r="O252" i="2"/>
  <c r="N252" i="2"/>
  <c r="J252" i="2"/>
  <c r="J251" i="2"/>
  <c r="O251" i="2"/>
  <c r="N251" i="2"/>
  <c r="O250" i="2"/>
  <c r="N250" i="2"/>
  <c r="J250" i="2"/>
  <c r="O249" i="2"/>
  <c r="N249" i="2"/>
  <c r="J249" i="2"/>
  <c r="O248" i="2"/>
  <c r="N248" i="2"/>
  <c r="J248" i="2"/>
  <c r="O247" i="2"/>
  <c r="N247" i="2"/>
  <c r="J247" i="2"/>
  <c r="J246" i="2"/>
  <c r="N246" i="2"/>
  <c r="O245" i="2"/>
  <c r="N245" i="2"/>
  <c r="J245" i="2"/>
  <c r="O244" i="2"/>
  <c r="N244" i="2"/>
  <c r="J244" i="2"/>
  <c r="O243" i="2"/>
  <c r="N243" i="2"/>
  <c r="J243" i="2"/>
  <c r="O242" i="2"/>
  <c r="N242" i="2"/>
  <c r="J242" i="2"/>
  <c r="O241" i="2"/>
  <c r="N241" i="2"/>
  <c r="J241" i="2"/>
  <c r="O240" i="2"/>
  <c r="N240" i="2"/>
  <c r="J240" i="2"/>
  <c r="O239" i="2"/>
  <c r="N239" i="2"/>
  <c r="J239" i="2"/>
  <c r="O238" i="2"/>
  <c r="N238" i="2"/>
  <c r="J238" i="2"/>
  <c r="O237" i="2"/>
  <c r="N237" i="2"/>
  <c r="J237" i="2"/>
  <c r="O236" i="2"/>
  <c r="N236" i="2"/>
  <c r="J236" i="2"/>
  <c r="O235" i="2"/>
  <c r="N235" i="2"/>
  <c r="J235" i="2"/>
  <c r="J234" i="2"/>
  <c r="O234" i="2"/>
  <c r="N234" i="2"/>
  <c r="O233" i="2"/>
  <c r="N233" i="2"/>
  <c r="J233" i="2"/>
  <c r="O232" i="2"/>
  <c r="N232" i="2"/>
  <c r="J232" i="2"/>
  <c r="O231" i="2"/>
  <c r="N231" i="2"/>
  <c r="J231" i="2"/>
  <c r="O230" i="2"/>
  <c r="N230" i="2"/>
  <c r="J230" i="2"/>
  <c r="AC58" i="4"/>
  <c r="O229" i="2"/>
  <c r="N229" i="2"/>
  <c r="J229" i="2"/>
  <c r="O228" i="2"/>
  <c r="N228" i="2"/>
  <c r="J228" i="2"/>
  <c r="O227" i="2"/>
  <c r="N227" i="2"/>
  <c r="J227" i="2"/>
  <c r="O226" i="2"/>
  <c r="N226" i="2"/>
  <c r="J226" i="2"/>
  <c r="O225" i="2"/>
  <c r="N225" i="2"/>
  <c r="J225" i="2"/>
  <c r="J224" i="2"/>
  <c r="O224" i="2"/>
  <c r="N224" i="2"/>
  <c r="AB889" i="14"/>
  <c r="AO7" i="14"/>
  <c r="AB888" i="14"/>
  <c r="AO6" i="14"/>
  <c r="Z887" i="14"/>
  <c r="AO5" i="14"/>
  <c r="N472" i="13"/>
  <c r="M472" i="13"/>
  <c r="N471" i="13"/>
  <c r="M471" i="13"/>
  <c r="N470" i="13"/>
  <c r="M470" i="13"/>
  <c r="N469" i="13"/>
  <c r="M469" i="13"/>
  <c r="N468" i="13"/>
  <c r="M468" i="13"/>
  <c r="N467" i="13"/>
  <c r="M467" i="13"/>
  <c r="N466" i="13"/>
  <c r="M466" i="13"/>
  <c r="M465" i="13"/>
  <c r="N465" i="13"/>
  <c r="N464" i="13"/>
  <c r="M464" i="13"/>
  <c r="N463" i="13"/>
  <c r="M463" i="13"/>
  <c r="M462" i="13"/>
  <c r="N462" i="13"/>
  <c r="N461" i="13"/>
  <c r="M461" i="13"/>
  <c r="N460" i="13"/>
  <c r="M460" i="13"/>
  <c r="M459" i="13"/>
  <c r="N459" i="13"/>
  <c r="N458" i="13"/>
  <c r="M458" i="13"/>
  <c r="N457" i="13"/>
  <c r="M457" i="13"/>
  <c r="M456" i="13"/>
  <c r="N456" i="13"/>
  <c r="N455" i="13"/>
  <c r="M455" i="13"/>
  <c r="N454" i="13"/>
  <c r="M454" i="13"/>
  <c r="M453" i="13"/>
  <c r="N453" i="13"/>
  <c r="M452" i="13"/>
  <c r="N452" i="13"/>
  <c r="N451" i="13"/>
  <c r="M451" i="13"/>
  <c r="M450" i="13"/>
  <c r="N450" i="13"/>
  <c r="M449" i="13"/>
  <c r="N449" i="13"/>
  <c r="N448" i="13"/>
  <c r="M448" i="13"/>
  <c r="M447" i="13"/>
  <c r="N447" i="13"/>
  <c r="N446" i="13"/>
  <c r="M446" i="13"/>
  <c r="M445" i="13"/>
  <c r="N445" i="13"/>
  <c r="M444" i="13"/>
  <c r="N444" i="13"/>
  <c r="M443" i="13"/>
  <c r="N443" i="13"/>
  <c r="N442" i="13"/>
  <c r="M442" i="13"/>
  <c r="N441" i="13"/>
  <c r="M441" i="13"/>
  <c r="M440" i="13"/>
  <c r="N440" i="13"/>
  <c r="M439" i="13"/>
  <c r="N439" i="13"/>
  <c r="N438" i="13"/>
  <c r="M438" i="13"/>
  <c r="N437" i="13"/>
  <c r="M437" i="13"/>
  <c r="M436" i="13"/>
  <c r="N436" i="13"/>
  <c r="M435" i="13"/>
  <c r="N435" i="13"/>
  <c r="M434" i="13"/>
  <c r="N434" i="13"/>
  <c r="N433" i="13"/>
  <c r="M433" i="13"/>
  <c r="M432" i="13"/>
  <c r="N432" i="13"/>
  <c r="M431" i="13"/>
  <c r="N431" i="13"/>
  <c r="N430" i="13"/>
  <c r="M430" i="13"/>
  <c r="N429" i="13"/>
  <c r="M429" i="13"/>
  <c r="M428" i="13"/>
  <c r="N428" i="13"/>
  <c r="N427" i="13"/>
  <c r="M427" i="13"/>
  <c r="N426" i="13"/>
  <c r="M426" i="13"/>
  <c r="N425" i="13"/>
  <c r="M425" i="13"/>
  <c r="M424" i="13"/>
  <c r="N424" i="13"/>
  <c r="M423" i="13"/>
  <c r="N423" i="13"/>
  <c r="N422" i="13"/>
  <c r="M422" i="13"/>
  <c r="M421" i="13"/>
  <c r="N421" i="13"/>
  <c r="M420" i="13"/>
  <c r="N420" i="13"/>
  <c r="N419" i="13"/>
  <c r="M419" i="13"/>
  <c r="M418" i="13"/>
  <c r="N418" i="13"/>
  <c r="M417" i="13"/>
  <c r="N417" i="13"/>
  <c r="M416" i="13"/>
  <c r="N416" i="13"/>
  <c r="N415" i="13"/>
  <c r="M415" i="13"/>
  <c r="M414" i="13"/>
  <c r="N414" i="13"/>
  <c r="M413" i="13"/>
  <c r="N413" i="13"/>
  <c r="M412" i="13"/>
  <c r="N412" i="13"/>
  <c r="M411" i="13"/>
  <c r="N411" i="13"/>
  <c r="M410" i="13"/>
  <c r="N410" i="13"/>
  <c r="M409" i="13"/>
  <c r="N409" i="13"/>
  <c r="M408" i="13"/>
  <c r="N408" i="13"/>
  <c r="N407" i="13"/>
  <c r="M407" i="13"/>
  <c r="N406" i="13"/>
  <c r="M406" i="13"/>
  <c r="M405" i="13"/>
  <c r="N405" i="13"/>
  <c r="N404" i="13"/>
  <c r="M404" i="13"/>
  <c r="M403" i="13"/>
  <c r="N403" i="13"/>
  <c r="N402" i="13"/>
  <c r="M402" i="13"/>
  <c r="N401" i="13"/>
  <c r="M401" i="13"/>
  <c r="N400" i="13"/>
  <c r="M400" i="13"/>
  <c r="N399" i="13"/>
  <c r="M399" i="13"/>
  <c r="M398" i="13"/>
  <c r="N398" i="13"/>
  <c r="M397" i="13"/>
  <c r="N397" i="13"/>
  <c r="M396" i="13"/>
  <c r="N396" i="13"/>
  <c r="N395" i="13"/>
  <c r="M395" i="13"/>
  <c r="M394" i="13"/>
  <c r="N394" i="13"/>
  <c r="N393" i="13"/>
  <c r="M393" i="13"/>
  <c r="M392" i="13"/>
  <c r="N392" i="13"/>
  <c r="N391" i="13"/>
  <c r="M391" i="13"/>
  <c r="N390" i="13"/>
  <c r="M390" i="13"/>
  <c r="M389" i="13"/>
  <c r="N389" i="13"/>
  <c r="M388" i="13"/>
  <c r="N388" i="13"/>
  <c r="N387" i="13"/>
  <c r="M387" i="13"/>
  <c r="M386" i="13"/>
  <c r="N386" i="13"/>
  <c r="N385" i="13"/>
  <c r="M385" i="13"/>
  <c r="N384" i="13"/>
  <c r="M384" i="13"/>
  <c r="N383" i="13"/>
  <c r="M383" i="13"/>
  <c r="N382" i="13"/>
  <c r="M382" i="13"/>
  <c r="N381" i="13"/>
  <c r="M381" i="13"/>
  <c r="M380" i="13"/>
  <c r="N380" i="13"/>
  <c r="M379" i="13"/>
  <c r="N379" i="13"/>
  <c r="M378" i="13"/>
  <c r="N378" i="13"/>
  <c r="M377" i="13"/>
  <c r="N377" i="13"/>
  <c r="M376" i="13"/>
  <c r="N376" i="13"/>
  <c r="N375" i="13"/>
  <c r="M375" i="13"/>
  <c r="M374" i="13"/>
  <c r="N374" i="13"/>
  <c r="N373" i="13"/>
  <c r="M373" i="13"/>
  <c r="N372" i="13"/>
  <c r="M372" i="13"/>
  <c r="N371" i="13"/>
  <c r="M371" i="13"/>
  <c r="N370" i="13"/>
  <c r="M370" i="13"/>
  <c r="M369" i="13"/>
  <c r="N369" i="13"/>
  <c r="M368" i="13"/>
  <c r="N368" i="13"/>
  <c r="N367" i="13"/>
  <c r="M367" i="13"/>
  <c r="N366" i="13"/>
  <c r="M366" i="13"/>
  <c r="N365" i="13"/>
  <c r="M365" i="13"/>
  <c r="M364" i="13"/>
  <c r="N364" i="13"/>
  <c r="M363" i="13"/>
  <c r="N363" i="13"/>
  <c r="M362" i="13"/>
  <c r="N362" i="13"/>
  <c r="M361" i="13"/>
  <c r="N361" i="13"/>
  <c r="N360" i="13"/>
  <c r="M360" i="13"/>
  <c r="N359" i="13"/>
  <c r="M359" i="13"/>
  <c r="M358" i="13"/>
  <c r="N358" i="13"/>
  <c r="N357" i="13"/>
  <c r="M357" i="13"/>
  <c r="N356" i="13"/>
  <c r="M356" i="13"/>
  <c r="M355" i="13"/>
  <c r="N355" i="13"/>
  <c r="M354" i="13"/>
  <c r="N354" i="13"/>
  <c r="N353" i="13"/>
  <c r="M353" i="13"/>
  <c r="M352" i="13"/>
  <c r="N352" i="13"/>
  <c r="N351" i="13"/>
  <c r="M351" i="13"/>
  <c r="M350" i="13"/>
  <c r="N350" i="13"/>
  <c r="M349" i="13"/>
  <c r="N349" i="13"/>
  <c r="M348" i="13"/>
  <c r="N348" i="13"/>
  <c r="M347" i="13"/>
  <c r="N347" i="13"/>
  <c r="M346" i="13"/>
  <c r="N346" i="13"/>
  <c r="N345" i="13"/>
  <c r="M345" i="13"/>
  <c r="N344" i="13"/>
  <c r="M344" i="13"/>
  <c r="M343" i="13"/>
  <c r="N343" i="13"/>
  <c r="M342" i="13"/>
  <c r="N342" i="13"/>
  <c r="M341" i="13"/>
  <c r="N341" i="13"/>
  <c r="N340" i="13"/>
  <c r="M340" i="13"/>
  <c r="M339" i="13"/>
  <c r="N339" i="13"/>
  <c r="M338" i="13"/>
  <c r="N338" i="13"/>
  <c r="N337" i="13"/>
  <c r="M337" i="13"/>
  <c r="M336" i="13"/>
  <c r="N336" i="13"/>
  <c r="N335" i="13"/>
  <c r="M335" i="13"/>
  <c r="M334" i="13"/>
  <c r="N334" i="13"/>
  <c r="N333" i="13"/>
  <c r="M333" i="13"/>
  <c r="N332" i="13"/>
  <c r="M332" i="13"/>
  <c r="M331" i="13"/>
  <c r="N331" i="13"/>
  <c r="N330" i="13"/>
  <c r="M330" i="13"/>
  <c r="M329" i="13"/>
  <c r="N329" i="13"/>
  <c r="M328" i="13"/>
  <c r="N328" i="13"/>
  <c r="N327" i="13"/>
  <c r="M327" i="13"/>
  <c r="M326" i="13"/>
  <c r="N326" i="13"/>
  <c r="N325" i="13"/>
  <c r="M325" i="13"/>
  <c r="M324" i="13"/>
  <c r="N324" i="13"/>
  <c r="M323" i="13"/>
  <c r="N323" i="13"/>
  <c r="N322" i="13"/>
  <c r="M322" i="13"/>
  <c r="N321" i="13"/>
  <c r="M321" i="13"/>
  <c r="N320" i="13"/>
  <c r="M320" i="13"/>
  <c r="N319" i="13"/>
  <c r="M319" i="13"/>
  <c r="M318" i="13"/>
  <c r="N318" i="13"/>
  <c r="M317" i="13"/>
  <c r="N317" i="13"/>
  <c r="N316" i="13"/>
  <c r="M316" i="13"/>
  <c r="M315" i="13"/>
  <c r="N315" i="13"/>
  <c r="N314" i="13"/>
  <c r="M314" i="13"/>
  <c r="M313" i="13"/>
  <c r="N313" i="13"/>
  <c r="M312" i="13"/>
  <c r="N312" i="13"/>
  <c r="M311" i="13"/>
  <c r="N311" i="13"/>
  <c r="M310" i="13"/>
  <c r="N310" i="13"/>
  <c r="M309" i="13"/>
  <c r="N309" i="13"/>
  <c r="M308" i="13"/>
  <c r="N308" i="13"/>
  <c r="M307" i="13"/>
  <c r="N307" i="13"/>
  <c r="N306" i="13"/>
  <c r="M306" i="13"/>
  <c r="N305" i="13"/>
  <c r="M305" i="13"/>
  <c r="M304" i="13"/>
  <c r="N304" i="13"/>
  <c r="N303" i="13"/>
  <c r="M303" i="13"/>
  <c r="N302" i="13"/>
  <c r="M302" i="13"/>
  <c r="N301" i="13"/>
  <c r="M301" i="13"/>
  <c r="N300" i="13"/>
  <c r="M300" i="13"/>
  <c r="M299" i="13"/>
  <c r="N299" i="13"/>
  <c r="N298" i="13"/>
  <c r="M298" i="13"/>
  <c r="M297" i="13"/>
  <c r="N297" i="13"/>
  <c r="M296" i="13"/>
  <c r="N296" i="13"/>
  <c r="N294" i="13"/>
  <c r="M294" i="13"/>
  <c r="M292" i="13"/>
  <c r="N292" i="13"/>
  <c r="M291" i="13"/>
  <c r="N291" i="13"/>
  <c r="M290" i="13"/>
  <c r="N290" i="13"/>
  <c r="M289" i="13"/>
  <c r="N289" i="13"/>
  <c r="N288" i="13"/>
  <c r="M288" i="13"/>
  <c r="N287" i="13"/>
  <c r="M287" i="13"/>
  <c r="M286" i="13"/>
  <c r="N286" i="13"/>
  <c r="M285" i="13"/>
  <c r="N285" i="13"/>
  <c r="M284" i="13"/>
  <c r="N284" i="13"/>
  <c r="M283" i="13"/>
  <c r="N283" i="13"/>
  <c r="M282" i="13"/>
  <c r="N282" i="13"/>
  <c r="M281" i="13"/>
  <c r="N281" i="13"/>
  <c r="N279" i="13"/>
  <c r="M279" i="13"/>
  <c r="N278" i="13"/>
  <c r="M278" i="13"/>
  <c r="N277" i="13"/>
  <c r="M277" i="13"/>
  <c r="N276" i="13"/>
  <c r="M276" i="13"/>
  <c r="N275" i="13"/>
  <c r="M275" i="13"/>
  <c r="N274" i="13"/>
  <c r="M274" i="13"/>
  <c r="N273" i="13"/>
  <c r="M273" i="13"/>
  <c r="N272" i="13"/>
  <c r="M272" i="13"/>
  <c r="N271" i="13"/>
  <c r="M271" i="13"/>
  <c r="N270" i="13"/>
  <c r="M270" i="13"/>
  <c r="M269" i="13"/>
  <c r="N269" i="13"/>
  <c r="M268" i="13"/>
  <c r="N268" i="13"/>
  <c r="M267" i="13"/>
  <c r="N267" i="13"/>
  <c r="M266" i="13"/>
  <c r="N266" i="13"/>
  <c r="N265" i="13"/>
  <c r="M265" i="13"/>
  <c r="N264" i="13"/>
  <c r="M264" i="13"/>
  <c r="N263" i="13"/>
  <c r="M263" i="13"/>
  <c r="N262" i="13"/>
  <c r="M262" i="13"/>
  <c r="N261" i="13"/>
  <c r="M261" i="13"/>
  <c r="N260" i="13"/>
  <c r="M260" i="13"/>
  <c r="N259" i="13"/>
  <c r="M259" i="13"/>
  <c r="N258" i="13"/>
  <c r="M258" i="13"/>
  <c r="N257" i="13"/>
  <c r="M257" i="13"/>
  <c r="N256" i="13"/>
  <c r="M256" i="13"/>
  <c r="N255" i="13"/>
  <c r="M255" i="13"/>
  <c r="N254" i="13"/>
  <c r="M254" i="13"/>
  <c r="N253" i="13"/>
  <c r="M253" i="13"/>
  <c r="N252" i="13"/>
  <c r="M252" i="13"/>
  <c r="N251" i="13"/>
  <c r="M251" i="13"/>
  <c r="N250" i="13"/>
  <c r="M250" i="13"/>
  <c r="N249" i="13"/>
  <c r="M249" i="13"/>
  <c r="N248" i="13"/>
  <c r="M248" i="13"/>
  <c r="N247" i="13"/>
  <c r="M247" i="13"/>
  <c r="N246" i="13"/>
  <c r="M246" i="13"/>
  <c r="N245" i="13"/>
  <c r="M245" i="13"/>
  <c r="N244" i="13"/>
  <c r="M244" i="13"/>
  <c r="N243" i="13"/>
  <c r="M243" i="13"/>
  <c r="N242" i="13"/>
  <c r="M242" i="13"/>
  <c r="N241" i="13"/>
  <c r="M241" i="13"/>
  <c r="N240" i="13"/>
  <c r="M240" i="13"/>
  <c r="M239" i="13"/>
  <c r="N239" i="13"/>
  <c r="N238" i="13"/>
  <c r="M238" i="13"/>
  <c r="M237" i="13"/>
  <c r="N237" i="13"/>
  <c r="N236" i="13"/>
  <c r="M236" i="13"/>
  <c r="N235" i="13"/>
  <c r="M235" i="13"/>
  <c r="N234" i="13"/>
  <c r="M234" i="13"/>
  <c r="M233" i="13"/>
  <c r="N233" i="13"/>
  <c r="M232" i="13"/>
  <c r="N232" i="13"/>
  <c r="M231" i="13"/>
  <c r="N231" i="13"/>
  <c r="M230" i="13"/>
  <c r="N230" i="13"/>
  <c r="N229" i="13"/>
  <c r="M229" i="13"/>
  <c r="N228" i="13"/>
  <c r="M228" i="13"/>
  <c r="N227" i="13"/>
  <c r="M227" i="13"/>
  <c r="N226" i="13"/>
  <c r="M226" i="13"/>
  <c r="N225" i="13"/>
  <c r="M225" i="13"/>
  <c r="M224" i="13"/>
  <c r="N224" i="13"/>
  <c r="M223" i="13"/>
  <c r="N223" i="13"/>
  <c r="M222" i="13"/>
  <c r="N222" i="13"/>
  <c r="M221" i="13"/>
  <c r="N221" i="13"/>
  <c r="M220" i="13"/>
  <c r="N220" i="13"/>
  <c r="N219" i="13"/>
  <c r="M219" i="13"/>
  <c r="N218" i="13"/>
  <c r="M218" i="13"/>
  <c r="M217" i="13"/>
  <c r="N217" i="13"/>
  <c r="N216" i="13"/>
  <c r="M216" i="13"/>
  <c r="N215" i="13"/>
  <c r="M215" i="13"/>
  <c r="M214" i="13"/>
  <c r="N214" i="13"/>
  <c r="M213" i="13"/>
  <c r="N213" i="13"/>
  <c r="M212" i="13"/>
  <c r="N212" i="13"/>
  <c r="M211" i="13"/>
  <c r="N211" i="13"/>
  <c r="N210" i="13"/>
  <c r="M210" i="13"/>
  <c r="M209" i="13"/>
  <c r="N209" i="13"/>
  <c r="M208" i="13"/>
  <c r="N208" i="13"/>
  <c r="N207" i="13"/>
  <c r="M207" i="13"/>
  <c r="N206" i="13"/>
  <c r="M206" i="13"/>
  <c r="N205" i="13"/>
  <c r="M205" i="13"/>
  <c r="M204" i="13"/>
  <c r="N204" i="13"/>
  <c r="M203" i="13"/>
  <c r="N203" i="13"/>
  <c r="N202" i="13"/>
  <c r="M202" i="13"/>
  <c r="N201" i="13"/>
  <c r="M201" i="13"/>
  <c r="N200" i="13"/>
  <c r="M200" i="13"/>
  <c r="N199" i="13"/>
  <c r="M199" i="13"/>
  <c r="N198" i="13"/>
  <c r="M198" i="13"/>
  <c r="M197" i="13"/>
  <c r="N197" i="13"/>
  <c r="N196" i="13"/>
  <c r="M196" i="13"/>
  <c r="N195" i="13"/>
  <c r="M195" i="13"/>
  <c r="N194" i="13"/>
  <c r="M194" i="13"/>
  <c r="N193" i="13"/>
  <c r="M193" i="13"/>
  <c r="N192" i="13"/>
  <c r="M192" i="13"/>
  <c r="N191" i="13"/>
  <c r="M191" i="13"/>
  <c r="N190" i="13"/>
  <c r="M190" i="13"/>
  <c r="N189" i="13"/>
  <c r="M189" i="13"/>
  <c r="N188" i="13"/>
  <c r="M188" i="13"/>
  <c r="M187" i="13"/>
  <c r="N187" i="13"/>
  <c r="M186" i="13"/>
  <c r="N186" i="13"/>
  <c r="M185" i="13"/>
  <c r="N185" i="13"/>
  <c r="M184" i="13"/>
  <c r="N184" i="13"/>
  <c r="M183" i="13"/>
  <c r="N183" i="13"/>
  <c r="M182" i="13"/>
  <c r="N182" i="13"/>
  <c r="N181" i="13"/>
  <c r="M181" i="13"/>
  <c r="N180" i="13"/>
  <c r="M180" i="13"/>
  <c r="N179" i="13"/>
  <c r="M179" i="13"/>
  <c r="M178" i="13"/>
  <c r="N178" i="13"/>
  <c r="M177" i="13"/>
  <c r="N177" i="13"/>
  <c r="N175" i="13"/>
  <c r="M175" i="13"/>
  <c r="N174" i="13"/>
  <c r="M174" i="13"/>
  <c r="M173" i="13"/>
  <c r="N173" i="13"/>
  <c r="M172" i="13"/>
  <c r="N172" i="13"/>
  <c r="M171" i="13"/>
  <c r="N171" i="13"/>
  <c r="M170" i="13"/>
  <c r="N170" i="13"/>
  <c r="N169" i="13"/>
  <c r="M169" i="13"/>
  <c r="N168" i="13"/>
  <c r="M168" i="13"/>
  <c r="M167" i="13"/>
  <c r="N167" i="13"/>
  <c r="N166" i="13"/>
  <c r="M166" i="13"/>
  <c r="M165" i="13"/>
  <c r="N165" i="13"/>
  <c r="M164" i="13"/>
  <c r="N164" i="13"/>
  <c r="M163" i="13"/>
  <c r="N163" i="13"/>
  <c r="M162" i="13"/>
  <c r="N162" i="13"/>
  <c r="M161" i="13"/>
  <c r="N161" i="13"/>
  <c r="M160" i="13"/>
  <c r="N160" i="13"/>
  <c r="N159" i="13"/>
  <c r="M159" i="13"/>
  <c r="M158" i="13"/>
  <c r="N158" i="13"/>
  <c r="N156" i="13"/>
  <c r="M156" i="13"/>
  <c r="N155" i="13"/>
  <c r="M155" i="13"/>
  <c r="N154" i="13"/>
  <c r="M154" i="13"/>
  <c r="N153" i="13"/>
  <c r="M153" i="13"/>
  <c r="M152" i="13"/>
  <c r="N152" i="13"/>
  <c r="N151" i="13"/>
  <c r="M151" i="13"/>
  <c r="N150" i="13"/>
  <c r="M150" i="13"/>
  <c r="N149" i="13"/>
  <c r="M149" i="13"/>
  <c r="N148" i="13"/>
  <c r="M148" i="13"/>
  <c r="N147" i="13"/>
  <c r="M147" i="13"/>
  <c r="N146" i="13"/>
  <c r="M146" i="13"/>
  <c r="N145" i="13"/>
  <c r="M145" i="13"/>
  <c r="N144" i="13"/>
  <c r="M144" i="13"/>
  <c r="N143" i="13"/>
  <c r="M143" i="13"/>
  <c r="N142" i="13"/>
  <c r="M142" i="13"/>
  <c r="N141" i="13"/>
  <c r="M141" i="13"/>
  <c r="N140" i="13"/>
  <c r="M140" i="13"/>
  <c r="M139" i="13"/>
  <c r="N139" i="13"/>
  <c r="N138" i="13"/>
  <c r="M138" i="13"/>
  <c r="M137" i="13"/>
  <c r="N137" i="13"/>
  <c r="M136" i="13"/>
  <c r="N136" i="13"/>
  <c r="M135" i="13"/>
  <c r="N135" i="13"/>
  <c r="N134" i="13"/>
  <c r="M134" i="13"/>
  <c r="M133" i="13"/>
  <c r="N133" i="13"/>
  <c r="I473" i="13"/>
  <c r="N132" i="13"/>
  <c r="M132" i="13"/>
  <c r="N131" i="13"/>
  <c r="M131" i="13"/>
  <c r="N130" i="13"/>
  <c r="M130" i="13"/>
  <c r="N129" i="13"/>
  <c r="M129" i="13"/>
  <c r="M128" i="13"/>
  <c r="N128" i="13"/>
  <c r="M127" i="13"/>
  <c r="N127" i="13"/>
  <c r="M126" i="13"/>
  <c r="N126" i="13"/>
  <c r="N125" i="13"/>
  <c r="M125" i="13"/>
  <c r="N124" i="13"/>
  <c r="M124" i="13"/>
  <c r="N123" i="13"/>
  <c r="M123" i="13"/>
  <c r="N122" i="13"/>
  <c r="M122" i="13"/>
  <c r="N121" i="13"/>
  <c r="M121" i="13"/>
  <c r="M120" i="13"/>
  <c r="N120" i="13"/>
  <c r="M119" i="13"/>
  <c r="N119" i="13"/>
  <c r="M118" i="13"/>
  <c r="N118" i="13"/>
  <c r="N116" i="13"/>
  <c r="M116" i="13"/>
  <c r="N115" i="13"/>
  <c r="M115" i="13"/>
  <c r="N112" i="13"/>
  <c r="M112" i="13"/>
  <c r="N111" i="13"/>
  <c r="M111" i="13"/>
  <c r="N110" i="13"/>
  <c r="M110" i="13"/>
  <c r="N109" i="13"/>
  <c r="M109" i="13"/>
  <c r="M108" i="13"/>
  <c r="N108" i="13"/>
  <c r="N107" i="13"/>
  <c r="M107" i="13"/>
  <c r="N106" i="13"/>
  <c r="M106" i="13"/>
  <c r="N105" i="13"/>
  <c r="M105" i="13"/>
  <c r="N104" i="13"/>
  <c r="M104" i="13"/>
  <c r="N103" i="13"/>
  <c r="M103" i="13"/>
  <c r="N102" i="13"/>
  <c r="M102" i="13"/>
  <c r="N101" i="13"/>
  <c r="M101" i="13"/>
  <c r="M100" i="13"/>
  <c r="N100" i="13"/>
  <c r="M99" i="13"/>
  <c r="N99" i="13"/>
  <c r="M98" i="13"/>
  <c r="N98" i="13"/>
  <c r="M96" i="13"/>
  <c r="N96" i="13"/>
  <c r="N95" i="13"/>
  <c r="M95" i="13"/>
  <c r="N94" i="13"/>
  <c r="M94" i="13"/>
  <c r="N93" i="13"/>
  <c r="M93" i="13"/>
  <c r="N92" i="13"/>
  <c r="M92" i="13"/>
  <c r="N91" i="13"/>
  <c r="M91" i="13"/>
  <c r="N90" i="13"/>
  <c r="M90" i="13"/>
  <c r="M89" i="13"/>
  <c r="N89" i="13"/>
  <c r="M88" i="13"/>
  <c r="N88" i="13"/>
  <c r="M87" i="13"/>
  <c r="N87" i="13"/>
  <c r="N86" i="13"/>
  <c r="M86" i="13"/>
  <c r="N85" i="13"/>
  <c r="M85" i="13"/>
  <c r="M84" i="13"/>
  <c r="N84" i="13"/>
  <c r="N83" i="13"/>
  <c r="M83" i="13"/>
  <c r="M82" i="13"/>
  <c r="N82" i="13"/>
  <c r="N81" i="13"/>
  <c r="M81" i="13"/>
  <c r="N80" i="13"/>
  <c r="M80" i="13"/>
  <c r="N79" i="13"/>
  <c r="M79" i="13"/>
  <c r="M78" i="13"/>
  <c r="N78" i="13"/>
  <c r="N77" i="13"/>
  <c r="M77" i="13"/>
  <c r="M76" i="13"/>
  <c r="N76" i="13"/>
  <c r="N75" i="13"/>
  <c r="M75" i="13"/>
  <c r="M74" i="13"/>
  <c r="N74" i="13"/>
  <c r="N73" i="13"/>
  <c r="M73" i="13"/>
  <c r="N72" i="13"/>
  <c r="M72" i="13"/>
  <c r="N71" i="13"/>
  <c r="M71" i="13"/>
  <c r="N70" i="13"/>
  <c r="M70" i="13"/>
  <c r="N69" i="13"/>
  <c r="M69" i="13"/>
  <c r="N68" i="13"/>
  <c r="M68" i="13"/>
  <c r="M67" i="13"/>
  <c r="N67" i="13"/>
  <c r="M66" i="13"/>
  <c r="N66" i="13"/>
  <c r="N65" i="13"/>
  <c r="M65" i="13"/>
  <c r="M64" i="13"/>
  <c r="N64" i="13"/>
  <c r="M63" i="13"/>
  <c r="N63" i="13"/>
  <c r="M62" i="13"/>
  <c r="N62" i="13"/>
  <c r="M61" i="13"/>
  <c r="N61" i="13"/>
  <c r="M60" i="13"/>
  <c r="N60" i="13"/>
  <c r="M59" i="13"/>
  <c r="N59" i="13"/>
  <c r="M58" i="13"/>
  <c r="N58" i="13"/>
  <c r="M57" i="13"/>
  <c r="N57" i="13"/>
  <c r="M56" i="13"/>
  <c r="N56" i="13"/>
  <c r="M55" i="13"/>
  <c r="N55" i="13"/>
  <c r="N54" i="13"/>
  <c r="M54" i="13"/>
  <c r="N53" i="13"/>
  <c r="M53" i="13"/>
  <c r="N52" i="13"/>
  <c r="M52" i="13"/>
  <c r="N51" i="13"/>
  <c r="M51" i="13"/>
  <c r="N50" i="13"/>
  <c r="M50" i="13"/>
  <c r="M49" i="13"/>
  <c r="N49" i="13"/>
  <c r="N48" i="13"/>
  <c r="M48" i="13"/>
  <c r="N47" i="13"/>
  <c r="M47" i="13"/>
  <c r="M46" i="13"/>
  <c r="N46" i="13"/>
  <c r="M45" i="13"/>
  <c r="N45" i="13"/>
  <c r="N43" i="13"/>
  <c r="M43" i="13"/>
  <c r="M42" i="13"/>
  <c r="N42" i="13"/>
  <c r="N41" i="13"/>
  <c r="M41" i="13"/>
  <c r="N40" i="13"/>
  <c r="M40" i="13"/>
  <c r="N39" i="13"/>
  <c r="M39" i="13"/>
  <c r="M38" i="13"/>
  <c r="N38" i="13"/>
  <c r="M37" i="13"/>
  <c r="N37" i="13"/>
  <c r="N36" i="13"/>
  <c r="M36" i="13"/>
  <c r="M35" i="13"/>
  <c r="N35" i="13"/>
  <c r="N34" i="13"/>
  <c r="M34" i="13"/>
  <c r="N33" i="13"/>
  <c r="M33" i="13"/>
  <c r="M32" i="13"/>
  <c r="N32" i="13"/>
  <c r="M31" i="13"/>
  <c r="N31" i="13"/>
  <c r="N30" i="13"/>
  <c r="M30" i="13"/>
  <c r="N29" i="13"/>
  <c r="M29" i="13"/>
  <c r="M27" i="13"/>
  <c r="N27" i="13"/>
  <c r="M26" i="13"/>
  <c r="N26" i="13"/>
  <c r="M25" i="13"/>
  <c r="N25" i="13"/>
  <c r="M24" i="13"/>
  <c r="N24" i="13"/>
  <c r="M23" i="13"/>
  <c r="N23" i="13"/>
  <c r="N22" i="13"/>
  <c r="M22" i="13"/>
  <c r="N21" i="13"/>
  <c r="M21" i="13"/>
  <c r="M20" i="13"/>
  <c r="N20" i="13"/>
  <c r="N19" i="13"/>
  <c r="M19" i="13"/>
  <c r="M18" i="13"/>
  <c r="N18" i="13"/>
  <c r="M17" i="13"/>
  <c r="N17" i="13"/>
  <c r="M16" i="13"/>
  <c r="N16" i="13"/>
  <c r="M15" i="13"/>
  <c r="N15" i="13"/>
  <c r="M14" i="13"/>
  <c r="N14" i="13"/>
  <c r="N13" i="13"/>
  <c r="M13" i="13"/>
  <c r="N12" i="13"/>
  <c r="M12" i="13"/>
  <c r="N11" i="13"/>
  <c r="M11" i="13"/>
  <c r="M10" i="13"/>
  <c r="N10" i="13"/>
  <c r="M9" i="13"/>
  <c r="N9" i="13"/>
  <c r="N8" i="13"/>
  <c r="M8" i="13"/>
  <c r="M7" i="13"/>
  <c r="N7" i="13"/>
  <c r="N6" i="13"/>
  <c r="M6" i="13"/>
  <c r="N5" i="13"/>
  <c r="M5" i="13"/>
  <c r="N4" i="13"/>
  <c r="M4" i="13"/>
  <c r="N3" i="13"/>
  <c r="M3" i="13"/>
  <c r="M2" i="13"/>
  <c r="N2" i="13"/>
  <c r="F98" i="10"/>
  <c r="G84" i="10"/>
  <c r="M77" i="10"/>
  <c r="M78" i="10" s="1"/>
  <c r="L77" i="10"/>
  <c r="E49" i="10"/>
  <c r="F48" i="10"/>
  <c r="I69" i="10" s="1"/>
  <c r="F121" i="9"/>
  <c r="G107" i="9"/>
  <c r="F117" i="9"/>
  <c r="G106" i="9"/>
  <c r="M100" i="9"/>
  <c r="L100" i="9"/>
  <c r="M98" i="9"/>
  <c r="M101" i="9" s="1"/>
  <c r="I72" i="9"/>
  <c r="J72" i="9" s="1"/>
  <c r="J87" i="9" s="1"/>
  <c r="F72" i="9"/>
  <c r="J92" i="9" s="1"/>
  <c r="M72" i="9"/>
  <c r="N72" i="9" s="1"/>
  <c r="J98" i="9" s="1"/>
  <c r="EF12" i="8"/>
  <c r="EG12" i="8" s="1"/>
  <c r="DO12" i="8"/>
  <c r="DP12" i="8" s="1"/>
  <c r="CZ12" i="8"/>
  <c r="BQ12" i="8"/>
  <c r="BR12" i="8" s="1"/>
  <c r="BB12" i="8"/>
  <c r="CH12" i="8"/>
  <c r="CI12" i="8" s="1"/>
  <c r="D12" i="8"/>
  <c r="AJ12" i="8"/>
  <c r="AK12" i="8" s="1"/>
  <c r="S12" i="8"/>
  <c r="T12" i="8" s="1"/>
  <c r="EF10" i="8"/>
  <c r="DO10" i="8"/>
  <c r="CW14" i="8"/>
  <c r="CZ10" i="8"/>
  <c r="BB10" i="8"/>
  <c r="BQ10" i="8"/>
  <c r="CH10" i="8"/>
  <c r="CI10" i="8" s="1"/>
  <c r="AY14" i="8"/>
  <c r="A14" i="8"/>
  <c r="S10" i="8"/>
  <c r="D10" i="8"/>
  <c r="AJ10" i="8"/>
  <c r="AC55" i="4"/>
  <c r="AC56" i="4"/>
  <c r="AC57" i="4"/>
  <c r="AC54" i="4"/>
  <c r="O219" i="2"/>
  <c r="N219" i="2"/>
  <c r="J219" i="2"/>
  <c r="O218" i="2"/>
  <c r="N218" i="2"/>
  <c r="J218" i="2"/>
  <c r="N217" i="2"/>
  <c r="O217" i="2"/>
  <c r="J217" i="2"/>
  <c r="O223" i="2"/>
  <c r="J223" i="2"/>
  <c r="N223" i="2"/>
  <c r="J216" i="2"/>
  <c r="N216" i="2"/>
  <c r="O216" i="2"/>
  <c r="O215" i="2"/>
  <c r="N215" i="2"/>
  <c r="J215" i="2"/>
  <c r="N214" i="2"/>
  <c r="J214" i="2"/>
  <c r="O214" i="2"/>
  <c r="N213" i="2"/>
  <c r="J213" i="2"/>
  <c r="O213" i="2"/>
  <c r="O212" i="2"/>
  <c r="J212" i="2"/>
  <c r="N212" i="2"/>
  <c r="J211" i="2"/>
  <c r="O211" i="2"/>
  <c r="O210" i="2"/>
  <c r="J210" i="2"/>
  <c r="O209" i="2"/>
  <c r="J209" i="2"/>
  <c r="J208" i="2"/>
  <c r="O208" i="2"/>
  <c r="I259" i="2"/>
  <c r="J207" i="2"/>
  <c r="O207" i="2"/>
  <c r="J206" i="2"/>
  <c r="O206" i="2"/>
  <c r="J205" i="2"/>
  <c r="O205" i="2"/>
  <c r="O204" i="2"/>
  <c r="J204" i="2"/>
  <c r="J203" i="2"/>
  <c r="O203" i="2"/>
  <c r="J202" i="2"/>
  <c r="O202" i="2"/>
  <c r="O201" i="2"/>
  <c r="N201" i="2"/>
  <c r="J201" i="2"/>
  <c r="N200" i="2"/>
  <c r="O200" i="2"/>
  <c r="J200" i="2"/>
  <c r="N199" i="2"/>
  <c r="J199" i="2"/>
  <c r="O199" i="2"/>
  <c r="J198" i="2"/>
  <c r="O198" i="2"/>
  <c r="N198" i="2"/>
  <c r="J197" i="2"/>
  <c r="O197" i="2"/>
  <c r="N197" i="2"/>
  <c r="N196" i="2"/>
  <c r="O196" i="2"/>
  <c r="J196" i="2"/>
  <c r="O195" i="2"/>
  <c r="J195" i="2"/>
  <c r="N195" i="2"/>
  <c r="O194" i="2"/>
  <c r="J194" i="2"/>
  <c r="N194" i="2"/>
  <c r="J193" i="2"/>
  <c r="N193" i="2"/>
  <c r="O193" i="2"/>
  <c r="N192" i="2"/>
  <c r="O192" i="2"/>
  <c r="J192" i="2"/>
  <c r="N191" i="2"/>
  <c r="J191" i="2"/>
  <c r="O191" i="2"/>
  <c r="O190" i="2"/>
  <c r="J190" i="2"/>
  <c r="N190" i="2"/>
  <c r="J189" i="2"/>
  <c r="N189" i="2"/>
  <c r="O189" i="2"/>
  <c r="O188" i="2"/>
  <c r="J188" i="2"/>
  <c r="N188" i="2"/>
  <c r="N187" i="2"/>
  <c r="J187" i="2"/>
  <c r="O187" i="2"/>
  <c r="O186" i="2"/>
  <c r="J186" i="2"/>
  <c r="N186" i="2"/>
  <c r="J185" i="2"/>
  <c r="N185" i="2"/>
  <c r="O185" i="2"/>
  <c r="N184" i="2"/>
  <c r="J184" i="2"/>
  <c r="O184" i="2"/>
  <c r="J183" i="2"/>
  <c r="N183" i="2"/>
  <c r="O183" i="2"/>
  <c r="N182" i="2"/>
  <c r="J182" i="2"/>
  <c r="O182" i="2"/>
  <c r="O181" i="2"/>
  <c r="N181" i="2"/>
  <c r="J181" i="2"/>
  <c r="O180" i="2"/>
  <c r="N180" i="2"/>
  <c r="J180" i="2"/>
  <c r="O179" i="2"/>
  <c r="N179" i="2"/>
  <c r="J179" i="2"/>
  <c r="O178" i="2"/>
  <c r="N178" i="2"/>
  <c r="J178" i="2"/>
  <c r="O177" i="2"/>
  <c r="N177" i="2"/>
  <c r="J177" i="2"/>
  <c r="O176" i="2"/>
  <c r="N176" i="2"/>
  <c r="J176" i="2"/>
  <c r="O175" i="2"/>
  <c r="N175" i="2"/>
  <c r="J175" i="2"/>
  <c r="O174" i="2"/>
  <c r="N174" i="2"/>
  <c r="J174" i="2"/>
  <c r="O173" i="2"/>
  <c r="N173" i="2"/>
  <c r="J173" i="2"/>
  <c r="O172" i="2"/>
  <c r="N172" i="2"/>
  <c r="J172" i="2"/>
  <c r="O171" i="2"/>
  <c r="N171" i="2"/>
  <c r="J171" i="2"/>
  <c r="O170" i="2"/>
  <c r="N170" i="2"/>
  <c r="J170" i="2"/>
  <c r="O169" i="2"/>
  <c r="N169" i="2"/>
  <c r="J169" i="2"/>
  <c r="O168" i="2"/>
  <c r="N168" i="2"/>
  <c r="J168" i="2"/>
  <c r="O167" i="2"/>
  <c r="N167" i="2"/>
  <c r="J167" i="2"/>
  <c r="O166" i="2"/>
  <c r="N166" i="2"/>
  <c r="J166" i="2"/>
  <c r="O165" i="2"/>
  <c r="N165" i="2"/>
  <c r="J165" i="2"/>
  <c r="O164" i="2"/>
  <c r="N164" i="2"/>
  <c r="J164" i="2"/>
  <c r="O163" i="2"/>
  <c r="N163" i="2"/>
  <c r="J163" i="2"/>
  <c r="J162" i="2"/>
  <c r="O162" i="2"/>
  <c r="N162" i="2"/>
  <c r="O161" i="2"/>
  <c r="N161" i="2"/>
  <c r="J161" i="2"/>
  <c r="O160" i="2"/>
  <c r="N160" i="2"/>
  <c r="J160" i="2"/>
  <c r="O159" i="2"/>
  <c r="N159" i="2"/>
  <c r="J159" i="2"/>
  <c r="O158" i="2"/>
  <c r="N158" i="2"/>
  <c r="J158" i="2"/>
  <c r="J157" i="2"/>
  <c r="N157" i="2"/>
  <c r="O157" i="2"/>
  <c r="N156" i="2"/>
  <c r="J156" i="2"/>
  <c r="O156" i="2"/>
  <c r="O155" i="2"/>
  <c r="N155" i="2"/>
  <c r="J155" i="2"/>
  <c r="J154" i="2"/>
  <c r="O154" i="2"/>
  <c r="N154" i="2"/>
  <c r="N153" i="2"/>
  <c r="J153" i="2"/>
  <c r="O153" i="2"/>
  <c r="J152" i="2"/>
  <c r="N152" i="2"/>
  <c r="O152" i="2"/>
  <c r="J151" i="2"/>
  <c r="N151" i="2"/>
  <c r="O151" i="2"/>
  <c r="O150" i="2"/>
  <c r="J150" i="2"/>
  <c r="N150" i="2"/>
  <c r="J149" i="2"/>
  <c r="N149" i="2"/>
  <c r="O149" i="2"/>
  <c r="J148" i="2"/>
  <c r="N148" i="2"/>
  <c r="O148" i="2"/>
  <c r="N147" i="2"/>
  <c r="J147" i="2"/>
  <c r="O147" i="2"/>
  <c r="O146" i="2"/>
  <c r="N146" i="2"/>
  <c r="J146" i="2"/>
  <c r="O145" i="2"/>
  <c r="N145" i="2"/>
  <c r="J145" i="2"/>
  <c r="O144" i="2"/>
  <c r="N144" i="2"/>
  <c r="J144" i="2"/>
  <c r="O143" i="2"/>
  <c r="N143" i="2"/>
  <c r="J143" i="2"/>
  <c r="O142" i="2"/>
  <c r="J142" i="2"/>
  <c r="N142" i="2"/>
  <c r="N141" i="2"/>
  <c r="O141" i="2"/>
  <c r="J141" i="2"/>
  <c r="J140" i="2"/>
  <c r="N140" i="2"/>
  <c r="O140" i="2"/>
  <c r="J139" i="2"/>
  <c r="N139" i="2"/>
  <c r="O139" i="2"/>
  <c r="N138" i="2"/>
  <c r="O138" i="2"/>
  <c r="J138" i="2"/>
  <c r="O137" i="2"/>
  <c r="N137" i="2"/>
  <c r="O136" i="2"/>
  <c r="N136" i="2"/>
  <c r="J136" i="2"/>
  <c r="O135" i="2"/>
  <c r="N135" i="2"/>
  <c r="J135" i="2"/>
  <c r="O134" i="2"/>
  <c r="N134" i="2"/>
  <c r="J134" i="2"/>
  <c r="J133" i="2"/>
  <c r="N133" i="2"/>
  <c r="O133" i="2"/>
  <c r="J132" i="2"/>
  <c r="N132" i="2"/>
  <c r="O132" i="2"/>
  <c r="J131" i="2"/>
  <c r="N131" i="2"/>
  <c r="O131" i="2"/>
  <c r="O130" i="2"/>
  <c r="J130" i="2"/>
  <c r="N130" i="2"/>
  <c r="O129" i="2"/>
  <c r="N129" i="2"/>
  <c r="J129" i="2"/>
  <c r="N128" i="2"/>
  <c r="O128" i="2"/>
  <c r="J128" i="2"/>
  <c r="N127" i="2"/>
  <c r="J127" i="2"/>
  <c r="O127" i="2"/>
  <c r="O126" i="2"/>
  <c r="N126" i="2"/>
  <c r="J126" i="2"/>
  <c r="N125" i="2"/>
  <c r="O125" i="2"/>
  <c r="J125" i="2"/>
  <c r="N124" i="2"/>
  <c r="J124" i="2"/>
  <c r="O124" i="2"/>
  <c r="O123" i="2"/>
  <c r="J123" i="2"/>
  <c r="N123" i="2"/>
  <c r="O122" i="2"/>
  <c r="N122" i="2"/>
  <c r="J122" i="2"/>
  <c r="O121" i="2"/>
  <c r="N121" i="2"/>
  <c r="J121" i="2"/>
  <c r="O120" i="2"/>
  <c r="N120" i="2"/>
  <c r="J120" i="2"/>
  <c r="J119" i="2"/>
  <c r="N119" i="2"/>
  <c r="O119" i="2"/>
  <c r="J118" i="2"/>
  <c r="N118" i="2"/>
  <c r="O118" i="2"/>
  <c r="O117" i="2"/>
  <c r="N117" i="2"/>
  <c r="O116" i="2"/>
  <c r="N116" i="2"/>
  <c r="J116" i="2"/>
  <c r="O115" i="2"/>
  <c r="N115" i="2"/>
  <c r="J115" i="2"/>
  <c r="N114" i="2"/>
  <c r="J114" i="2"/>
  <c r="O114" i="2"/>
  <c r="O113" i="2"/>
  <c r="N113" i="2"/>
  <c r="J113" i="2"/>
  <c r="O112" i="2"/>
  <c r="N112" i="2"/>
  <c r="J112" i="2"/>
  <c r="O110" i="2"/>
  <c r="N110" i="2"/>
  <c r="J110" i="2"/>
  <c r="O109" i="2"/>
  <c r="N109" i="2"/>
  <c r="J109" i="2"/>
  <c r="O108" i="2"/>
  <c r="N108" i="2"/>
  <c r="O107" i="2"/>
  <c r="N107" i="2"/>
  <c r="N106" i="2"/>
  <c r="O106" i="2"/>
  <c r="N105" i="2"/>
  <c r="O105" i="2"/>
  <c r="O104" i="2"/>
  <c r="N104" i="2"/>
  <c r="J104" i="2"/>
  <c r="J103" i="2"/>
  <c r="O103" i="2"/>
  <c r="N103" i="2"/>
  <c r="N102" i="2"/>
  <c r="J102" i="2"/>
  <c r="O102" i="2"/>
  <c r="N101" i="2"/>
  <c r="J101" i="2"/>
  <c r="O101" i="2"/>
  <c r="O100" i="2"/>
  <c r="N100" i="2"/>
  <c r="J100" i="2"/>
  <c r="N99" i="2"/>
  <c r="J99" i="2"/>
  <c r="O99" i="2"/>
  <c r="O98" i="2"/>
  <c r="N98" i="2"/>
  <c r="J98" i="2"/>
  <c r="N97" i="2"/>
  <c r="J97" i="2"/>
  <c r="O97" i="2"/>
  <c r="N96" i="2"/>
  <c r="J96" i="2"/>
  <c r="O96" i="2"/>
  <c r="N95" i="2"/>
  <c r="O95" i="2"/>
  <c r="J95" i="2"/>
  <c r="N94" i="2"/>
  <c r="O94" i="2"/>
  <c r="J94" i="2"/>
  <c r="J93" i="2"/>
  <c r="N93" i="2"/>
  <c r="O93" i="2"/>
  <c r="O92" i="2"/>
  <c r="N92" i="2"/>
  <c r="J92" i="2"/>
  <c r="O91" i="2"/>
  <c r="N91" i="2"/>
  <c r="J91" i="2"/>
  <c r="O90" i="2"/>
  <c r="N90" i="2"/>
  <c r="J90" i="2"/>
  <c r="O89" i="2"/>
  <c r="N89" i="2"/>
  <c r="J89" i="2"/>
  <c r="N88" i="2"/>
  <c r="O88" i="2"/>
  <c r="J88" i="2"/>
  <c r="J87" i="2"/>
  <c r="N87" i="2"/>
  <c r="O87" i="2"/>
  <c r="N86" i="2"/>
  <c r="J86" i="2"/>
  <c r="O86" i="2"/>
  <c r="N85" i="2"/>
  <c r="J85" i="2"/>
  <c r="O85" i="2"/>
  <c r="O84" i="2"/>
  <c r="J84" i="2"/>
  <c r="N84" i="2"/>
  <c r="O83" i="2"/>
  <c r="N83" i="2"/>
  <c r="J83" i="2"/>
  <c r="O82" i="2"/>
  <c r="J82" i="2"/>
  <c r="N82" i="2"/>
  <c r="J81" i="2"/>
  <c r="N81" i="2"/>
  <c r="O81" i="2"/>
  <c r="O80" i="2"/>
  <c r="J80" i="2"/>
  <c r="N80" i="2"/>
  <c r="J79" i="2"/>
  <c r="N79" i="2"/>
  <c r="O79" i="2"/>
  <c r="O78" i="2"/>
  <c r="J78" i="2"/>
  <c r="N78" i="2"/>
  <c r="N77" i="2"/>
  <c r="J77" i="2"/>
  <c r="O77" i="2"/>
  <c r="J76" i="2"/>
  <c r="N76" i="2"/>
  <c r="O76" i="2"/>
  <c r="O75" i="2"/>
  <c r="N75" i="2"/>
  <c r="J75" i="2"/>
  <c r="O74" i="2"/>
  <c r="N74" i="2"/>
  <c r="J74" i="2"/>
  <c r="O73" i="2"/>
  <c r="N73" i="2"/>
  <c r="J73" i="2"/>
  <c r="J72" i="2"/>
  <c r="N72" i="2"/>
  <c r="O72" i="2"/>
  <c r="N71" i="2"/>
  <c r="O71" i="2"/>
  <c r="J71" i="2"/>
  <c r="J70" i="2"/>
  <c r="N70" i="2"/>
  <c r="O70" i="2"/>
  <c r="J69" i="2"/>
  <c r="N69" i="2"/>
  <c r="O69" i="2"/>
  <c r="N68" i="2"/>
  <c r="O68" i="2"/>
  <c r="J68" i="2"/>
  <c r="O67" i="2"/>
  <c r="N67" i="2"/>
  <c r="J67" i="2"/>
  <c r="O66" i="2"/>
  <c r="N66" i="2"/>
  <c r="J66" i="2"/>
  <c r="N65" i="2"/>
  <c r="J65" i="2"/>
  <c r="O65" i="2"/>
  <c r="O64" i="2"/>
  <c r="N64" i="2"/>
  <c r="J64" i="2"/>
  <c r="O63" i="2"/>
  <c r="J63" i="2"/>
  <c r="N63" i="2"/>
  <c r="N62" i="2"/>
  <c r="O62" i="2"/>
  <c r="J62" i="2"/>
  <c r="J61" i="2"/>
  <c r="N61" i="2"/>
  <c r="O61" i="2"/>
  <c r="O60" i="2"/>
  <c r="N60" i="2"/>
  <c r="J60" i="2"/>
  <c r="O59" i="2"/>
  <c r="N59" i="2"/>
  <c r="J59" i="2"/>
  <c r="O58" i="2"/>
  <c r="N58" i="2"/>
  <c r="J58" i="2"/>
  <c r="O57" i="2"/>
  <c r="N57" i="2"/>
  <c r="J57" i="2"/>
  <c r="O56" i="2"/>
  <c r="N56" i="2"/>
  <c r="J56" i="2"/>
  <c r="N55" i="2"/>
  <c r="J55" i="2"/>
  <c r="O55" i="2"/>
  <c r="O54" i="2"/>
  <c r="N54" i="2"/>
  <c r="N53" i="2"/>
  <c r="O53" i="2"/>
  <c r="J52" i="2"/>
  <c r="O52" i="2"/>
  <c r="N52" i="2"/>
  <c r="O51" i="2"/>
  <c r="N51" i="2"/>
  <c r="J51" i="2"/>
  <c r="O50" i="2"/>
  <c r="N50" i="2"/>
  <c r="J50" i="2"/>
  <c r="N49" i="2"/>
  <c r="O49" i="2"/>
  <c r="J49" i="2"/>
  <c r="O48" i="2"/>
  <c r="N48" i="2"/>
  <c r="N47" i="2"/>
  <c r="O47" i="2"/>
  <c r="N46" i="2"/>
  <c r="O46" i="2"/>
  <c r="N45" i="2"/>
  <c r="O45" i="2"/>
  <c r="J41" i="2"/>
  <c r="N41" i="2"/>
  <c r="O41" i="2"/>
  <c r="O40" i="2"/>
  <c r="J40" i="2"/>
  <c r="N40" i="2"/>
  <c r="O39" i="2"/>
  <c r="N39" i="2"/>
  <c r="O38" i="2"/>
  <c r="N38" i="2"/>
  <c r="N37" i="2"/>
  <c r="O37" i="2"/>
  <c r="O36" i="2"/>
  <c r="N36" i="2"/>
  <c r="O35" i="2"/>
  <c r="N35" i="2"/>
  <c r="O34" i="2"/>
  <c r="N34" i="2"/>
  <c r="N33" i="2"/>
  <c r="O33" i="2"/>
  <c r="O32" i="2"/>
  <c r="N32" i="2"/>
  <c r="O31" i="2"/>
  <c r="N31" i="2"/>
  <c r="N30" i="2"/>
  <c r="O30" i="2"/>
  <c r="O29" i="2"/>
  <c r="N29" i="2"/>
  <c r="N28" i="2"/>
  <c r="O28" i="2"/>
  <c r="N27" i="2"/>
  <c r="O27" i="2"/>
  <c r="N26" i="2"/>
  <c r="O26" i="2"/>
  <c r="O25" i="2"/>
  <c r="N25" i="2"/>
  <c r="N24" i="2"/>
  <c r="O24" i="2"/>
  <c r="N23" i="2"/>
  <c r="O23" i="2"/>
  <c r="N22" i="2"/>
  <c r="O22" i="2"/>
  <c r="O21" i="2"/>
  <c r="N21" i="2"/>
  <c r="O20" i="2"/>
  <c r="N20" i="2"/>
  <c r="N19" i="2"/>
  <c r="O19" i="2"/>
  <c r="O18" i="2"/>
  <c r="N18" i="2"/>
  <c r="O17" i="2"/>
  <c r="N17" i="2"/>
  <c r="O16" i="2"/>
  <c r="N16" i="2"/>
  <c r="O15" i="2"/>
  <c r="N15" i="2"/>
  <c r="O14" i="2"/>
  <c r="N14" i="2"/>
  <c r="O13" i="2"/>
  <c r="N13" i="2"/>
  <c r="N12" i="2"/>
  <c r="O12" i="2"/>
  <c r="O11" i="2"/>
  <c r="N11" i="2"/>
  <c r="O10" i="2"/>
  <c r="N10" i="2"/>
  <c r="N9" i="2"/>
  <c r="O9" i="2"/>
  <c r="O8" i="2"/>
  <c r="N8" i="2"/>
  <c r="O7" i="2"/>
  <c r="N7" i="2"/>
  <c r="O6" i="2"/>
  <c r="N6" i="2"/>
  <c r="O5" i="2"/>
  <c r="N5" i="2"/>
  <c r="N5" i="1"/>
  <c r="O5" i="1"/>
  <c r="J5" i="1"/>
  <c r="O4" i="2"/>
  <c r="N4" i="2"/>
  <c r="J4" i="1"/>
  <c r="N4" i="1"/>
  <c r="O4" i="1"/>
  <c r="F94" i="10"/>
  <c r="D29" i="3"/>
  <c r="T63" i="4" l="1"/>
  <c r="AC62" i="4"/>
  <c r="O259" i="2"/>
  <c r="T60" i="4"/>
  <c r="AC59" i="4"/>
  <c r="N259" i="2"/>
  <c r="J259" i="2"/>
  <c r="L76" i="10"/>
  <c r="L78" i="10" s="1"/>
  <c r="N79" i="10" s="1"/>
  <c r="E90" i="10" s="1"/>
  <c r="L70" i="10"/>
  <c r="L72" i="10" s="1"/>
  <c r="M72" i="10" s="1"/>
  <c r="E89" i="10" s="1"/>
  <c r="L65" i="10"/>
  <c r="L66" i="10" s="1"/>
  <c r="M66" i="10" s="1"/>
  <c r="E88" i="10" s="1"/>
  <c r="G82" i="10"/>
  <c r="F49" i="10"/>
  <c r="J69" i="10" s="1"/>
  <c r="I49" i="10"/>
  <c r="J49" i="10" s="1"/>
  <c r="J64" i="10" s="1"/>
  <c r="M49" i="10"/>
  <c r="N49" i="10" s="1"/>
  <c r="J75" i="10" s="1"/>
  <c r="L93" i="9"/>
  <c r="L99" i="9"/>
  <c r="L88" i="9"/>
  <c r="L92" i="9"/>
  <c r="L95" i="9" s="1"/>
  <c r="M95" i="9" s="1"/>
  <c r="E112" i="9" s="1"/>
  <c r="L94" i="9"/>
  <c r="L98" i="9"/>
  <c r="L87" i="9"/>
  <c r="G105" i="9"/>
  <c r="EG10" i="8"/>
  <c r="ED14" i="8"/>
  <c r="DP10" i="8"/>
  <c r="DM14" i="8"/>
  <c r="BR10" i="8"/>
  <c r="BO14" i="8"/>
  <c r="T10" i="8"/>
  <c r="Q14" i="8"/>
  <c r="AK10" i="8"/>
  <c r="AH13" i="8"/>
  <c r="M473" i="13"/>
  <c r="N473" i="13"/>
  <c r="T64" i="4" l="1"/>
  <c r="AC63" i="4"/>
  <c r="T61" i="4"/>
  <c r="AC61" i="4" s="1"/>
  <c r="AC60" i="4"/>
  <c r="L101" i="9"/>
  <c r="N102" i="9" s="1"/>
  <c r="E113" i="9" s="1"/>
  <c r="L89" i="9"/>
  <c r="M89" i="9" s="1"/>
  <c r="E111" i="9" s="1"/>
  <c r="T65" i="4" l="1"/>
  <c r="AC65" i="4" s="1"/>
  <c r="AC64" i="4"/>
  <c r="DN28" i="8" l="1"/>
  <c r="EE23" i="8"/>
  <c r="CX3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Souza</author>
  </authors>
  <commentList>
    <comment ref="Y1" authorId="0" shapeId="0" xr:uid="{00000000-0006-0000-0300-000001000000}">
      <text>
        <r>
          <rPr>
            <sz val="11"/>
            <color theme="1"/>
            <rFont val="Aptos Narrow"/>
            <family val="2"/>
            <scheme val="minor"/>
          </rPr>
          <t>Paulo Souza:
Objetivo Individual 
10 k sendo rayssa :
jan = 6000
fev = 6500
impte? Conversão para mascarar
10 = 10 mil
6 = 6 mil</t>
        </r>
      </text>
    </comment>
    <comment ref="Z1" authorId="0" shapeId="0" xr:uid="{00000000-0006-0000-0300-000002000000}">
      <text>
        <r>
          <rPr>
            <sz val="11"/>
            <color theme="1"/>
            <rFont val="Aptos Narrow"/>
            <family val="2"/>
            <scheme val="minor"/>
          </rPr>
          <t xml:space="preserve">Paulo Souza:
objetivo 30k
2026 = 26k escalando em 500 ate chegar 30k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Paulo Santos de Souza</author>
  </authors>
  <commentList>
    <comment ref="E110" authorId="0" shapeId="0" xr:uid="{00000000-0006-0000-0C00-000001000000}">
      <text>
        <r>
          <rPr>
            <sz val="11"/>
            <color theme="1"/>
            <rFont val="Aptos Narrow"/>
            <family val="2"/>
            <scheme val="minor"/>
          </rPr>
          <t>Paulo Santos de Souza:
não foi negociadmo mensalidade pois a implantação ficará para uma segunda onda.</t>
        </r>
      </text>
    </comment>
  </commentList>
</comments>
</file>

<file path=xl/sharedStrings.xml><?xml version="1.0" encoding="utf-8"?>
<sst xmlns="http://schemas.openxmlformats.org/spreadsheetml/2006/main" count="58778" uniqueCount="6565">
  <si>
    <t>Data</t>
  </si>
  <si>
    <t>Ticket</t>
  </si>
  <si>
    <t>Vendedor</t>
  </si>
  <si>
    <t>Cliente</t>
  </si>
  <si>
    <t>Produto</t>
  </si>
  <si>
    <t>TipoReceita</t>
  </si>
  <si>
    <t>Qtde</t>
  </si>
  <si>
    <t>VlrUnitário</t>
  </si>
  <si>
    <t>VlrTotal</t>
  </si>
  <si>
    <t>Vlr Meta</t>
  </si>
  <si>
    <t>%Comissão</t>
  </si>
  <si>
    <t>%ComissãoSupervisor</t>
  </si>
  <si>
    <t>Base</t>
  </si>
  <si>
    <t xml:space="preserve">ComissãoVendedor </t>
  </si>
  <si>
    <t>ComissãoSupervisor</t>
  </si>
  <si>
    <t>Clicksign</t>
  </si>
  <si>
    <t>Contrato_Termo Aditivo</t>
  </si>
  <si>
    <t>Obs</t>
  </si>
  <si>
    <t>Parcelas</t>
  </si>
  <si>
    <t>Data Contrato</t>
  </si>
  <si>
    <t>Contrato</t>
  </si>
  <si>
    <t>SDR_RESPONSÁVEL</t>
  </si>
  <si>
    <t>Paulo Souza</t>
  </si>
  <si>
    <t>PlastCap</t>
  </si>
  <si>
    <t>Treinamento</t>
  </si>
  <si>
    <t>Treinamentos e Implantações</t>
  </si>
  <si>
    <t>Sim</t>
  </si>
  <si>
    <t>Feito</t>
  </si>
  <si>
    <t>Assinado</t>
  </si>
  <si>
    <t>ERP-PDV</t>
  </si>
  <si>
    <t>Mensalidade</t>
  </si>
  <si>
    <t>Rayssa Karapeticov</t>
  </si>
  <si>
    <t>MB Plasticos</t>
  </si>
  <si>
    <t>AFV Proposta WEB</t>
  </si>
  <si>
    <t>Dolce Home</t>
  </si>
  <si>
    <t>Melhoria</t>
  </si>
  <si>
    <t>Não tem</t>
  </si>
  <si>
    <t>não tem</t>
  </si>
  <si>
    <t xml:space="preserve">não tem </t>
  </si>
  <si>
    <t xml:space="preserve">Akitem </t>
  </si>
  <si>
    <t>CNPJ</t>
  </si>
  <si>
    <t>CDU</t>
  </si>
  <si>
    <t xml:space="preserve">ERP  </t>
  </si>
  <si>
    <t>Keita</t>
  </si>
  <si>
    <t>Junior Lopes</t>
  </si>
  <si>
    <t>Amilplast</t>
  </si>
  <si>
    <t>Não</t>
  </si>
  <si>
    <t>ERP</t>
  </si>
  <si>
    <t>MDE</t>
  </si>
  <si>
    <t>Nixhouse</t>
  </si>
  <si>
    <t>136717,136720,136721</t>
  </si>
  <si>
    <t>NVT Importadora</t>
  </si>
  <si>
    <t>BI</t>
  </si>
  <si>
    <t>CLOUD</t>
  </si>
  <si>
    <t>WMS</t>
  </si>
  <si>
    <t xml:space="preserve">AFV  </t>
  </si>
  <si>
    <t>Envio Boleto Whatsapp</t>
  </si>
  <si>
    <t>Culturama</t>
  </si>
  <si>
    <t>Rischiotto</t>
  </si>
  <si>
    <t>Adicional Intelipost</t>
  </si>
  <si>
    <t>Qualyplast</t>
  </si>
  <si>
    <t>GP Inox</t>
  </si>
  <si>
    <t>RN Porcelanas</t>
  </si>
  <si>
    <t>AFV</t>
  </si>
  <si>
    <t>Pupi</t>
  </si>
  <si>
    <t>Paramount</t>
  </si>
  <si>
    <t>ArcaPlast</t>
  </si>
  <si>
    <t>Agua Sana</t>
  </si>
  <si>
    <t>Tiago eletronicos</t>
  </si>
  <si>
    <t>B2B</t>
  </si>
  <si>
    <t>Sagol</t>
  </si>
  <si>
    <t>AFV Preposto</t>
  </si>
  <si>
    <t>Conthey</t>
  </si>
  <si>
    <t>Textil Regimara</t>
  </si>
  <si>
    <t>Shock Import</t>
  </si>
  <si>
    <t>Kascao</t>
  </si>
  <si>
    <t>Orbhes Colchoes</t>
  </si>
  <si>
    <t>Univendas</t>
  </si>
  <si>
    <t>135881...65</t>
  </si>
  <si>
    <t>Inga</t>
  </si>
  <si>
    <t>Universal Quimica</t>
  </si>
  <si>
    <t>138540 ..138541</t>
  </si>
  <si>
    <t>Iracema</t>
  </si>
  <si>
    <t>Contabil</t>
  </si>
  <si>
    <t>Rd Station</t>
  </si>
  <si>
    <t>138575..138580</t>
  </si>
  <si>
    <t>Casart</t>
  </si>
  <si>
    <t>Dinatale</t>
  </si>
  <si>
    <t>MC Flore</t>
  </si>
  <si>
    <t>MDe</t>
  </si>
  <si>
    <t>Fu Xing</t>
  </si>
  <si>
    <t>AD &amp; AD</t>
  </si>
  <si>
    <t>Dcarte</t>
  </si>
  <si>
    <t>Millenium</t>
  </si>
  <si>
    <t>FWB</t>
  </si>
  <si>
    <t>Dasplast</t>
  </si>
  <si>
    <t>Gyn</t>
  </si>
  <si>
    <t>Brl Alimentos</t>
  </si>
  <si>
    <t>Flora nectar</t>
  </si>
  <si>
    <t>137612...137592</t>
  </si>
  <si>
    <t>MTA</t>
  </si>
  <si>
    <t>Clean Tech</t>
  </si>
  <si>
    <t>Cloud</t>
  </si>
  <si>
    <t>15 + 5</t>
  </si>
  <si>
    <t>40 +5</t>
  </si>
  <si>
    <t>Preciza</t>
  </si>
  <si>
    <t>Brasimpex</t>
  </si>
  <si>
    <t>Genex</t>
  </si>
  <si>
    <t>Parolar</t>
  </si>
  <si>
    <t>Mares</t>
  </si>
  <si>
    <t>Rafinha Alimentos</t>
  </si>
  <si>
    <t>Cloud Upgrade</t>
  </si>
  <si>
    <t>Dute</t>
  </si>
  <si>
    <t>Plasberg</t>
  </si>
  <si>
    <t>Mundi</t>
  </si>
  <si>
    <t>Mokfa</t>
  </si>
  <si>
    <t>Interponte</t>
  </si>
  <si>
    <t>Proposta WEB</t>
  </si>
  <si>
    <t>Açomix</t>
  </si>
  <si>
    <t>Porto Brasil</t>
  </si>
  <si>
    <t>Rio Home</t>
  </si>
  <si>
    <t>Znia</t>
  </si>
  <si>
    <t>Aliança</t>
  </si>
  <si>
    <t>addon Loja B2B</t>
  </si>
  <si>
    <t>NDI</t>
  </si>
  <si>
    <t>Mc Flores</t>
  </si>
  <si>
    <t>Aço Mix</t>
  </si>
  <si>
    <t>Rischioto</t>
  </si>
  <si>
    <t>Kascão</t>
  </si>
  <si>
    <t>139032...39551</t>
  </si>
  <si>
    <t>140202..138462</t>
  </si>
  <si>
    <t>Vic Import</t>
  </si>
  <si>
    <t>142867...142869</t>
  </si>
  <si>
    <t>Istok</t>
  </si>
  <si>
    <t>ClassHome</t>
  </si>
  <si>
    <t>142114..142120</t>
  </si>
  <si>
    <t>Quality</t>
  </si>
  <si>
    <t>MDL</t>
  </si>
  <si>
    <t>Preposto</t>
  </si>
  <si>
    <t>Koisas Kozinha</t>
  </si>
  <si>
    <t>Baag</t>
  </si>
  <si>
    <t>Marilar</t>
  </si>
  <si>
    <t>Ronaldo Nascimento</t>
  </si>
  <si>
    <t>Litoral Sul (Ricali)</t>
  </si>
  <si>
    <t>Routeasy</t>
  </si>
  <si>
    <t>Telemarketing</t>
  </si>
  <si>
    <t>Colorflex</t>
  </si>
  <si>
    <t>Pendente</t>
  </si>
  <si>
    <t>Pino Lar</t>
  </si>
  <si>
    <t>Clio Style  (ABR ART)</t>
  </si>
  <si>
    <t>Total</t>
  </si>
  <si>
    <t>Zein</t>
  </si>
  <si>
    <t>loja B2B</t>
  </si>
  <si>
    <t>Maquimp</t>
  </si>
  <si>
    <t>TABELA 1.1</t>
  </si>
  <si>
    <t>Juca</t>
  </si>
  <si>
    <t>Meta</t>
  </si>
  <si>
    <t>Alvo</t>
  </si>
  <si>
    <t>Cobertura</t>
  </si>
  <si>
    <t xml:space="preserve">Projeto </t>
  </si>
  <si>
    <t>Recorrente</t>
  </si>
  <si>
    <t>Rayssa</t>
  </si>
  <si>
    <t>Paulo</t>
  </si>
  <si>
    <t>Fábio</t>
  </si>
  <si>
    <t>Total Projeto Equipe</t>
  </si>
  <si>
    <t>Total RecorrenteEquipe</t>
  </si>
  <si>
    <t>Meta Equipe</t>
  </si>
  <si>
    <t>FECHAMENTO DE: 01/01/2025 até 31/01/2025</t>
  </si>
  <si>
    <t>Ano</t>
  </si>
  <si>
    <t>Mês</t>
  </si>
  <si>
    <t>Lead</t>
  </si>
  <si>
    <t>Propsota</t>
  </si>
  <si>
    <t>Apresentação</t>
  </si>
  <si>
    <t>Meta Individual</t>
  </si>
  <si>
    <t>Meta Projetos</t>
  </si>
  <si>
    <t>OBLead</t>
  </si>
  <si>
    <t xml:space="preserve">OB Proposta </t>
  </si>
  <si>
    <t>OB Apresentação</t>
  </si>
  <si>
    <t>OB Individual</t>
  </si>
  <si>
    <t>OBEquipe</t>
  </si>
  <si>
    <t>OB Projetos</t>
  </si>
  <si>
    <t>OBI</t>
  </si>
  <si>
    <t>OBE</t>
  </si>
  <si>
    <t>COBERTURA DE METAS</t>
  </si>
  <si>
    <t>2025</t>
  </si>
  <si>
    <t>RAYSSA</t>
  </si>
  <si>
    <t>JUNIOR</t>
  </si>
  <si>
    <t>PAULO</t>
  </si>
  <si>
    <t>Realizado</t>
  </si>
  <si>
    <t>Proposta</t>
  </si>
  <si>
    <t>Apresentações</t>
  </si>
  <si>
    <t>FECHAMENTO DE: 01/02/2025 até 28/02/2025</t>
  </si>
  <si>
    <t>FECHAMENTO DE: 01/03/2025 até 31/03/2025</t>
  </si>
  <si>
    <t>FECHAMENTO DE: 01/04/2025 até 30/04/2025</t>
  </si>
  <si>
    <t>2026</t>
  </si>
  <si>
    <t>FECHAMENTO DE: 01/05/2025 até 31/05/2025</t>
  </si>
  <si>
    <t>FECHAMENTO DE: 01/06/2025 até 30/06/2025</t>
  </si>
  <si>
    <t>FECHAMENTO DE: 01/07/2025 até 31/07/2025</t>
  </si>
  <si>
    <t>FECHAMENTO DE: 01/08/2025 até 31/08/2025</t>
  </si>
  <si>
    <t>FECHAMENTO DE: 01/09/2025 até 30/09/2025</t>
  </si>
  <si>
    <t>FECHAMENTO DE: 01/10/2025 até 31/10/2025</t>
  </si>
  <si>
    <t>FECHAMENTO DE: 01/11/2025 até 31/11/2025</t>
  </si>
  <si>
    <t>RAYSSA KARAPETICOV</t>
  </si>
  <si>
    <t>COBERTURA METAS</t>
  </si>
  <si>
    <t>COBERTURA METAS EQUIPES</t>
  </si>
  <si>
    <t>APRESENTAÇÃO RAYSSA</t>
  </si>
  <si>
    <t>APRESENTAÇÃO JUNIOR LOPES</t>
  </si>
  <si>
    <t>APRESENTAÇÃO PAULO</t>
  </si>
  <si>
    <t>APRESENTAÇÃO RONALDO</t>
  </si>
  <si>
    <t>APRESENTAÇÃO BASE RAYSSA</t>
  </si>
  <si>
    <t>APRESENTAÇÃO BASE PAULO</t>
  </si>
  <si>
    <t>(Vários itens)</t>
  </si>
  <si>
    <t>Responsável</t>
  </si>
  <si>
    <t>(Tudo)</t>
  </si>
  <si>
    <t>DataApresentação1</t>
  </si>
  <si>
    <t>Rótulos de Linha</t>
  </si>
  <si>
    <t>Objetivo</t>
  </si>
  <si>
    <t>Soma de qtde</t>
  </si>
  <si>
    <t>Soma de QTDE</t>
  </si>
  <si>
    <t>Soma de Qdte</t>
  </si>
  <si>
    <t>jan</t>
  </si>
  <si>
    <t>max led</t>
  </si>
  <si>
    <t>startools ferramentas, comercio, importacao e exportacao ltda</t>
  </si>
  <si>
    <t>Total Geral</t>
  </si>
  <si>
    <t>estilo ar</t>
  </si>
  <si>
    <t>Mta Panelas</t>
  </si>
  <si>
    <t>fev</t>
  </si>
  <si>
    <t>encartelados nina - erp</t>
  </si>
  <si>
    <t>fikssar distribuidora</t>
  </si>
  <si>
    <t>Campeao</t>
  </si>
  <si>
    <t>mar</t>
  </si>
  <si>
    <t>encartelados nina - cloud</t>
  </si>
  <si>
    <t>marden medical</t>
  </si>
  <si>
    <t>QUALITY HOUSE - WMS</t>
  </si>
  <si>
    <t>abr</t>
  </si>
  <si>
    <t>tecelagem castilho (e-commerce)</t>
  </si>
  <si>
    <t>SUTT IMPORTADORA - Cloud</t>
  </si>
  <si>
    <t>mai</t>
  </si>
  <si>
    <t>istok comercio importacao (erp)</t>
  </si>
  <si>
    <t>Univendas - BI</t>
  </si>
  <si>
    <t>istok comercio importação (cloud)</t>
  </si>
  <si>
    <t>SHOCK IMPORTS - Tray</t>
  </si>
  <si>
    <t>startools ferramentas (erp)</t>
  </si>
  <si>
    <t>mdl - boleto whats</t>
  </si>
  <si>
    <t>star distribuidora - boleto whats</t>
  </si>
  <si>
    <t>PROPOSTA RAYSSA</t>
  </si>
  <si>
    <t>PROPOSTA JUNIOR LOPES</t>
  </si>
  <si>
    <t>PROPOSTA PAULO</t>
  </si>
  <si>
    <t>PROPOSTA RONALDO</t>
  </si>
  <si>
    <t>Data Proposta</t>
  </si>
  <si>
    <t>simao distribuidora</t>
  </si>
  <si>
    <t>hober artefatos plasticos ltda</t>
  </si>
  <si>
    <t>fernandopolis industria e comercio de piscinas e acessorios ltda</t>
  </si>
  <si>
    <t>mdl (horas)</t>
  </si>
  <si>
    <t>baag - horas</t>
  </si>
  <si>
    <t>Precisa Import - Power BI</t>
  </si>
  <si>
    <t>mdl - comex</t>
  </si>
  <si>
    <t>Vlr Projeto</t>
  </si>
  <si>
    <t>Horas</t>
  </si>
  <si>
    <t>Pipeline</t>
  </si>
  <si>
    <t>Temperatura</t>
  </si>
  <si>
    <t>Porto Brasil Cerâmica – AFV</t>
  </si>
  <si>
    <t>Vendas</t>
  </si>
  <si>
    <t>Renovação Porcelanas – AFV</t>
  </si>
  <si>
    <t>Tiago Eletrônicos – B2B</t>
  </si>
  <si>
    <t>Amilplast Ind – ERP</t>
  </si>
  <si>
    <t>MDL Import – Cloud</t>
  </si>
  <si>
    <t>Plasbrink Embalagens Plásticas Ltda – ERP</t>
  </si>
  <si>
    <t>Plasbrink Embalagens Plásticas Ltda – Cloud</t>
  </si>
  <si>
    <t>Preciza Import – Boleto WhatsApp</t>
  </si>
  <si>
    <t>ADDON BOLETO WHATSAPP</t>
  </si>
  <si>
    <t>Marka Têxtil – ERP</t>
  </si>
  <si>
    <t>Marka Têxtil – Cloud</t>
  </si>
  <si>
    <t>Sevilla Trade – ERP</t>
  </si>
  <si>
    <t>Sevilla Trade – Cloud</t>
  </si>
  <si>
    <t>Fafá Import – WMS</t>
  </si>
  <si>
    <t>VIC Import – ERP</t>
  </si>
  <si>
    <t>VIC Import – AFV</t>
  </si>
  <si>
    <t>VIC Import – Cloud</t>
  </si>
  <si>
    <t>Conthey – ERP</t>
  </si>
  <si>
    <t>Conthey – AFV</t>
  </si>
  <si>
    <t>Conthey – Cloud</t>
  </si>
  <si>
    <t>Star – B2B</t>
  </si>
  <si>
    <t>Erca Alumínio – Imp. XML</t>
  </si>
  <si>
    <t>ADDON IMPORTAÇÃO XML</t>
  </si>
  <si>
    <t>Toptem – ERP</t>
  </si>
  <si>
    <t>Toptem – AFV</t>
  </si>
  <si>
    <t>Chavetas Comércio de Peças e Ferramentas Ltda</t>
  </si>
  <si>
    <t>QUALIFICANDO</t>
  </si>
  <si>
    <t>apresentando</t>
  </si>
  <si>
    <t>Color Unhas</t>
  </si>
  <si>
    <t>Folha Dourada Tabacos Ltda</t>
  </si>
  <si>
    <t>Atacadão Delfino</t>
  </si>
  <si>
    <t>qualificando</t>
  </si>
  <si>
    <t>BK Comércio</t>
  </si>
  <si>
    <t>Sunguider Importador/Distribuidor</t>
  </si>
  <si>
    <t>Indústria Oyshi</t>
  </si>
  <si>
    <t>Alumínio Ramos</t>
  </si>
  <si>
    <t>Wellmix – ERP</t>
  </si>
  <si>
    <t>Medihosp</t>
  </si>
  <si>
    <t>Bela Flor</t>
  </si>
  <si>
    <t>ERP, AFV, WMS</t>
  </si>
  <si>
    <t>Imev Proteínas</t>
  </si>
  <si>
    <t>AIH Importadora de Artigos de Presentes Ltda</t>
  </si>
  <si>
    <t xml:space="preserve">ERP, AFV </t>
  </si>
  <si>
    <t>Maia 4</t>
  </si>
  <si>
    <t>Zomax</t>
  </si>
  <si>
    <t>Val Port</t>
  </si>
  <si>
    <t>ERP, PDV</t>
  </si>
  <si>
    <t>Tron</t>
  </si>
  <si>
    <t>HF Utilidades</t>
  </si>
  <si>
    <t>Valport – B2B</t>
  </si>
  <si>
    <t>Atual Mix</t>
  </si>
  <si>
    <t>Union Ind</t>
  </si>
  <si>
    <t>Distribuidora do Wicca</t>
  </si>
  <si>
    <t>JP Distribuidora – Agenda Visita</t>
  </si>
  <si>
    <t xml:space="preserve">ADDON AGENDA </t>
  </si>
  <si>
    <t>Alumínio Nacional</t>
  </si>
  <si>
    <t>TREINAMENTO</t>
  </si>
  <si>
    <t>Upselling</t>
  </si>
  <si>
    <t>Afey Peças</t>
  </si>
  <si>
    <t>ERP, AFV</t>
  </si>
  <si>
    <t>Olé Alimentos</t>
  </si>
  <si>
    <t>Loggix Serviços Material Escolar</t>
  </si>
  <si>
    <t>Zini Home</t>
  </si>
  <si>
    <t>Russa 7 Berg Distribuidora</t>
  </si>
  <si>
    <t>Stok Frios</t>
  </si>
  <si>
    <t>Deltamed Comércio</t>
  </si>
  <si>
    <t>Evolux – ERP · PCP · WMS · AFV</t>
  </si>
  <si>
    <t>ERP, PCP, WMS, AFV</t>
  </si>
  <si>
    <t>Doce Festa – ERP · AFV</t>
  </si>
  <si>
    <t>Irriga House</t>
  </si>
  <si>
    <t>CLS Indústria de Produtos Químicos Ltda</t>
  </si>
  <si>
    <t>Maral</t>
  </si>
  <si>
    <t>Fisiohosp</t>
  </si>
  <si>
    <t>Vida Fitness</t>
  </si>
  <si>
    <t>Horto das Acácias</t>
  </si>
  <si>
    <t>Devons Hair</t>
  </si>
  <si>
    <t>Alpinpro</t>
  </si>
  <si>
    <t>DUS – Mercado Livre Full</t>
  </si>
  <si>
    <t>Addon Mercado Livrefull</t>
  </si>
  <si>
    <t>Gyn Atacado Ltda – Integrador E-commerce</t>
  </si>
  <si>
    <t>Hub Ecommerce</t>
  </si>
  <si>
    <t>Univendas – Cloud</t>
  </si>
  <si>
    <t>Qualyplas – PCP</t>
  </si>
  <si>
    <t>PCP</t>
  </si>
  <si>
    <t>Qualyplas – MDE</t>
  </si>
  <si>
    <t>Qualyplas – Contábil</t>
  </si>
  <si>
    <t>Contábil</t>
  </si>
  <si>
    <t>Rischioto – Routeasy</t>
  </si>
  <si>
    <t>Colorflex – AFV</t>
  </si>
  <si>
    <t>Parolar – Checkout</t>
  </si>
  <si>
    <t>Checkout</t>
  </si>
  <si>
    <t>Multipresentes Presentes e Brinquedos Ltda</t>
  </si>
  <si>
    <t>Chahin – Alteração Empresa Integrador</t>
  </si>
  <si>
    <t>Gyn Atacado Ltda – B2B</t>
  </si>
  <si>
    <t>Gyn Atacado Ltda – BI</t>
  </si>
  <si>
    <t>Rischioto – CNPJ</t>
  </si>
  <si>
    <t>Quality House – BI</t>
  </si>
  <si>
    <t>Quality House – WMS</t>
  </si>
  <si>
    <t>Dvidros – Estoque Futuro</t>
  </si>
  <si>
    <t>RELATÓTIO APURAÇÃO OBJETIVOS DE FEVEREIRO 2026</t>
  </si>
  <si>
    <t>RELATÓTIO APURAÇÃO OBJETIVOS DE MARÇO 2026</t>
  </si>
  <si>
    <t>APURAÇÃO: 02/03/2026</t>
  </si>
  <si>
    <t>APURAÇÃO: 02/04/2026</t>
  </si>
  <si>
    <t>APURAÇÃO: 03/05/2026</t>
  </si>
  <si>
    <t>PERÍODO: 01/02/2026 até 28/02/2026</t>
  </si>
  <si>
    <t>PERÍODO: 01/03/2026 até 31/03/2026</t>
  </si>
  <si>
    <t>PERÍODO: 01/04/2026 até 30/04/2026</t>
  </si>
  <si>
    <t>VENDAS</t>
  </si>
  <si>
    <t>Proposta (15)</t>
  </si>
  <si>
    <t>Apresentações (12)</t>
  </si>
  <si>
    <t>Meta Individual (6,5k)</t>
  </si>
  <si>
    <t>Meta Individual (7k)</t>
  </si>
  <si>
    <t>Meta Equipe (26,5k)</t>
  </si>
  <si>
    <t>Meta Projetos (90k)</t>
  </si>
  <si>
    <t>Total Projetos (270k)</t>
  </si>
  <si>
    <t>PROPOSTA</t>
  </si>
  <si>
    <t>Título</t>
  </si>
  <si>
    <t>rg distribuidora de bebidas ltda</t>
  </si>
  <si>
    <t>25/02/2026</t>
  </si>
  <si>
    <t>colorunhas</t>
  </si>
  <si>
    <t>05/02/2026</t>
  </si>
  <si>
    <t>futuro brasil</t>
  </si>
  <si>
    <t>06/02/2026</t>
  </si>
  <si>
    <t>purai souvenirs ltda</t>
  </si>
  <si>
    <t>goal comercial ltda</t>
  </si>
  <si>
    <t>metal adm</t>
  </si>
  <si>
    <t>ags administracao de bens sociedade unipessoal ltda</t>
  </si>
  <si>
    <t>simas</t>
  </si>
  <si>
    <t>kopermax</t>
  </si>
  <si>
    <t>micromax industria e comercio ltda</t>
  </si>
  <si>
    <t>23/02/2026</t>
  </si>
  <si>
    <t>20/02/2026</t>
  </si>
  <si>
    <t>russa 7 berg distribuidora</t>
  </si>
  <si>
    <t>27/02/2026</t>
  </si>
  <si>
    <t>on import ltda</t>
  </si>
  <si>
    <t>plastianna</t>
  </si>
  <si>
    <t>ns iguacu eletronicos ltda</t>
  </si>
  <si>
    <t>logrosoft comercio erp</t>
  </si>
  <si>
    <t>home brands - erp - afv</t>
  </si>
  <si>
    <t>20/02/2026 00:00</t>
  </si>
  <si>
    <t>ad &amp; ad (comex)</t>
  </si>
  <si>
    <t>11/02/2026</t>
  </si>
  <si>
    <t xml:space="preserve">ramfisa participacoes </t>
  </si>
  <si>
    <t>13/02/2026</t>
  </si>
  <si>
    <t>matrix brinquedos</t>
  </si>
  <si>
    <t>plug lar u.d.</t>
  </si>
  <si>
    <t>union rebite</t>
  </si>
  <si>
    <t>sqcomercio</t>
  </si>
  <si>
    <t>logro soft</t>
  </si>
  <si>
    <t>home brands - afv</t>
  </si>
  <si>
    <t>ck hospitalar</t>
  </si>
  <si>
    <t>dinatale import ltda</t>
  </si>
  <si>
    <t>verti flores e plantas permanentes</t>
  </si>
  <si>
    <t>vaeso</t>
  </si>
  <si>
    <t>brl alimentos wms</t>
  </si>
  <si>
    <t>marcamix (comex)</t>
  </si>
  <si>
    <t>baag - bi</t>
  </si>
  <si>
    <t>FACINATO - Comex</t>
  </si>
  <si>
    <t>12/02/2026</t>
  </si>
  <si>
    <t>atacadão das tripas - erp</t>
  </si>
  <si>
    <t>auto volth</t>
  </si>
  <si>
    <t>02/02/2026</t>
  </si>
  <si>
    <t>plus atacadista</t>
  </si>
  <si>
    <t>fratelli / euroquadros</t>
  </si>
  <si>
    <t>comercial gaviao</t>
  </si>
  <si>
    <t>Arcaplast</t>
  </si>
  <si>
    <t>MARES  - WMS</t>
  </si>
  <si>
    <t>startools ferramentas</t>
  </si>
  <si>
    <t>atacado forte vale</t>
  </si>
  <si>
    <t>auto peças taurus</t>
  </si>
  <si>
    <t>globalmix - erp</t>
  </si>
  <si>
    <t>bene tu confeccoes ltda</t>
  </si>
  <si>
    <t>C.R.I (Gnex)</t>
  </si>
  <si>
    <t>SORVETES KASCAO - compras</t>
  </si>
  <si>
    <t>02/02/2026 00:00</t>
  </si>
  <si>
    <t>clean tech - erp</t>
  </si>
  <si>
    <t xml:space="preserve">armando nacionais </t>
  </si>
  <si>
    <t>ATIVA ATACADO - CNPJ</t>
  </si>
  <si>
    <t>banana toys - erp</t>
  </si>
  <si>
    <t>RIO HOME - ZNIA</t>
  </si>
  <si>
    <t>logro soft - comex</t>
  </si>
  <si>
    <t>Wellmix - B2B</t>
  </si>
  <si>
    <t>ama</t>
  </si>
  <si>
    <t>iracema importadora</t>
  </si>
  <si>
    <t>preciza imports</t>
  </si>
  <si>
    <t>DAS'PLAST - Comex</t>
  </si>
  <si>
    <t>SHOCK IMPORTS- AFV</t>
  </si>
  <si>
    <t>05/02/2026 00:00</t>
  </si>
  <si>
    <t>vitta estrutural</t>
  </si>
  <si>
    <t>casart importadora</t>
  </si>
  <si>
    <t>06/02/2026 00:00</t>
  </si>
  <si>
    <t>FACINATO - BI</t>
  </si>
  <si>
    <t xml:space="preserve">globalmix - cloud </t>
  </si>
  <si>
    <t>Fwb - Comex</t>
  </si>
  <si>
    <t>PAROLAR - RD Station</t>
  </si>
  <si>
    <t>teodoro cosmeticos - erp</t>
  </si>
  <si>
    <t>26/02/2026</t>
  </si>
  <si>
    <t>reobote mult-service</t>
  </si>
  <si>
    <t>MILLENIUM DISTRIBUIDORA - CNPJ</t>
  </si>
  <si>
    <t>globalmix - b2b</t>
  </si>
  <si>
    <t xml:space="preserve">MULTIPRESENTES PRESENTES </t>
  </si>
  <si>
    <t>11/02/2026 00:00</t>
  </si>
  <si>
    <t xml:space="preserve">teodoro cosméticos - afv  </t>
  </si>
  <si>
    <t>agropecuaria agromais</t>
  </si>
  <si>
    <t>ZEIN IMPORTACAO E COMERCIO LTDA</t>
  </si>
  <si>
    <t xml:space="preserve">banana toys - cloud </t>
  </si>
  <si>
    <t>NEDO - RD Stantion</t>
  </si>
  <si>
    <t xml:space="preserve">teodoro cosméticos - cloud </t>
  </si>
  <si>
    <t>sucos prats</t>
  </si>
  <si>
    <t>SHOCK IMPORTS COMERCIAL LTDA</t>
  </si>
  <si>
    <t xml:space="preserve">util ud - pcp / wms </t>
  </si>
  <si>
    <t>PAROLAR - CRM RD Stantion</t>
  </si>
  <si>
    <t xml:space="preserve">encartelados nina - cloud </t>
  </si>
  <si>
    <t>mc flores</t>
  </si>
  <si>
    <t>MOKFA IMPORT - BI</t>
  </si>
  <si>
    <t xml:space="preserve">weck - horas </t>
  </si>
  <si>
    <t>Universal Quimica - BI</t>
  </si>
  <si>
    <t>atacadão das tripas - cloud</t>
  </si>
  <si>
    <t>19/02/2026</t>
  </si>
  <si>
    <t>azul importadora</t>
  </si>
  <si>
    <t>SULTEX - B2B</t>
  </si>
  <si>
    <t>casabella claudio teixeira - erp</t>
  </si>
  <si>
    <t>09/02/2026 00:00</t>
  </si>
  <si>
    <t>clean tech - comex</t>
  </si>
  <si>
    <t>RUVOLO - Comex</t>
  </si>
  <si>
    <t xml:space="preserve">casabella claudio teixeira - cloud </t>
  </si>
  <si>
    <t>Universal Quimica - Cloud</t>
  </si>
  <si>
    <t>startools - comex</t>
  </si>
  <si>
    <t>Arqplast - Md-e</t>
  </si>
  <si>
    <t xml:space="preserve">baag - cloud </t>
  </si>
  <si>
    <t>DUTE - B2B</t>
  </si>
  <si>
    <t>16/02/2026 00:00</t>
  </si>
  <si>
    <t>Dislar - Treinamento de Custos</t>
  </si>
  <si>
    <t>baag - televendas</t>
  </si>
  <si>
    <t>MILLENIUM DISTRIBUIDORA</t>
  </si>
  <si>
    <t>17/02/2026 00:00</t>
  </si>
  <si>
    <t>INGA - Contábil</t>
  </si>
  <si>
    <t>SORVETES KASCAO  - Cloud</t>
  </si>
  <si>
    <t>12/02/2026 00:00</t>
  </si>
  <si>
    <t>Interponte - Proposta WEB</t>
  </si>
  <si>
    <t>INGA - Reciclagem</t>
  </si>
  <si>
    <t>NIX HOUSE - Rd Station</t>
  </si>
  <si>
    <t>Ingá -  redimensionamento de picking</t>
  </si>
  <si>
    <t>CULTURAMA - B2B</t>
  </si>
  <si>
    <t>QUALITY HOUSE - BI</t>
  </si>
  <si>
    <t>18/02/2026 00:00</t>
  </si>
  <si>
    <t>AD &amp; AD COMERCIO DE IMPORTACAO E EXPORTACAO LTDA</t>
  </si>
  <si>
    <t>Embalavi - Tray</t>
  </si>
  <si>
    <t>DAS'PLAST - Mde</t>
  </si>
  <si>
    <t>26/02/2026 00:00</t>
  </si>
  <si>
    <t>FECHAMENTO DE: 01/02/2026 até 28/02/2026</t>
  </si>
  <si>
    <t>REFERÊNCIAS</t>
  </si>
  <si>
    <t>Bônus ou Ônus se cobrir Meta Recorrente</t>
  </si>
  <si>
    <t>Percentual</t>
  </si>
  <si>
    <t>Hora</t>
  </si>
  <si>
    <t>Cobriu Meta +</t>
  </si>
  <si>
    <t>Cobriu Meta Equipe +</t>
  </si>
  <si>
    <t>Não Cobriu Meta -</t>
  </si>
  <si>
    <t>COMISSÃO</t>
  </si>
  <si>
    <t>JÚNIOR</t>
  </si>
  <si>
    <t>VALOR VENDIDO</t>
  </si>
  <si>
    <t xml:space="preserve">COMISSÃO </t>
  </si>
  <si>
    <t>BÔNUS META</t>
  </si>
  <si>
    <t>ÔNUS META</t>
  </si>
  <si>
    <t>META RECORRENTE</t>
  </si>
  <si>
    <t>META EQUIPE</t>
  </si>
  <si>
    <t>% COLABORAÇÃO META</t>
  </si>
  <si>
    <t>BÔNUS TIME</t>
  </si>
  <si>
    <t xml:space="preserve">VALOR VENDIDO </t>
  </si>
  <si>
    <t>BÔNUS/ÔNUS META</t>
  </si>
  <si>
    <t>COMISSÃO SUPERVISOR</t>
  </si>
  <si>
    <t>BÔNUS DO</t>
  </si>
  <si>
    <t>TOTAIS</t>
  </si>
  <si>
    <t>TIME</t>
  </si>
  <si>
    <t>HORAS</t>
  </si>
  <si>
    <t>MENSALIDADE</t>
  </si>
  <si>
    <t>LANÇAMENTOS ÚNICOS NA FOLHA COMISSÃO</t>
  </si>
  <si>
    <t xml:space="preserve">Comissão  </t>
  </si>
  <si>
    <t>Júnior Lopes</t>
  </si>
  <si>
    <t>Rayssa Oliveira</t>
  </si>
  <si>
    <t>Pagamento Único</t>
  </si>
  <si>
    <t>Valor Total Vendido</t>
  </si>
  <si>
    <t>% Comissão Vendedor + Supervisor</t>
  </si>
  <si>
    <t>Valor Total de Mensalidade</t>
  </si>
  <si>
    <t>FECHAMENTO DE: 01/01/2026 até 31/01/2026</t>
  </si>
  <si>
    <t>RECORRENTE 4T DE 2025</t>
  </si>
  <si>
    <t>RECEITA GERADA NO 4T DE 2025</t>
  </si>
  <si>
    <t>HORAS DO 4T 2025</t>
  </si>
  <si>
    <t>Meses (Data)</t>
  </si>
  <si>
    <t>out</t>
  </si>
  <si>
    <t>RECORRENTE</t>
  </si>
  <si>
    <t>Soma de VlrTotal</t>
  </si>
  <si>
    <t>Treinamentos</t>
  </si>
  <si>
    <t>nov</t>
  </si>
  <si>
    <t>dez</t>
  </si>
  <si>
    <t>FORECAST 1T 2026</t>
  </si>
  <si>
    <t>RECEITA POR PRODUTO 4T DE 2025</t>
  </si>
  <si>
    <t>VENDA</t>
  </si>
  <si>
    <t>Escolha aqui a temperatura</t>
  </si>
  <si>
    <t>Soma de Qtde</t>
  </si>
  <si>
    <t>_Vlr Projeto</t>
  </si>
  <si>
    <t>_Mensalidade</t>
  </si>
  <si>
    <t>_Horas</t>
  </si>
  <si>
    <t>Magis</t>
  </si>
  <si>
    <t>MDFe</t>
  </si>
  <si>
    <t>Intelipost</t>
  </si>
  <si>
    <t>VENDAS  POR TIPOS DE RECEITA 2025</t>
  </si>
  <si>
    <t>VENDAS  POR VENDEDOR 2025</t>
  </si>
  <si>
    <t>_VlrTotal</t>
  </si>
  <si>
    <t>_Qtde</t>
  </si>
  <si>
    <t>Rótulos de Coluna</t>
  </si>
  <si>
    <t>VENDAS USUÁRIOS 2025</t>
  </si>
  <si>
    <t>VENDAS METAS 2026</t>
  </si>
  <si>
    <t>Addon Propsta WEB</t>
  </si>
  <si>
    <t>Addon Iara</t>
  </si>
  <si>
    <t>PDV Pre Venda</t>
  </si>
  <si>
    <t>PDV</t>
  </si>
  <si>
    <t>PDV ERP</t>
  </si>
  <si>
    <t>Link de Pagamento</t>
  </si>
  <si>
    <t>Addon Multilojas</t>
  </si>
  <si>
    <t>PDV Server</t>
  </si>
  <si>
    <t>CTE</t>
  </si>
  <si>
    <t>Importação XML</t>
  </si>
  <si>
    <t>CRM RD Station</t>
  </si>
  <si>
    <t>Envio de Boleto</t>
  </si>
  <si>
    <t>MDFE e CTE</t>
  </si>
  <si>
    <t>CIAP</t>
  </si>
  <si>
    <t>Tray</t>
  </si>
  <si>
    <t>Lexos</t>
  </si>
  <si>
    <t>Guarani B2B</t>
  </si>
  <si>
    <t>GB Importadora</t>
  </si>
  <si>
    <t>Elmo</t>
  </si>
  <si>
    <t>Débora Duarte</t>
  </si>
  <si>
    <t>Polimax</t>
  </si>
  <si>
    <t>Terra Boa</t>
  </si>
  <si>
    <t>Não têm</t>
  </si>
  <si>
    <t>Parolimp</t>
  </si>
  <si>
    <t>117327/117329</t>
  </si>
  <si>
    <t>GiftUtil</t>
  </si>
  <si>
    <t>Rishioto</t>
  </si>
  <si>
    <t>Marcamix</t>
  </si>
  <si>
    <t>Panamby</t>
  </si>
  <si>
    <t>Scotti</t>
  </si>
  <si>
    <t>Dvidros</t>
  </si>
  <si>
    <t>117550/117553</t>
  </si>
  <si>
    <t>Star Distribuidora</t>
  </si>
  <si>
    <t>Full Fit</t>
  </si>
  <si>
    <t>Bella Vista</t>
  </si>
  <si>
    <t>Newell Brands</t>
  </si>
  <si>
    <t>Lira Distribuidora</t>
  </si>
  <si>
    <t>JP Representação</t>
  </si>
  <si>
    <t>Sultex</t>
  </si>
  <si>
    <t>Aluminio Nacional</t>
  </si>
  <si>
    <t>Nedo</t>
  </si>
  <si>
    <t>118689/118889</t>
  </si>
  <si>
    <t>Ingá</t>
  </si>
  <si>
    <t>Ad &amp; Ad Importadora</t>
  </si>
  <si>
    <t>Gp Inox</t>
  </si>
  <si>
    <t>Gyn Atacado</t>
  </si>
  <si>
    <t>Akitem</t>
  </si>
  <si>
    <t>Erca Aluminio</t>
  </si>
  <si>
    <t>Mdfe</t>
  </si>
  <si>
    <t>Plastutti</t>
  </si>
  <si>
    <t>Wellmix</t>
  </si>
  <si>
    <t>JLK Plasticos</t>
  </si>
  <si>
    <t>Vaso Forte</t>
  </si>
  <si>
    <t>Color Flex</t>
  </si>
  <si>
    <t>Montebello</t>
  </si>
  <si>
    <t>MaxxiHouse (Fika)</t>
  </si>
  <si>
    <t>Pupi Imports</t>
  </si>
  <si>
    <t>Best Kaza</t>
  </si>
  <si>
    <t>Aço mix</t>
  </si>
  <si>
    <t>NixHouse</t>
  </si>
  <si>
    <t>Mares Importadora</t>
  </si>
  <si>
    <t xml:space="preserve">Ponto 10 </t>
  </si>
  <si>
    <t>Duarte (Fika)</t>
  </si>
  <si>
    <t>Kozi Plast</t>
  </si>
  <si>
    <t>Plastico MB</t>
  </si>
  <si>
    <t>L&amp;T Importadora</t>
  </si>
  <si>
    <t>Sakes</t>
  </si>
  <si>
    <t>Tritec</t>
  </si>
  <si>
    <t>Multiflon</t>
  </si>
  <si>
    <t>Unik Importadora</t>
  </si>
  <si>
    <t>Util UD</t>
  </si>
  <si>
    <t>Creative (Fermabel)</t>
  </si>
  <si>
    <t>Vitazza</t>
  </si>
  <si>
    <t>Tecelagem Castilho</t>
  </si>
  <si>
    <t>Vitoria Cortinas</t>
  </si>
  <si>
    <t>Mercosur Pakiplast</t>
  </si>
  <si>
    <t>Flor de Seda</t>
  </si>
  <si>
    <t>Luz Industria</t>
  </si>
  <si>
    <t>MDFE</t>
  </si>
  <si>
    <t>Fa Fa Import</t>
  </si>
  <si>
    <t>Chahim</t>
  </si>
  <si>
    <t>Qfesta</t>
  </si>
  <si>
    <t>Classhome</t>
  </si>
  <si>
    <t>Quality House</t>
  </si>
  <si>
    <t>Sutt</t>
  </si>
  <si>
    <t>Aliança Importadora</t>
  </si>
  <si>
    <t>Mundi EPS</t>
  </si>
  <si>
    <t>Reunidas</t>
  </si>
  <si>
    <t>126563/125926</t>
  </si>
  <si>
    <t>BRL Alimentos</t>
  </si>
  <si>
    <t>Elmo Atacado</t>
  </si>
  <si>
    <t>Ativa</t>
  </si>
  <si>
    <t>Koizas Lozinha</t>
  </si>
  <si>
    <t>Nanox</t>
  </si>
  <si>
    <t>Dislar</t>
  </si>
  <si>
    <t>Mypa</t>
  </si>
  <si>
    <t>Casa Freitas</t>
  </si>
  <si>
    <t>126943/126955</t>
  </si>
  <si>
    <t>YOSS</t>
  </si>
  <si>
    <t>Fazzio</t>
  </si>
  <si>
    <t>Delta Max (Sagol)</t>
  </si>
  <si>
    <t>Koisa Kozinha</t>
  </si>
  <si>
    <t>Ruvolo</t>
  </si>
  <si>
    <t>Giftutil</t>
  </si>
  <si>
    <t>Arqplast</t>
  </si>
  <si>
    <t>Chahin</t>
  </si>
  <si>
    <t>Chame Rio</t>
  </si>
  <si>
    <t>DCARTE</t>
  </si>
  <si>
    <t>Fuzipar</t>
  </si>
  <si>
    <t>Tiago Eletrônicos (AS Eletronicos)</t>
  </si>
  <si>
    <t>Shinyt Importadora</t>
  </si>
  <si>
    <t>Lyke</t>
  </si>
  <si>
    <t>Qhouse</t>
  </si>
  <si>
    <t>Newell</t>
  </si>
  <si>
    <t>Bezavel</t>
  </si>
  <si>
    <t>Inga Import</t>
  </si>
  <si>
    <t>130935/131269</t>
  </si>
  <si>
    <t>Yes Mall</t>
  </si>
  <si>
    <t>MDL Import</t>
  </si>
  <si>
    <t>Sagol (Delta Max)</t>
  </si>
  <si>
    <t>Monte Belo</t>
  </si>
  <si>
    <t>Fenima</t>
  </si>
  <si>
    <t>Bruto</t>
  </si>
  <si>
    <t>Líquido</t>
  </si>
  <si>
    <t>ANO</t>
  </si>
  <si>
    <t>VALOR</t>
  </si>
  <si>
    <t>Supervisor</t>
  </si>
  <si>
    <t>Soma de Comissão</t>
  </si>
  <si>
    <t>Soma de media</t>
  </si>
  <si>
    <t>Junior</t>
  </si>
  <si>
    <t>Débora</t>
  </si>
  <si>
    <t>Vendeor</t>
  </si>
  <si>
    <t>Mariana</t>
  </si>
  <si>
    <t>Média</t>
  </si>
  <si>
    <t>jun</t>
  </si>
  <si>
    <t>REF 05/2021</t>
  </si>
  <si>
    <t>jul</t>
  </si>
  <si>
    <t>ago</t>
  </si>
  <si>
    <t>set</t>
  </si>
  <si>
    <t>Média Todos os Anos</t>
  </si>
  <si>
    <t>Média no Ano 2025</t>
  </si>
  <si>
    <t>Dados</t>
  </si>
  <si>
    <t>Comissão</t>
  </si>
  <si>
    <t>Pago em</t>
  </si>
  <si>
    <t>Count</t>
  </si>
  <si>
    <t>Comissão Média</t>
  </si>
  <si>
    <t xml:space="preserve">VENDAS </t>
  </si>
  <si>
    <t>VENDEDOR</t>
  </si>
  <si>
    <t>SUPERVISOR</t>
  </si>
  <si>
    <t>Totais</t>
  </si>
  <si>
    <t xml:space="preserve">Valor único </t>
  </si>
  <si>
    <t>Valor recorrente mês</t>
  </si>
  <si>
    <t>Referência</t>
  </si>
  <si>
    <t>COMPARATIVO DE CRESIMENTO ( VENDAS COMO VENDEDOR VS SUPERVISOR)</t>
  </si>
  <si>
    <t>Valor único</t>
  </si>
  <si>
    <t>COMPARATIVO DE CRESCIMENTO (VENDAS ANO CONTRA ANO)</t>
  </si>
  <si>
    <t>ID Oportunidade</t>
  </si>
  <si>
    <t>ID Cliente</t>
  </si>
  <si>
    <t>ID Contato</t>
  </si>
  <si>
    <t>Descrição</t>
  </si>
  <si>
    <t>Razão social</t>
  </si>
  <si>
    <t>Título do negócio</t>
  </si>
  <si>
    <t>Nome do Cliente</t>
  </si>
  <si>
    <t>Nome do Contato</t>
  </si>
  <si>
    <t>Telefone do Contato</t>
  </si>
  <si>
    <t>Celular do Contato</t>
  </si>
  <si>
    <t>E-mail do contato</t>
  </si>
  <si>
    <t>Grupo do cliente</t>
  </si>
  <si>
    <t>Contatos</t>
  </si>
  <si>
    <t>Endereço</t>
  </si>
  <si>
    <t>Cidade</t>
  </si>
  <si>
    <t>Estado</t>
  </si>
  <si>
    <t>Origem</t>
  </si>
  <si>
    <t>Origem do cliente</t>
  </si>
  <si>
    <t>Categoria do cliente</t>
  </si>
  <si>
    <t>TAGS</t>
  </si>
  <si>
    <t>Funil de vendas</t>
  </si>
  <si>
    <t>Etapa do funil de vendas</t>
  </si>
  <si>
    <t>Forma de Pagamento</t>
  </si>
  <si>
    <t>Data esperada de fechamento</t>
  </si>
  <si>
    <t>Valor Total</t>
  </si>
  <si>
    <t>Valor mensal</t>
  </si>
  <si>
    <t>Tempo como oportunidade</t>
  </si>
  <si>
    <t>Criado por</t>
  </si>
  <si>
    <t>Data de Criação</t>
  </si>
  <si>
    <t>Hora de Criação</t>
  </si>
  <si>
    <t>Código externo</t>
  </si>
  <si>
    <t>Status</t>
  </si>
  <si>
    <t>Data de Perda/Ganho</t>
  </si>
  <si>
    <t>Hora de Perda/Ganho</t>
  </si>
  <si>
    <t>Motivo de perda</t>
  </si>
  <si>
    <t>Razão de Perda</t>
  </si>
  <si>
    <t>Data Venda  Agenda</t>
  </si>
  <si>
    <t>SDRResponsável</t>
  </si>
  <si>
    <t>DataApresentação2</t>
  </si>
  <si>
    <t>Data UltContato</t>
  </si>
  <si>
    <t>Produtos</t>
  </si>
  <si>
    <t>Vlr Mensalidade</t>
  </si>
  <si>
    <t>QTDE</t>
  </si>
  <si>
    <t>teste paulo</t>
  </si>
  <si>
    <t>Paulo Teste</t>
  </si>
  <si>
    <t>16997181604</t>
  </si>
  <si>
    <t>paulo.souza@guaranisistemas.com.br</t>
  </si>
  <si>
    <t xml:space="preserve">  </t>
  </si>
  <si>
    <t>Guarani AFV;SDRPaulo</t>
  </si>
  <si>
    <t>Pipeline de Vendas</t>
  </si>
  <si>
    <t>Agendamento (0%)</t>
  </si>
  <si>
    <t>Ativo</t>
  </si>
  <si>
    <t>EDDI INDUSTRIA E COMERCIO DE ARTEFATOS PLASTICOS LTDA</t>
  </si>
  <si>
    <t xml:space="preserve">eddi casa - afv </t>
  </si>
  <si>
    <t>EDDI CASA</t>
  </si>
  <si>
    <t>16997246190</t>
  </si>
  <si>
    <t>comercial@eddicasa.com</t>
  </si>
  <si>
    <t>EDDI CASA;Bruno</t>
  </si>
  <si>
    <t>Ibitinga - SP</t>
  </si>
  <si>
    <t>SP</t>
  </si>
  <si>
    <t>Outbound</t>
  </si>
  <si>
    <t>Importado a partir de lista;Guarani AFV;SDRFernanda</t>
  </si>
  <si>
    <t>Apresentar Proposta (50%)</t>
  </si>
  <si>
    <t>Fernanda Santiago</t>
  </si>
  <si>
    <t>Perdido</t>
  </si>
  <si>
    <t>Não é o momento certo</t>
  </si>
  <si>
    <t xml:space="preserve">sem retorno do cliente </t>
  </si>
  <si>
    <t>27/11/2024</t>
  </si>
  <si>
    <t>29/11/2024</t>
  </si>
  <si>
    <t>APÓS PESQUISA ENCONTREI O TELEFONE 88 98114-7695 NO CATALAGO DIGITAL DA EMPRESA, MANDEI MSG PARA VALIDAR E CONVERSEI COM LUCAS, ELE DISSE QUE NO PASSADO JA NOS PROCUROU PARA CONHECER NOSSO ERP, POIS QUEREM MUDAR DE SISTEMA, O GERENTE DELES DE PRODUÇÃO JA TRABALHOU CONOSCO NA ARCA PLAST E INDICOU. ATUALMENTE USA SISTEMA CHAMADO WSHOP, MAS NÃO ATENDE ELES BEM. QUER VER TODA PARTE DE PRODUÇÃO, PRODUTOS, CUSTOS, FATURAMENTO... POSSUEM POUCOS REPRESENTANTES, FOCO NO MOMENTO É O ERP, APÓS ELE VE O FORÇA DE VENDAS.
AGENDADO APRESENTAÇÃO COM O PAULO DIA 27/11 AS 15H</t>
  </si>
  <si>
    <t>plascity - erp</t>
  </si>
  <si>
    <t>Lucas</t>
  </si>
  <si>
    <t>(88) 98114-7695</t>
  </si>
  <si>
    <t>lucasnewway@gmail.com</t>
  </si>
  <si>
    <t>Base de empresas Leads2b</t>
  </si>
  <si>
    <t>SDRDébora</t>
  </si>
  <si>
    <t>Em negociação (75%)</t>
  </si>
  <si>
    <t>Cliente não quer contato LGPD</t>
  </si>
  <si>
    <t>FALEI COM SILDÁCIO, ATUALMENTE USAM SISTEMA PROPRIO, MAS BUSCAM MELHORIAS E CONFORMA PLANEJAMENTO PARA 2025 ESTÁ COTANDO COM SOLUÇÕES DO MERCADO, OUVI DE OUTRAS IMPORTADORAS QUE USAM NOSSA SISTEMA PARA FORÇA DE VENDAS. HOJE SÃO 5 RCA, MAS ESTÃO EXPANDIDO O ATENDIMENTO PARA OUTROS ESTADOS E AUMENTANDO A EQUIPE. USAM ERP TOTVS. SÃO IMPORTADORA UD/BRINQUEDOS/DECOR
AGENDADO APRESENTAÇÃO DIA 21/11 AS 11H30
INCLUIR NO INVITE jacqueline.santos@casafreitas.com.br</t>
  </si>
  <si>
    <t>casa freitas - afv</t>
  </si>
  <si>
    <t>Sildácio Amaral</t>
  </si>
  <si>
    <t>(85) 99797-0405</t>
  </si>
  <si>
    <t>sildacio.amaral@casafreitas.com.br</t>
  </si>
  <si>
    <t>Site</t>
  </si>
  <si>
    <t>SDRInbound;Guarani AFV;SDRDébora;90%</t>
  </si>
  <si>
    <t>Em Fechamento (100%)</t>
  </si>
  <si>
    <t>6x sem juros (0/30/60/90/120/150...)</t>
  </si>
  <si>
    <t>Ganho</t>
  </si>
  <si>
    <t>19/11/2024 00:00</t>
  </si>
  <si>
    <t>07/03/2025</t>
  </si>
  <si>
    <t>05/12/2024</t>
  </si>
  <si>
    <t>Então, eu conheci o sistema AFV por um fornecedor nosso e ficamos interessados pelo recursos que você possui em realizar vendas e consultar estoques pelo celular
Somos um grupo o KWI, que é composto por 3 empresas, 2 é varejista e não fazemos vendas externas e nem representantes. E 1 é Atacadista, no momento é uma empresa nova, mas estamos nos organizando para incorporar vendas externas
Varejista e Atacadista
Porque ficamos interessamos em por exemplo quando estamos na feira para expor ao invés de fazer pedido no papel, utilizar um celular que é mais pratico
Ultimamos o ERP Verup
Ah então pode ser quinta 10hrs? Sou Supervisora do T.I
Recebi. Muito obrigada!!</t>
  </si>
  <si>
    <t>grupo kwi - afv</t>
  </si>
  <si>
    <t xml:space="preserve"> Giovanna Seguette</t>
  </si>
  <si>
    <t>(11) 94444-8474</t>
  </si>
  <si>
    <t>suppliers@bongmoon.com</t>
  </si>
  <si>
    <t>SDRInbound;Guarani AFV;SDRDébora</t>
  </si>
  <si>
    <t>25/11/2024 00:00</t>
  </si>
  <si>
    <t>04/12/2024</t>
  </si>
  <si>
    <t>02/12/2024</t>
  </si>
  <si>
    <t>APÓS INDICAÇÃO DO TEL 16 99776-7635 CONTATO PASSOU O Nº DA JESSICA, FALEI COM ELA POR WHATS, ATUALMENTE USAM SISTEMA DA IDEIA, MAS ELA ACEITOU VER UMA DEMONSTRAÇÃO DO NOSSO FORÇA DE VENDAS.
EMPRESA É DE ARARAQUARA, INDUSTRIA DE UD
AGENDADO APRESENTAÇÃO DIA 03/12 AS 10H COM O JUCA</t>
  </si>
  <si>
    <t>Utiliplas Fabricacao E Comercio De Artefatos Plasticos Ltda</t>
  </si>
  <si>
    <t>utiliplas - afv</t>
  </si>
  <si>
    <t>Jessica Edevania</t>
  </si>
  <si>
    <t>(16) 3332-7378</t>
  </si>
  <si>
    <t>comercialutiliplas@gmail.com</t>
  </si>
  <si>
    <t>ARARAQUARA</t>
  </si>
  <si>
    <t>Guarani AFV;SDRDébora</t>
  </si>
  <si>
    <t xml:space="preserve">cliente não da retorno </t>
  </si>
  <si>
    <t>26/11/2024 00:00</t>
  </si>
  <si>
    <t>09/12/2024</t>
  </si>
  <si>
    <t>A Primu's Rio é uma rede de lojas especializada em Brinquedos, Cama, Mesa e Banho, Utensílios domésticos, Papelaria, Plástico, Vidro, Alumínio e muito mais.
São mais de 25 anos no mercado, oferecendo os melhores produtos com os melhores preços, tanto para o consumidor varejista, quanto para o atacadista.
Site: Loja online de Primu's Rio - Quem Somos
O Grupo primus é um grupo econômico com 7 empresas, e estão divididas da seguinte maneira:
Distribuidora/Importadora
ERP = 10
AFV = 2
PDV = 10
7 CNPJ
Produtos de Interesse (ERP, AFV, PDV, MDFE, MDE, B2B)
Atacado e Lojas
4 lojas com 28 PDV, sendo que uma dessa loja é atacado.
ASSUNTOS A SER DETALHANDOS NA APRESENTAÇÃO:
Política de preço, eles fazer 3 tipos de preço T1 (9,90), T2 (8,90), T3 (7,90), a regra é que com determinado volume financeiro na compra o preço flute entre as tabelas;
Tem dois tipos de custo quando a mercadoria entra pela importadora é um e pela distribuidora é outro, entender melhor isso
A apresentação dever ser focada na distribuidora e seus processos diários. Seguir o fluxo apresentando a Estoque, Financeiro, Fiscal, Politicas de Preço, Faturamento e Gerenciamento da Operação.</t>
  </si>
  <si>
    <t xml:space="preserve">lojas primus </t>
  </si>
  <si>
    <t>Celso</t>
  </si>
  <si>
    <t>21964236193</t>
  </si>
  <si>
    <t>celsomsc@gmail.com</t>
  </si>
  <si>
    <t>RIO DE JANEIRO</t>
  </si>
  <si>
    <t>RJ</t>
  </si>
  <si>
    <t>Guarani AFV;Guarani ERP;Guarani B2B;Guarani PDV;SDRPaulo;MORNO</t>
  </si>
  <si>
    <t>cliente não tem mais interesse.</t>
  </si>
  <si>
    <t>GA CERAMICA ARTISTICA</t>
  </si>
  <si>
    <t>ga ceramica - afv</t>
  </si>
  <si>
    <t>GA CERAMICA</t>
  </si>
  <si>
    <t>1935815351</t>
  </si>
  <si>
    <t>atendimento@gaceramica.com.br</t>
  </si>
  <si>
    <t>GA CERAMICA;GA CERAMICA, Jorge</t>
  </si>
  <si>
    <t>Apresentar Solução (35%)</t>
  </si>
  <si>
    <t>Não quer mudar a solução atual</t>
  </si>
  <si>
    <t>Falei com o Jorge, ele disse que esta acontecendo umas mudanças administrativas um dos socios esta saindo, então toda previsao de alterar sistemas ficou em stand by, disse para falarmos em fevereiro. Até a feira ele falou que pode ser que ja tenha resolvido entao falamos depois.</t>
  </si>
  <si>
    <t>02/12/2024 10:00</t>
  </si>
  <si>
    <t>Resumo de envio do Formulário Web
Produtos:
Guarani ERP
Nome
Viviane Gomes
E-mail
fiscal@aloebaf.com.br
Telefone / Whatsapp
38 99127-5338
Nome da Empresa
ALOEBAF COMERCIO DE COSMETICOS
Segmento
Distribuidor
Descrição da necessidade
Precisamos do Força de vendas</t>
  </si>
  <si>
    <t>aloe baf</t>
  </si>
  <si>
    <t>Viviane Gomes</t>
  </si>
  <si>
    <t>38991275338</t>
  </si>
  <si>
    <t>fiscal@aloebaf.com.br</t>
  </si>
  <si>
    <t>Guarani AFV;Guarani ERP;SDRDébora;Adicionais ERP;Pausado</t>
  </si>
  <si>
    <t>Preço muito alto</t>
  </si>
  <si>
    <t>02/12/2024 00:00</t>
  </si>
  <si>
    <t>baag-bahia artes gráficas(erp)</t>
  </si>
  <si>
    <t>BAAG (Bahia Artes Gráficas)</t>
  </si>
  <si>
    <t>7532217777</t>
  </si>
  <si>
    <t>cleber@bahiagrafica.com.br</t>
  </si>
  <si>
    <t>Feira de Santana</t>
  </si>
  <si>
    <t>BA</t>
  </si>
  <si>
    <t>Guarani AFV;Guarani ERP;QUENTE</t>
  </si>
  <si>
    <t>27/09/2024</t>
  </si>
  <si>
    <t>baag-bahia artes gráficas(cloud)</t>
  </si>
  <si>
    <t>Cleber Chagas</t>
  </si>
  <si>
    <t>75981337574</t>
  </si>
  <si>
    <t>Guarani CLOUD;QUENTE</t>
  </si>
  <si>
    <t xml:space="preserve">servidor local </t>
  </si>
  <si>
    <t>vaso forte (erp)</t>
  </si>
  <si>
    <t>Clovis &amp; Heli</t>
  </si>
  <si>
    <t>11912422620</t>
  </si>
  <si>
    <t>heli@vasoforte.com.br</t>
  </si>
  <si>
    <t>Vargem Grande Paulista</t>
  </si>
  <si>
    <t>Guarani ERP</t>
  </si>
  <si>
    <t>06/01/2025</t>
  </si>
  <si>
    <t>11/10/2024</t>
  </si>
  <si>
    <t>24/01/2025</t>
  </si>
  <si>
    <t>negócio plásticos santana ltda</t>
  </si>
  <si>
    <t>Plásticos Santana Ltda</t>
  </si>
  <si>
    <t>19974093075</t>
  </si>
  <si>
    <t>comercial1@plasticossantana.com.br</t>
  </si>
  <si>
    <t>Artur Nogueira</t>
  </si>
  <si>
    <t>Guarani AFV;Guarani ERP</t>
  </si>
  <si>
    <t>Qualificação de Vendas (SQL) (25%)</t>
  </si>
  <si>
    <t>Não informou motivo da desistência</t>
  </si>
  <si>
    <t>retornar contato em 2025</t>
  </si>
  <si>
    <t>vaso forte (cloud)</t>
  </si>
  <si>
    <t>Guarani CLOUD</t>
  </si>
  <si>
    <t xml:space="preserve">atualmente tem muita instabilidade de internet </t>
  </si>
  <si>
    <t>01/10/2024</t>
  </si>
  <si>
    <t>editora online</t>
  </si>
  <si>
    <t>EDITORA ONLINE</t>
  </si>
  <si>
    <t>João Carlos Gomes Brasil</t>
  </si>
  <si>
    <t>11993739551</t>
  </si>
  <si>
    <t>joao@editoraonline.com.br</t>
  </si>
  <si>
    <t>Barueri</t>
  </si>
  <si>
    <t>14/10/2024</t>
  </si>
  <si>
    <t>18/10/2024</t>
  </si>
  <si>
    <t xml:space="preserve">precisa import </t>
  </si>
  <si>
    <t>Precisa Import</t>
  </si>
  <si>
    <t>Carlos</t>
  </si>
  <si>
    <t>11972961489</t>
  </si>
  <si>
    <t>comercial@prorepresentacao.com.nr</t>
  </si>
  <si>
    <t>25/10/2024</t>
  </si>
  <si>
    <t>21/10/2024</t>
  </si>
  <si>
    <t>polimax (erp+afv)</t>
  </si>
  <si>
    <t>Valen Lesinelli</t>
  </si>
  <si>
    <t>11998367755</t>
  </si>
  <si>
    <t>comercial@polimaxpolimeros.com.br</t>
  </si>
  <si>
    <t>São Paulo</t>
  </si>
  <si>
    <t>18/12/2024</t>
  </si>
  <si>
    <t>15/01/2025</t>
  </si>
  <si>
    <t>md importação</t>
  </si>
  <si>
    <t>MD Importação</t>
  </si>
  <si>
    <t>Juliana</t>
  </si>
  <si>
    <t>47991450725</t>
  </si>
  <si>
    <t>mdimposrtacao@gmail.com</t>
  </si>
  <si>
    <t>Rio do Sul</t>
  </si>
  <si>
    <t>SC</t>
  </si>
  <si>
    <t>Indicação</t>
  </si>
  <si>
    <t>Não houve aprovação financeira</t>
  </si>
  <si>
    <t xml:space="preserve">cliente esfriou após proposta comercial </t>
  </si>
  <si>
    <t>28/11/2024</t>
  </si>
  <si>
    <t>19/11/2024</t>
  </si>
  <si>
    <t>dpot plasticos</t>
  </si>
  <si>
    <t>DPOT PLASTICOS</t>
  </si>
  <si>
    <t>Michel Stracci</t>
  </si>
  <si>
    <t>19997264646</t>
  </si>
  <si>
    <t>dpot.plasticos@gmail.com</t>
  </si>
  <si>
    <t>Pedreira</t>
  </si>
  <si>
    <t>Guarani AFV;Guarani ERP;SDRDébora</t>
  </si>
  <si>
    <t>04/11/2024</t>
  </si>
  <si>
    <t>06/11/2024</t>
  </si>
  <si>
    <t>05/11/2024</t>
  </si>
  <si>
    <t>dpot plasticos (cloud)</t>
  </si>
  <si>
    <t>Guarani CLOUD;SDRDébora</t>
  </si>
  <si>
    <t>grupo gala (b2b)</t>
  </si>
  <si>
    <t>GRUPO GALA</t>
  </si>
  <si>
    <t>Diego</t>
  </si>
  <si>
    <t>6735659555</t>
  </si>
  <si>
    <t>diego@gala.com.br</t>
  </si>
  <si>
    <t>Aparecida do Taboado</t>
  </si>
  <si>
    <t>MS</t>
  </si>
  <si>
    <t>12/11/2024</t>
  </si>
  <si>
    <t>polimax- cloud</t>
  </si>
  <si>
    <t>8x sem juros (0/30/60/90/120/150...)</t>
  </si>
  <si>
    <t>28/01/2025</t>
  </si>
  <si>
    <t>18/11/2024</t>
  </si>
  <si>
    <t>negócio fosboi da bahia</t>
  </si>
  <si>
    <t>Fosboi da Bahia</t>
  </si>
  <si>
    <t>Marcelo Luz</t>
  </si>
  <si>
    <t>75991975073</t>
  </si>
  <si>
    <t>marceloluizlimafilho@outlook.com</t>
  </si>
  <si>
    <t xml:space="preserve">sem retorno </t>
  </si>
  <si>
    <t>tek mix distribuicao</t>
  </si>
  <si>
    <t>TEK MIX DISTRIBUICAO</t>
  </si>
  <si>
    <t>62991561717</t>
  </si>
  <si>
    <t>Wolneyaraujolino@gmail.com</t>
  </si>
  <si>
    <t>Anapólis</t>
  </si>
  <si>
    <t>GO</t>
  </si>
  <si>
    <t>Fechou com o concorrente</t>
  </si>
  <si>
    <t xml:space="preserve">Devido a localização e proposta do concorrente (Target) perdemos a concorrência </t>
  </si>
  <si>
    <t>tek mix distr (cloud)</t>
  </si>
  <si>
    <t>Wolden</t>
  </si>
  <si>
    <t>elmo atacado (mdfe)</t>
  </si>
  <si>
    <t>ELMO ATACADO</t>
  </si>
  <si>
    <t>João Carlos Tasca</t>
  </si>
  <si>
    <t>47999949301</t>
  </si>
  <si>
    <t>joao@atacadoelmo.com.br</t>
  </si>
  <si>
    <t>Joinville</t>
  </si>
  <si>
    <t>Adicionais ERP</t>
  </si>
  <si>
    <t xml:space="preserve">cliente ainda não decidiu </t>
  </si>
  <si>
    <t>20/11/2024</t>
  </si>
  <si>
    <t>md importação - cloud</t>
  </si>
  <si>
    <t xml:space="preserve">cliente esfriou após envio da proposta comercial </t>
  </si>
  <si>
    <t>gb. importadora</t>
  </si>
  <si>
    <t>Pedro</t>
  </si>
  <si>
    <t>19993040768</t>
  </si>
  <si>
    <t>pehpbroglio@gmail.com</t>
  </si>
  <si>
    <t>ITAJAI</t>
  </si>
  <si>
    <t>QUENTE</t>
  </si>
  <si>
    <t>10x sem juros (0/30/60/90/120/150...)</t>
  </si>
  <si>
    <t>06/12/2024</t>
  </si>
  <si>
    <t>04/12/2024 00:00</t>
  </si>
  <si>
    <t>injeplastec</t>
  </si>
  <si>
    <t>Edi</t>
  </si>
  <si>
    <t>11981337574</t>
  </si>
  <si>
    <t>ggealdo@injeplastec.com.br</t>
  </si>
  <si>
    <t xml:space="preserve">cliente não decidiu seguir </t>
  </si>
  <si>
    <t>12/12/2024</t>
  </si>
  <si>
    <t>Após a visita realizada em 10/12/2025, foi agendada uma nova reunião para tratar de assuntos técnicos em 12/12/2025 às 14h.
13:47, 27/01/2026 Fabio Porto Brasil: Boa tarde Junior
13:47, 27/01/2026 Fabio Porto Brasil: tudo certo ?
13:47, 27/01/2026 Junior Lopes: Olá ! Sou Junior Lopes, consultor comercial Guarani sistemas 
Como posso te ajudar ?
13:47, 27/01/2026 Fabio Porto Brasil: Antes de mais nada (e ainda em tempo kkkk), obrigado pela mensagem. Desejo um ótimo 2026
13:47, 27/01/2026 Fabio Porto Brasil: somente alinhado o status, a PBC deve iniciar em março/26, porém vou revisitar o cronograma de aprovação com eles para podermos nos alinhar.
13:53, 27/01/2026 Junior Lopes: Olá Fábio, boa tarde ! Obrigado pelo retorno 
Ficamos no aguardo então ! Caso necessário pode me chamar 
Abraços</t>
  </si>
  <si>
    <t>porto brasil cerâmica - afv</t>
  </si>
  <si>
    <t>Marina</t>
  </si>
  <si>
    <t>19999128074</t>
  </si>
  <si>
    <t>marina@portobrasilceramica.com.br</t>
  </si>
  <si>
    <t>Guarani AFV;80%;Fabio Indica</t>
  </si>
  <si>
    <t>30/01/2025</t>
  </si>
  <si>
    <t>09/12/2024 00:00</t>
  </si>
  <si>
    <t>80</t>
  </si>
  <si>
    <t xml:space="preserve">gb importadora - clou </t>
  </si>
  <si>
    <t xml:space="preserve">GB Importadora - Clou </t>
  </si>
  <si>
    <t>e s maia distribuidora ltda</t>
  </si>
  <si>
    <t>Helder</t>
  </si>
  <si>
    <t>(11) 3098-7840</t>
  </si>
  <si>
    <t>helder@ssdistribuidora.com.br</t>
  </si>
  <si>
    <t>03/12/2024</t>
  </si>
  <si>
    <t>10/12/2024</t>
  </si>
  <si>
    <t>11/12/2024</t>
  </si>
  <si>
    <t>culturama (ad. link cielo, imp. xml)</t>
  </si>
  <si>
    <t xml:space="preserve">Culturama </t>
  </si>
  <si>
    <t>54996596274</t>
  </si>
  <si>
    <t>vinicius.mathyas@culturama.com.br</t>
  </si>
  <si>
    <t>CAXIAS DO SUL</t>
  </si>
  <si>
    <t>RS</t>
  </si>
  <si>
    <t>rigomal</t>
  </si>
  <si>
    <t>Rigomal</t>
  </si>
  <si>
    <t>16997486376</t>
  </si>
  <si>
    <t>junior@rigomel.com.br</t>
  </si>
  <si>
    <t xml:space="preserve">junior informou que vai seguir com Mercus ! indicaçãom do seu atual ERP Triplus </t>
  </si>
  <si>
    <t>16/12/2024</t>
  </si>
  <si>
    <t>viva vidros</t>
  </si>
  <si>
    <t>Viva Vidros</t>
  </si>
  <si>
    <t>11988839646</t>
  </si>
  <si>
    <t>comercial@vivavidros.com.br</t>
  </si>
  <si>
    <t xml:space="preserve">cliente com situação de pendencias financeiras </t>
  </si>
  <si>
    <t>20/01/2025</t>
  </si>
  <si>
    <t>star distribuidora (afv)</t>
  </si>
  <si>
    <t xml:space="preserve">Star Distribuidora </t>
  </si>
  <si>
    <t>17997793113</t>
  </si>
  <si>
    <t>comercial@distribuidorastar.com.br</t>
  </si>
  <si>
    <t xml:space="preserve">estamos fechando solução completa </t>
  </si>
  <si>
    <t>17/12/2024</t>
  </si>
  <si>
    <t xml:space="preserve">dcl editora </t>
  </si>
  <si>
    <t xml:space="preserve">DCL Editora </t>
  </si>
  <si>
    <t>11991297401</t>
  </si>
  <si>
    <t>administrativo@editoradcl.com.br</t>
  </si>
  <si>
    <t xml:space="preserve">cliente não deu sequencia em nossa negociação </t>
  </si>
  <si>
    <t>star distribuidora (erp)</t>
  </si>
  <si>
    <t xml:space="preserve">Everson </t>
  </si>
  <si>
    <t>20/12/2024</t>
  </si>
  <si>
    <t>19/12/2024</t>
  </si>
  <si>
    <t>09/01/2025</t>
  </si>
  <si>
    <t>preciza import (cloud)</t>
  </si>
  <si>
    <t xml:space="preserve">Tony </t>
  </si>
  <si>
    <t>0</t>
  </si>
  <si>
    <t>29/01/2025</t>
  </si>
  <si>
    <t>star distribuidora (cloud)</t>
  </si>
  <si>
    <t>Everson</t>
  </si>
  <si>
    <t>Me chamou no whatsapp, possível indicação.</t>
  </si>
  <si>
    <t xml:space="preserve">luz e real aluminios - grupo laminor </t>
  </si>
  <si>
    <t>Jefeerson</t>
  </si>
  <si>
    <t>(83) 3441-1738 / (83) 9882-5004</t>
  </si>
  <si>
    <t>CATOLE DO ROCHA</t>
  </si>
  <si>
    <t>PB</t>
  </si>
  <si>
    <t>Feiras</t>
  </si>
  <si>
    <t>GELADO;Abup2025Fevereiro</t>
  </si>
  <si>
    <t>07/01/2025 00:00</t>
  </si>
  <si>
    <t xml:space="preserve">Indústria de alumínio atualmente utiliza um ERP local, junto com o EPR do mesmo fornecedor. Porém a principal dificuldade esta no processo produtivo, que ainda não foi implantado. Por este motivo a empresa necessita de um módulo de PCP (Planejamento e controle da produção) e o AFV atual não atende as necessidades comerciais.
MBA Alumínios
Com mais de 38 anos de atuação no setor de alumínios, a MBA Alumínios é uma fábrica consolidada que abrange toda a cadeia produtiva de panelas de alumínio, desde a compra de sucata, produção de discos, estamparia, pintura, montagem, até embalagem e armazenamento.
A empresa adotará os seguintes produtos:
ERP + PCP: 10 usuários
Checkout (ERP): 4 usuários
AFV: 14 usuários
MDe
MDFe
Possui dois CNPJs enquadrados no Simples Nacional e está localizada na cidade de Itaúna - MG.
 </t>
  </si>
  <si>
    <t>MBA ALUMINIOS LTDA.</t>
  </si>
  <si>
    <t>mba aluminios</t>
  </si>
  <si>
    <t>Selmo Fernandes</t>
  </si>
  <si>
    <t>(37) 99856-9457</t>
  </si>
  <si>
    <t>selmofilho@mbaluminios.com.br</t>
  </si>
  <si>
    <t>ITAUNA</t>
  </si>
  <si>
    <t xml:space="preserve">Carlos informou que possui hoje 50 RCA, e utilizam o ERP Solides. </t>
  </si>
  <si>
    <t>ETRURIA INDUSTRIA DE FIBRAS E FIOS SINTETICOS LTDA</t>
  </si>
  <si>
    <t>afv - etruria</t>
  </si>
  <si>
    <t>ETRURIA</t>
  </si>
  <si>
    <t>1147188700</t>
  </si>
  <si>
    <t>etruria@etruria.com.br</t>
  </si>
  <si>
    <t>ETRURIA;Carlos</t>
  </si>
  <si>
    <t>Mairinque - SP</t>
  </si>
  <si>
    <t>Importado a partir de lista;SDRFernanda</t>
  </si>
  <si>
    <t xml:space="preserve">decidiu não mudar força de vendas nesse momento </t>
  </si>
  <si>
    <t>21/01/2025</t>
  </si>
  <si>
    <t>14/01/2025 15:00</t>
  </si>
  <si>
    <t>c.a teles armarinhos e papelaria ltda</t>
  </si>
  <si>
    <t xml:space="preserve">News aviamentos </t>
  </si>
  <si>
    <t>(11) 3229-6911</t>
  </si>
  <si>
    <t>caiotls@hotmail.com</t>
  </si>
  <si>
    <t>SAO PAULO</t>
  </si>
  <si>
    <t xml:space="preserve">achou investimento fora para o momento </t>
  </si>
  <si>
    <t>10/01/2025</t>
  </si>
  <si>
    <t>global mix atacadista ltda</t>
  </si>
  <si>
    <t>GLOBAL MIX ATACADISTA LTDA.</t>
  </si>
  <si>
    <t>Juan Charles Brandão Bastos</t>
  </si>
  <si>
    <t>(32) 98458-5164</t>
  </si>
  <si>
    <t>afonso@assecon.net.br</t>
  </si>
  <si>
    <t>Matriz</t>
  </si>
  <si>
    <t xml:space="preserve"> R DOM LUIZ ORIONE 577</t>
  </si>
  <si>
    <t>Juiz de Fora</t>
  </si>
  <si>
    <t>MG</t>
  </si>
  <si>
    <t>Solicita demo;Pausado;GELADO</t>
  </si>
  <si>
    <t>10/01/2025 16:00</t>
  </si>
  <si>
    <t>fuxing cloud</t>
  </si>
  <si>
    <t>Bruce</t>
  </si>
  <si>
    <t>21995977179</t>
  </si>
  <si>
    <t>null</t>
  </si>
  <si>
    <t>Rayssa, está tratando no funil de pós-venda</t>
  </si>
  <si>
    <t>10/01/2025 00:00</t>
  </si>
  <si>
    <t>eco foods</t>
  </si>
  <si>
    <t>Thiago</t>
  </si>
  <si>
    <t>(11) 98534-8231</t>
  </si>
  <si>
    <t>thiago.ramos@sltexpress.com.br</t>
  </si>
  <si>
    <t>Contato;QUENTE</t>
  </si>
  <si>
    <t>Sem interesse / Não quis conversar</t>
  </si>
  <si>
    <t>15/01/2025 17:00</t>
  </si>
  <si>
    <t>22/01/2025 15:00</t>
  </si>
  <si>
    <t>VERSIVA COMERCIAL VERSIVA DISTRIBUIDORA</t>
  </si>
  <si>
    <t>versiva comercial versiva distribuidora</t>
  </si>
  <si>
    <t>Gilberto</t>
  </si>
  <si>
    <t>11984587496</t>
  </si>
  <si>
    <t>gilberto.brito@quantiva.com.br</t>
  </si>
  <si>
    <t>Gilberto;null</t>
  </si>
  <si>
    <t>SDRFernanda;TAG1SEM</t>
  </si>
  <si>
    <t xml:space="preserve">cliente não tem tempo para apresentação </t>
  </si>
  <si>
    <t>16/01/2025 11:00</t>
  </si>
  <si>
    <t>21/01/2025 09:00</t>
  </si>
  <si>
    <t>jmd import</t>
  </si>
  <si>
    <t>Felipe</t>
  </si>
  <si>
    <t>11975126999</t>
  </si>
  <si>
    <t>GELADO</t>
  </si>
  <si>
    <t>20/01/2025 00:00</t>
  </si>
  <si>
    <t>ECOLIMP DISTRIBUIDORA ATACADISTA DE PRODUTOS DE HIGIENE - EIRELI</t>
  </si>
  <si>
    <t>ecolimp distribuidora atacadista de produtos de higiene - eireli</t>
  </si>
  <si>
    <t>Ecolimp Distribuidora</t>
  </si>
  <si>
    <t>11956368569</t>
  </si>
  <si>
    <t>adrianarosa@ecolimpatacadista.com.br</t>
  </si>
  <si>
    <t>Ecolimp Distribuidora;null, Adriana</t>
  </si>
  <si>
    <t xml:space="preserve">pediu para retornar no futuro </t>
  </si>
  <si>
    <t>16/01/2025 17:00</t>
  </si>
  <si>
    <t>22/01/2025</t>
  </si>
  <si>
    <t>22/01/2025 10:00</t>
  </si>
  <si>
    <t>DISTRIBUIDORA CHAMPION LIMITADA</t>
  </si>
  <si>
    <t>distribuidora champion limitada</t>
  </si>
  <si>
    <t>Distribuidora Champion</t>
  </si>
  <si>
    <t>1155237947</t>
  </si>
  <si>
    <t>andre@distribuidorachampion.com.br</t>
  </si>
  <si>
    <t>Distribuidora Champion;null</t>
  </si>
  <si>
    <t xml:space="preserve">sem resposta do cliente </t>
  </si>
  <si>
    <t>21/01/2025 10:37</t>
  </si>
  <si>
    <t>24/01/2025 15:00</t>
  </si>
  <si>
    <t xml:space="preserve">royal toys </t>
  </si>
  <si>
    <t xml:space="preserve">Royal Toys </t>
  </si>
  <si>
    <t>44999065000</t>
  </si>
  <si>
    <t>ney@royaltoys.com.br</t>
  </si>
  <si>
    <t xml:space="preserve">fechou com Mercus </t>
  </si>
  <si>
    <t>17/01/2025</t>
  </si>
  <si>
    <t xml:space="preserve">atacado junior </t>
  </si>
  <si>
    <t xml:space="preserve">Atacado Junior </t>
  </si>
  <si>
    <t>65984636358</t>
  </si>
  <si>
    <t>atacadojunior@uol.com.br</t>
  </si>
  <si>
    <t xml:space="preserve">valor alto para investimento </t>
  </si>
  <si>
    <t>27/01/2025</t>
  </si>
  <si>
    <t>23/01/2025</t>
  </si>
  <si>
    <t xml:space="preserve">multiflon </t>
  </si>
  <si>
    <t xml:space="preserve">Multiflon </t>
  </si>
  <si>
    <t>54981117994</t>
  </si>
  <si>
    <t>cesar@multiflon.com.br</t>
  </si>
  <si>
    <t>metalmix tanque</t>
  </si>
  <si>
    <t>Metalmix tanque</t>
  </si>
  <si>
    <t>16997631389</t>
  </si>
  <si>
    <t>metalmix.ibate@hotmail.com</t>
  </si>
  <si>
    <t xml:space="preserve">Cliente fora do segmento </t>
  </si>
  <si>
    <t>c.a teles arma. (cloud)</t>
  </si>
  <si>
    <t>C.a Teles Armarinhos E Papelaria Ltda</t>
  </si>
  <si>
    <t>11999279928</t>
  </si>
  <si>
    <t>atacado junior - cloud</t>
  </si>
  <si>
    <t>bolplast</t>
  </si>
  <si>
    <t>giovanna sesso</t>
  </si>
  <si>
    <t>(11) 3777-2416</t>
  </si>
  <si>
    <t>giovanna@bolplast.com.br</t>
  </si>
  <si>
    <t>Solicita demo</t>
  </si>
  <si>
    <t>28/01/2025 00:00</t>
  </si>
  <si>
    <t>tramadaré distribuidora</t>
  </si>
  <si>
    <t>Stanley Neves</t>
  </si>
  <si>
    <t>(16) 99788-8387</t>
  </si>
  <si>
    <t>Inbound</t>
  </si>
  <si>
    <t>Vigi Ltda</t>
  </si>
  <si>
    <t>livelli</t>
  </si>
  <si>
    <t>Vinicius Oliveira</t>
  </si>
  <si>
    <t>(19) 98275-0709</t>
  </si>
  <si>
    <t>societario@gmcontabil.com.br</t>
  </si>
  <si>
    <t>CAMPINAS</t>
  </si>
  <si>
    <t>Contato</t>
  </si>
  <si>
    <t>malvi distribuidora</t>
  </si>
  <si>
    <t xml:space="preserve">Isaias </t>
  </si>
  <si>
    <t>(15) 99747-1187</t>
  </si>
  <si>
    <t>pz presentes loja</t>
  </si>
  <si>
    <t>pz presentes</t>
  </si>
  <si>
    <t>(31) 99735-8058</t>
  </si>
  <si>
    <t>administrativo@tempori.com.br</t>
  </si>
  <si>
    <t>Belo Horizonte</t>
  </si>
  <si>
    <t xml:space="preserve">Todos os dados preenchidos:
name: Eliedson Alves 
phone: 81988636626 
email: eliedsonrepresentante@gmail.com 
referrer: https://www.guaranisistemas.com.br/ </t>
  </si>
  <si>
    <t>edinelson revenda</t>
  </si>
  <si>
    <t>Eliedson Alves</t>
  </si>
  <si>
    <t>81988636626</t>
  </si>
  <si>
    <t>eliedsonrepresentante@gmail.com</t>
  </si>
  <si>
    <t>Recife</t>
  </si>
  <si>
    <t>alumínio higsberg</t>
  </si>
  <si>
    <t>Alumínio Higsberg</t>
  </si>
  <si>
    <t>1935513873</t>
  </si>
  <si>
    <t>adm@aluminiohigsberg.com.br</t>
  </si>
  <si>
    <t xml:space="preserve">cliente não respondeu mais aos contatos </t>
  </si>
  <si>
    <t>REGIS PECLAT BASTOS</t>
  </si>
  <si>
    <t>vr_distribuidora - regis</t>
  </si>
  <si>
    <t>REGIS</t>
  </si>
  <si>
    <t>13997252966</t>
  </si>
  <si>
    <t>VR_DISTRIBUIDORA@YAHOO.COM.BR</t>
  </si>
  <si>
    <t>REGIS;REGIS, Roni</t>
  </si>
  <si>
    <t>JACUPIRANGA</t>
  </si>
  <si>
    <t>Importado a partir de lista;TAG1SEM</t>
  </si>
  <si>
    <t>Sem perfil (redflag)</t>
  </si>
  <si>
    <t>29/01/2025 11:58</t>
  </si>
  <si>
    <t>30/01/2025 15:30</t>
  </si>
  <si>
    <t xml:space="preserve">viva vidros - cloud </t>
  </si>
  <si>
    <t xml:space="preserve">Viva Vidros </t>
  </si>
  <si>
    <t xml:space="preserve">Cliente com situação de pendencias financeiras </t>
  </si>
  <si>
    <t>stamaco</t>
  </si>
  <si>
    <t>Stamaco</t>
  </si>
  <si>
    <t>11967327458</t>
  </si>
  <si>
    <t>felipe@stamaco.com.br</t>
  </si>
  <si>
    <t xml:space="preserve">Aguardará Retaguarda Web </t>
  </si>
  <si>
    <t>31/01/2025</t>
  </si>
  <si>
    <t>elmo atacado</t>
  </si>
  <si>
    <t>Fabio</t>
  </si>
  <si>
    <t>47988469270</t>
  </si>
  <si>
    <t>Fabio@atacadoelmo.com.br</t>
  </si>
  <si>
    <t>terra boa</t>
  </si>
  <si>
    <t>Alexandre</t>
  </si>
  <si>
    <t>75999540838</t>
  </si>
  <si>
    <t>terraboaespeciarias@hotmail.com</t>
  </si>
  <si>
    <t>newell brands</t>
  </si>
  <si>
    <t>Helvecio</t>
  </si>
  <si>
    <t>55479993859</t>
  </si>
  <si>
    <t>Helvecio.Deitos@newellco.com</t>
  </si>
  <si>
    <t>16/01/2025</t>
  </si>
  <si>
    <t>paramount</t>
  </si>
  <si>
    <t>Marcelha</t>
  </si>
  <si>
    <t>marcelha@paramountplasticos.com.br</t>
  </si>
  <si>
    <t>07/01/2025</t>
  </si>
  <si>
    <t>giftutil</t>
  </si>
  <si>
    <t>eduardapaivapaula@hotmail.com</t>
  </si>
  <si>
    <t xml:space="preserve">maxximo utilidades </t>
  </si>
  <si>
    <t xml:space="preserve">Maxximo Utilidades </t>
  </si>
  <si>
    <t>11999804489</t>
  </si>
  <si>
    <t>flavio@maxximo.com.br</t>
  </si>
  <si>
    <t xml:space="preserve">cliente não responde as mensagens, continuarei a prospectar em paralelo </t>
  </si>
  <si>
    <t>05/02/2025</t>
  </si>
  <si>
    <t>plastutti - erp</t>
  </si>
  <si>
    <t>11983334304</t>
  </si>
  <si>
    <t>Thiago@plastutti.com.br</t>
  </si>
  <si>
    <t>Abup2025Fevereiro</t>
  </si>
  <si>
    <t>18/02/2025</t>
  </si>
  <si>
    <t>plastutti - cloud</t>
  </si>
  <si>
    <t xml:space="preserve">Plastutti - Clou </t>
  </si>
  <si>
    <t xml:space="preserve">atualmente tem servidor local </t>
  </si>
  <si>
    <t xml:space="preserve">cozzillar - afv </t>
  </si>
  <si>
    <t>Cozzillar</t>
  </si>
  <si>
    <t>1935479372</t>
  </si>
  <si>
    <t>gilberto@cozzillar.com.br</t>
  </si>
  <si>
    <t>10:07, 02/04/2025 Junior Lopes: Olá Gilberto, Junior da Guarani sistemas por aqui 
Espero que esteja bem 
Ficamos de organizar uma visita com vocês para apresentação da solução Guarani sistemas
10:07, 02/04/2025 Junior Lopes: Vamos avançar?
09:21, 07/04/2025 Junior Lopes: Olá Gilberto! Infelizmente não consigo seu retorno 
Entendo que deve estar bem corrido para você 
De qualquer forma fico a disposição no momento que vc puder 
Forte abraço e ótimos negócios 
Jr Guarani sistemas</t>
  </si>
  <si>
    <t xml:space="preserve">marca textil </t>
  </si>
  <si>
    <t xml:space="preserve">Marca Textil </t>
  </si>
  <si>
    <t>1168296999</t>
  </si>
  <si>
    <t>atendimento@markatextil.com.br</t>
  </si>
  <si>
    <t xml:space="preserve">não seguirá no momento </t>
  </si>
  <si>
    <t>07/02/2025</t>
  </si>
  <si>
    <t>eskinão e opa atacado</t>
  </si>
  <si>
    <t>(13) 99770-3018</t>
  </si>
  <si>
    <t>opa.eskinao.compras@gmail.com</t>
  </si>
  <si>
    <t>São Vicente</t>
  </si>
  <si>
    <t>03/02/2025 00:00</t>
  </si>
  <si>
    <t>p&amp;s distribuidora ud</t>
  </si>
  <si>
    <t>João</t>
  </si>
  <si>
    <t>(11) 94793-3497</t>
  </si>
  <si>
    <t>jvprocacino@gmail.com</t>
  </si>
  <si>
    <t>Solicita demo;Abcasa2025fevereiro</t>
  </si>
  <si>
    <t>07/02/2025 00:00</t>
  </si>
  <si>
    <t>06/02/2025 00:00</t>
  </si>
  <si>
    <t>nixhouse afv</t>
  </si>
  <si>
    <t>Nassib Saleh</t>
  </si>
  <si>
    <t>11951945790</t>
  </si>
  <si>
    <t>nassib.saleh58@gmail.com</t>
  </si>
  <si>
    <t xml:space="preserve">oikos </t>
  </si>
  <si>
    <t xml:space="preserve">Oikos </t>
  </si>
  <si>
    <t>21968201725</t>
  </si>
  <si>
    <t>michele.pepalia@grupoecoa.com.br</t>
  </si>
  <si>
    <t>Abcasa2025fevereiro;90%</t>
  </si>
  <si>
    <t xml:space="preserve">cliente não responde sobre a continuidade </t>
  </si>
  <si>
    <t>24/02/2025</t>
  </si>
  <si>
    <t>12/02/2025</t>
  </si>
  <si>
    <t xml:space="preserve">Todos os dados preenchidos:
name: Ana Beatriz Costa dos Santos  
phone: 12997420947 
email: administrativo@camposdiaromas.com </t>
  </si>
  <si>
    <t>Stefanie Forsterling</t>
  </si>
  <si>
    <t>campos di aromas</t>
  </si>
  <si>
    <t xml:space="preserve">Ana Beatriz Costa dos Santos </t>
  </si>
  <si>
    <t>(12) 3662-5043</t>
  </si>
  <si>
    <t>administrativo@camposdiaromas.com</t>
  </si>
  <si>
    <t>CAMPOS DO JORDAO</t>
  </si>
  <si>
    <t>Lojas muitos pequenas</t>
  </si>
  <si>
    <t>11/02/2025 15:30</t>
  </si>
  <si>
    <t>13/02/2025 11:00</t>
  </si>
  <si>
    <t>adriana</t>
  </si>
  <si>
    <t>Adriana</t>
  </si>
  <si>
    <t>(41) 99861-1071</t>
  </si>
  <si>
    <t>contato@euromats.com.br</t>
  </si>
  <si>
    <t>msgabupfevereiro2025;REP+</t>
  </si>
  <si>
    <t>12/02/2025 08:00</t>
  </si>
  <si>
    <t>13/02/2025 15:00</t>
  </si>
  <si>
    <t xml:space="preserve"> ad &amp; ad comercio de importacao </t>
  </si>
  <si>
    <t xml:space="preserve"> Ad &amp; Ad Comercio de Importacao </t>
  </si>
  <si>
    <t>14996930353</t>
  </si>
  <si>
    <t>daniel@adimportacao.com.br</t>
  </si>
  <si>
    <t>Abcasa2025fevereiro</t>
  </si>
  <si>
    <t>14/02/2025</t>
  </si>
  <si>
    <t>chamma festas</t>
  </si>
  <si>
    <t>Chamma Festas (PDV)</t>
  </si>
  <si>
    <t>(61) 9145-0480</t>
  </si>
  <si>
    <t>chammasuprimentos@hotmail.com</t>
  </si>
  <si>
    <t>BRASILIA</t>
  </si>
  <si>
    <t>DF</t>
  </si>
  <si>
    <t>14:59, 14/02/2025 Robson Chamma Festa: Obrigado júnior
14:59, 17/02/2025 Robson Chamma Festa: Oi Junior, ficou bem fora do nosso orçamento. No momento não vamos levar adiante. Fico grato pela sua atenção.</t>
  </si>
  <si>
    <t>11/02/2025</t>
  </si>
  <si>
    <t xml:space="preserve"> p10 importadora -erp</t>
  </si>
  <si>
    <t xml:space="preserve"> P10 Importadora </t>
  </si>
  <si>
    <t>(49) 8817-6299</t>
  </si>
  <si>
    <t>prioridade10e20financeiro@hotmail.com</t>
  </si>
  <si>
    <t>CUNHA PORA</t>
  </si>
  <si>
    <t>Bom dia
Junior, achei o sistema completo, não foge do que outras empresas proporcionam no mercado… no entanto, achei o valor de implantação muito elevado, da próximo de 80 mil reais pra fazer a implantação de um sistema</t>
  </si>
  <si>
    <t>17/02/2025</t>
  </si>
  <si>
    <t>p10 importadora - b2b</t>
  </si>
  <si>
    <t>P10 IMPORTADORA</t>
  </si>
  <si>
    <t>plasberg</t>
  </si>
  <si>
    <t>PLASBERG INDUSTRIA E COMERCIO</t>
  </si>
  <si>
    <t>(75) 2102-2102 / (75) 2101-2101</t>
  </si>
  <si>
    <t>cadastro@asseplan.cnt.br</t>
  </si>
  <si>
    <t>FEIRA DE SANTANA</t>
  </si>
  <si>
    <t xml:space="preserve">Breno não responde as mensagens ! estou fechando oportunidade mas continuo em busca da oportunidade </t>
  </si>
  <si>
    <t>13/02/2025</t>
  </si>
  <si>
    <t>adere</t>
  </si>
  <si>
    <t>Renor Preto</t>
  </si>
  <si>
    <t>(19) 99188-1436</t>
  </si>
  <si>
    <t>renor.preto@adere.com</t>
  </si>
  <si>
    <t>Solicita demo;MORNO</t>
  </si>
  <si>
    <t>Nossa solução não atende</t>
  </si>
  <si>
    <t>14/02/2025 00:00</t>
  </si>
  <si>
    <t>jlk plasticos</t>
  </si>
  <si>
    <t>FERNANDA ALVES</t>
  </si>
  <si>
    <t>(11) 99763-3759</t>
  </si>
  <si>
    <t>fernanda@jlkplasticos.com.br</t>
  </si>
  <si>
    <t>14/03/2025</t>
  </si>
  <si>
    <t>envio de boleto e ts licença</t>
  </si>
  <si>
    <t>Nacib</t>
  </si>
  <si>
    <t>casa da fé</t>
  </si>
  <si>
    <t xml:space="preserve">Caetano </t>
  </si>
  <si>
    <t>11941743784</t>
  </si>
  <si>
    <t>aflordk@gmail.com</t>
  </si>
  <si>
    <t>solrac</t>
  </si>
  <si>
    <t>Keila</t>
  </si>
  <si>
    <t>11996600206</t>
  </si>
  <si>
    <t>02/05/2025</t>
  </si>
  <si>
    <t>day home - afv</t>
  </si>
  <si>
    <t>11981721166</t>
  </si>
  <si>
    <t>Pausado;Abcasa2025fevereiro;30%</t>
  </si>
  <si>
    <t>17/02/2025 00:00</t>
  </si>
  <si>
    <t>tuut</t>
  </si>
  <si>
    <t>Guga</t>
  </si>
  <si>
    <t>31984513164</t>
  </si>
  <si>
    <t>Pausado;Abcasa2025fevereiro</t>
  </si>
  <si>
    <t>25/02/2025</t>
  </si>
  <si>
    <t>lojas okey</t>
  </si>
  <si>
    <t>Emilio</t>
  </si>
  <si>
    <t>11947392525</t>
  </si>
  <si>
    <t>taumer</t>
  </si>
  <si>
    <t>Tiago - Diretor da Empresa</t>
  </si>
  <si>
    <t>54981340574</t>
  </si>
  <si>
    <t>jl distribuidora</t>
  </si>
  <si>
    <t xml:space="preserve">Wanessa </t>
  </si>
  <si>
    <t>38998346343</t>
  </si>
  <si>
    <t>rh@xododeminasmoc.com.br</t>
  </si>
  <si>
    <t>geloni sorvetes</t>
  </si>
  <si>
    <t>Waldemar</t>
  </si>
  <si>
    <t>(43) 99141-6611</t>
  </si>
  <si>
    <t>ti@gelonisorvetes.com.br</t>
  </si>
  <si>
    <t>Flórida</t>
  </si>
  <si>
    <t>Contato;GELADO;Abcasa2025fevereiro</t>
  </si>
  <si>
    <t>frutyba</t>
  </si>
  <si>
    <t>Elton</t>
  </si>
  <si>
    <t>73999081706</t>
  </si>
  <si>
    <t>frutyba.rh@hotmail.com</t>
  </si>
  <si>
    <t>cabo fix</t>
  </si>
  <si>
    <t xml:space="preserve">Jose e Felipe </t>
  </si>
  <si>
    <t>11997681796</t>
  </si>
  <si>
    <t>Pausado;Abup2025Fevereiro</t>
  </si>
  <si>
    <t>04/02/2025 00:00</t>
  </si>
  <si>
    <t>fizz acessórios</t>
  </si>
  <si>
    <t xml:space="preserve">Luis Felips </t>
  </si>
  <si>
    <t>11964237222</t>
  </si>
  <si>
    <t>prioridade 10 - (cloud)</t>
  </si>
  <si>
    <t>Prioridade 10</t>
  </si>
  <si>
    <t>49991999161</t>
  </si>
  <si>
    <t>Falei com a Suzana sobre a sequencia do projeto. Ela esta de férias e retorna na semana do dia 12/01e vamos retomar. 
Ligar para Susana no dia 14/01.
23/01 Fiz FUP com a Susana que estava de férias e retornou hoje. Combinamos de eu Enviar para ela o form para ela preencher e após fazer a proposta .
17/02 Por falta de interação e interesse, estou declinando o lead.</t>
  </si>
  <si>
    <t>sunguider importador/distribuidor</t>
  </si>
  <si>
    <t>Suzana</t>
  </si>
  <si>
    <t>11914779683</t>
  </si>
  <si>
    <t>50%</t>
  </si>
  <si>
    <t>17/02 Por falta de interação e interesse, estou declinando o lead.</t>
  </si>
  <si>
    <t>25/11/2025</t>
  </si>
  <si>
    <t>21/11/2025</t>
  </si>
  <si>
    <t>50</t>
  </si>
  <si>
    <t>comercio de produtos veterinarios bernardi &amp; bernardi ltda</t>
  </si>
  <si>
    <t xml:space="preserve">Berenardi &amp; Bernardi </t>
  </si>
  <si>
    <t>(55) 3744-6412 / (55) 3744-3600</t>
  </si>
  <si>
    <t>pedidos@suifarma.com.br</t>
  </si>
  <si>
    <t>FREDERICO WESTPHALEN</t>
  </si>
  <si>
    <t xml:space="preserve">cliente esfriou após envio da proposta </t>
  </si>
  <si>
    <t>21/02/2025</t>
  </si>
  <si>
    <t xml:space="preserve">acomix soluções para o lar </t>
  </si>
  <si>
    <t xml:space="preserve">Açomix </t>
  </si>
  <si>
    <t>(18) 3638-8000</t>
  </si>
  <si>
    <t>paulo@acomix.net</t>
  </si>
  <si>
    <t>COROADOS</t>
  </si>
  <si>
    <t>20/02/2025</t>
  </si>
  <si>
    <t>elgin sa</t>
  </si>
  <si>
    <t>Elgin S/A</t>
  </si>
  <si>
    <t>(11) 3411-2010</t>
  </si>
  <si>
    <t>rogerio.machado@elgin.com.br</t>
  </si>
  <si>
    <t>MOGI DAS CRUZES</t>
  </si>
  <si>
    <t xml:space="preserve">cliente não responde as mensagens continuarei a prospectar em paralelo </t>
  </si>
  <si>
    <t>elmo atacado (mde + mdfe)</t>
  </si>
  <si>
    <t xml:space="preserve">Fabio </t>
  </si>
  <si>
    <t xml:space="preserve">123 util </t>
  </si>
  <si>
    <t>31987570994</t>
  </si>
  <si>
    <t>123util@maxximusimportadora.com.br</t>
  </si>
  <si>
    <t xml:space="preserve">cliente não responde as mensagens , continuarei a prospectar em paralelo </t>
  </si>
  <si>
    <t>couselo - erp - afv</t>
  </si>
  <si>
    <t>Ilan Couselo</t>
  </si>
  <si>
    <t>11991554630</t>
  </si>
  <si>
    <t>ilan@couselo.com.br</t>
  </si>
  <si>
    <t>20/02/2025 00:00</t>
  </si>
  <si>
    <t>21/02/2025 00:00</t>
  </si>
  <si>
    <t>24/02/2025 00:00</t>
  </si>
  <si>
    <t>erca aluminio - mdfe</t>
  </si>
  <si>
    <t xml:space="preserve">Erca Aluminio </t>
  </si>
  <si>
    <t>19997023116</t>
  </si>
  <si>
    <t>rafael@ercaaluminio.com.br</t>
  </si>
  <si>
    <t>26/02/2025</t>
  </si>
  <si>
    <t>claudi b2b</t>
  </si>
  <si>
    <t>Claudio</t>
  </si>
  <si>
    <t>14997530243</t>
  </si>
  <si>
    <t xml:space="preserve">Representante </t>
  </si>
  <si>
    <t>açomix soluções - cloud)</t>
  </si>
  <si>
    <t xml:space="preserve">açomix soluções para o lar </t>
  </si>
  <si>
    <t>17996266839</t>
  </si>
  <si>
    <t>fernando@acomix.net</t>
  </si>
  <si>
    <t>plasberg - cloud</t>
  </si>
  <si>
    <t xml:space="preserve">Plasberg </t>
  </si>
  <si>
    <t>75981412000</t>
  </si>
  <si>
    <t>breno@plasberg.com.br</t>
  </si>
  <si>
    <t>pupi import - erp - afv - wms</t>
  </si>
  <si>
    <t>Rafael</t>
  </si>
  <si>
    <t>(48) 3380-3374</t>
  </si>
  <si>
    <t>pupiimports@gmail.com</t>
  </si>
  <si>
    <t>TIJUCAS</t>
  </si>
  <si>
    <t>04/03/2025 00:00</t>
  </si>
  <si>
    <t>pupi imports - cloud</t>
  </si>
  <si>
    <t>pupi imports - b2b</t>
  </si>
  <si>
    <t xml:space="preserve">Rafael </t>
  </si>
  <si>
    <t>5196199231</t>
  </si>
  <si>
    <t>10/03/2025 00:00</t>
  </si>
  <si>
    <t>xeryus afv</t>
  </si>
  <si>
    <t>Xeryus</t>
  </si>
  <si>
    <t>11997802621</t>
  </si>
  <si>
    <t>jesica@xeryus.com.br</t>
  </si>
  <si>
    <t>MORNO</t>
  </si>
  <si>
    <t>10/03/2025 15:00</t>
  </si>
  <si>
    <t>07/03/2025 00:00</t>
  </si>
  <si>
    <t>11/03/2025 00:00</t>
  </si>
  <si>
    <t>ponto 10</t>
  </si>
  <si>
    <t>Ponto 10</t>
  </si>
  <si>
    <t>7199841895</t>
  </si>
  <si>
    <t>gabriel@grupoponto10.com.br</t>
  </si>
  <si>
    <t>Parceiros</t>
  </si>
  <si>
    <t>13/03/2025</t>
  </si>
  <si>
    <t>atacado irmão vaquero</t>
  </si>
  <si>
    <t>Rodrigo</t>
  </si>
  <si>
    <t>(17) 99734-7687</t>
  </si>
  <si>
    <t>rodrigovaquerosilva@gmail.com</t>
  </si>
  <si>
    <t>Jales</t>
  </si>
  <si>
    <t>17/03/2025 00:00</t>
  </si>
  <si>
    <t>araujo vertice</t>
  </si>
  <si>
    <t>Anne</t>
  </si>
  <si>
    <t>31995069963</t>
  </si>
  <si>
    <t>gbl import - erp</t>
  </si>
  <si>
    <t>GBL Import</t>
  </si>
  <si>
    <t>21996127685</t>
  </si>
  <si>
    <t>gilberto@gblimport.com.br</t>
  </si>
  <si>
    <t>19/03/2025</t>
  </si>
  <si>
    <t>18/03/2025</t>
  </si>
  <si>
    <t>gbl import - cloud</t>
  </si>
  <si>
    <t>GBL Import - Cloud</t>
  </si>
  <si>
    <t>geraldolima@gblimport.com.br</t>
  </si>
  <si>
    <t>erca alumínio (horas)</t>
  </si>
  <si>
    <t xml:space="preserve">Erca alumínio </t>
  </si>
  <si>
    <t>20/03/2025</t>
  </si>
  <si>
    <t>tecelagem castilho - erp + afv</t>
  </si>
  <si>
    <t>Dayane</t>
  </si>
  <si>
    <t>(62) 99360-9476</t>
  </si>
  <si>
    <t>dayane.tecelagemcastilho@gmail.com</t>
  </si>
  <si>
    <t>Goiânia</t>
  </si>
  <si>
    <t>28/03/2025</t>
  </si>
  <si>
    <t>27/03/2025</t>
  </si>
  <si>
    <t>erca alumínio - wms</t>
  </si>
  <si>
    <t xml:space="preserve">Erca Alumínio </t>
  </si>
  <si>
    <t>26/03/2025</t>
  </si>
  <si>
    <t xml:space="preserve">sk importacao - erp </t>
  </si>
  <si>
    <t>Sk Importacao e Exportacao</t>
  </si>
  <si>
    <t>(11) 2171-0800</t>
  </si>
  <si>
    <t>legal@vrscontabil.com.br</t>
  </si>
  <si>
    <t>14:31, 06/05/2025 Jamal: Tudo bem
14:34, 06/05/2025 Junior Lopes: por aqui td bem Jamal
14:35, 06/05/2025 Junior Lopes: sobre o Software Guarani, vamos dar sequencia ?
15:02, 06/05/2025 Jamal: Meu amigo pra ser sincero estou em mudanças e esta muita correria por aqui
15:02, 06/05/2025 Jamal: Mas depois vou estudar melhor sobre</t>
  </si>
  <si>
    <t>tritec</t>
  </si>
  <si>
    <t>47991900625</t>
  </si>
  <si>
    <t>gisele.ehlert@tritec.ind.com</t>
  </si>
  <si>
    <t>4x sem juros (0/30/60/90)</t>
  </si>
  <si>
    <t>24/04/2025</t>
  </si>
  <si>
    <t>styroform isopor</t>
  </si>
  <si>
    <t>Marcos</t>
  </si>
  <si>
    <t>(11) 99755-7094</t>
  </si>
  <si>
    <t>contato@styroform.com.br</t>
  </si>
  <si>
    <t>02/04/2025 00:00</t>
  </si>
  <si>
    <t>giro center</t>
  </si>
  <si>
    <t>12991051939</t>
  </si>
  <si>
    <t>28/03/2025 00:00</t>
  </si>
  <si>
    <t>tecelagem castitho - cloud</t>
  </si>
  <si>
    <t>Tecelagem Castitho - Cloud</t>
  </si>
  <si>
    <t>62993609476</t>
  </si>
  <si>
    <t>sk importacao - cloud</t>
  </si>
  <si>
    <t>SK Importação - Cloud</t>
  </si>
  <si>
    <t xml:space="preserve">comércio  bernardi e bernardi - erp </t>
  </si>
  <si>
    <t>Comércio de prod. vet. bernardi e bernardi</t>
  </si>
  <si>
    <t>(55) 3744-6412</t>
  </si>
  <si>
    <t xml:space="preserve">cliente ainda não definiu 
estou baixando oportunidade mas manterei contato via WhatsApp </t>
  </si>
  <si>
    <t>21/03/2025</t>
  </si>
  <si>
    <t>comércio bernardi e bernardi - cloud</t>
  </si>
  <si>
    <t>Comércio Bernardi e Bernardi - Cloud</t>
  </si>
  <si>
    <t>43991395000</t>
  </si>
  <si>
    <t xml:space="preserve">cadastro em duplicidade </t>
  </si>
  <si>
    <t xml:space="preserve">culturama - horas </t>
  </si>
  <si>
    <t xml:space="preserve">culturama - Horas </t>
  </si>
  <si>
    <t>5537446412</t>
  </si>
  <si>
    <t>gb . importadora - xml</t>
  </si>
  <si>
    <t>GB . Importadora - XML</t>
  </si>
  <si>
    <t xml:space="preserve">ark brasil </t>
  </si>
  <si>
    <t xml:space="preserve">ARK Brasil </t>
  </si>
  <si>
    <t>21964397621</t>
  </si>
  <si>
    <t>luana.dale@arkbrasil.com.br</t>
  </si>
  <si>
    <t xml:space="preserve">estou mantendo contato para força de vendas </t>
  </si>
  <si>
    <t xml:space="preserve">casa ambiente </t>
  </si>
  <si>
    <t xml:space="preserve">Casa Ambiente </t>
  </si>
  <si>
    <t>11983264135</t>
  </si>
  <si>
    <t>contato@casaambienteud.com.br</t>
  </si>
  <si>
    <t xml:space="preserve">sem resposta ao contato </t>
  </si>
  <si>
    <t>09/04/2025</t>
  </si>
  <si>
    <t xml:space="preserve">mdl import - erp </t>
  </si>
  <si>
    <t xml:space="preserve">MDL Import </t>
  </si>
  <si>
    <t>11910695515</t>
  </si>
  <si>
    <t>janaina@mdlimport.com.br</t>
  </si>
  <si>
    <t>80%</t>
  </si>
  <si>
    <t xml:space="preserve">integração com WMS inviabilizou o projeto </t>
  </si>
  <si>
    <t>04/04/2025</t>
  </si>
  <si>
    <t>15/04/2025</t>
  </si>
  <si>
    <t>pimpinella sorvetes - erp - afv - pcp - wms</t>
  </si>
  <si>
    <t>Herbert Felipe Monteiro</t>
  </si>
  <si>
    <t>16994380062</t>
  </si>
  <si>
    <t>felipe.monteiro@pimpinella.com.br</t>
  </si>
  <si>
    <t>30/04/2025</t>
  </si>
  <si>
    <t>02/06/2025</t>
  </si>
  <si>
    <t>16/04/2025</t>
  </si>
  <si>
    <t xml:space="preserve">xiexie com. de brinquedos - erp </t>
  </si>
  <si>
    <t>Mais Barato Brinquedos</t>
  </si>
  <si>
    <t>(11) 2492-2763</t>
  </si>
  <si>
    <t>fbastosauditores@terra.com.br</t>
  </si>
  <si>
    <t>GUARULHOS</t>
  </si>
  <si>
    <t xml:space="preserve">Após envio da proposta comercial, não obtive mais retorno do Kaique, estou declinando a oportunidade mas continuarei tentando contato </t>
  </si>
  <si>
    <t>10/04/2025</t>
  </si>
  <si>
    <t>bruver crc ltda</t>
  </si>
  <si>
    <t xml:space="preserve">Adavilson </t>
  </si>
  <si>
    <t>4834332503</t>
  </si>
  <si>
    <t>adavilson@bruver.com.br</t>
  </si>
  <si>
    <t>07/04/2025 00:00</t>
  </si>
  <si>
    <t>04/04/2025 00:00</t>
  </si>
  <si>
    <t xml:space="preserve">almapy - contábil </t>
  </si>
  <si>
    <t>ALMAPY</t>
  </si>
  <si>
    <t>11940062281</t>
  </si>
  <si>
    <t>projetos@almapy.com.br</t>
  </si>
  <si>
    <t xml:space="preserve">Não vai dar sequencia no momento </t>
  </si>
  <si>
    <t>11/04/2025</t>
  </si>
  <si>
    <t>renovação porcelanas</t>
  </si>
  <si>
    <t xml:space="preserve">Renovação Porcelanas </t>
  </si>
  <si>
    <t>11965745182</t>
  </si>
  <si>
    <t>camila@rnporcelanas.com.br</t>
  </si>
  <si>
    <t>90%;30%;Fabio Indica</t>
  </si>
  <si>
    <t xml:space="preserve">renovação porcelanas - afv </t>
  </si>
  <si>
    <t xml:space="preserve">Renovação Porcelanas - AFV </t>
  </si>
  <si>
    <t>Camila ! Sobre o projeto, acredita que vamos dar sequência?
,
Camila ? Boa tarde ! Espero que esteja bem .
Acredita que vamos seguir !
Oi boa tarde
Olá Camila ! Bom dia 
Sobre o software? Tem interesse em dar continuidade?
Oi Camila, acredito que não tenham interesse nesse momento e tudo bem ! fico a disposição caso queira voltar sobre o projeto em breve
Junior bom dia
estou te devendo um retorno
esse valor de investimento no momento não faz sentido pra nós
voces querem fazer uma contra proposta ? posso verificar com minha diretoria</t>
  </si>
  <si>
    <t>14/04/2025</t>
  </si>
  <si>
    <t xml:space="preserve">unik </t>
  </si>
  <si>
    <t xml:space="preserve">Unik </t>
  </si>
  <si>
    <t>11997371774</t>
  </si>
  <si>
    <t>leonardo@unik.com.br</t>
  </si>
  <si>
    <t>18/04/2025</t>
  </si>
  <si>
    <t>xiexie comercio de brinquedos - b2b</t>
  </si>
  <si>
    <t>XieXie Com. de brinquedos - B2B</t>
  </si>
  <si>
    <t>xiexie com. de brinquedos - bi</t>
  </si>
  <si>
    <t>XieXie Com. de brinquedos - BI</t>
  </si>
  <si>
    <t>11949590732</t>
  </si>
  <si>
    <t>y 888 importacao - erp</t>
  </si>
  <si>
    <t xml:space="preserve">Y-888 - ERP </t>
  </si>
  <si>
    <t>(21) 2784-2650</t>
  </si>
  <si>
    <t>DUQUE DE CAXIAS</t>
  </si>
  <si>
    <t xml:space="preserve">estou fechando oportunidade porem manterei contato com Victor </t>
  </si>
  <si>
    <t xml:space="preserve">y 888 importação - cloud </t>
  </si>
  <si>
    <t xml:space="preserve">Y 888 importação - AFV </t>
  </si>
  <si>
    <t xml:space="preserve">estou descartando oportunidade porem vou manter contato com Victor </t>
  </si>
  <si>
    <t>mdl import - cloud</t>
  </si>
  <si>
    <t>MDL Import - Cloud</t>
  </si>
  <si>
    <t>janaina@mdlimpoort.com.br</t>
  </si>
  <si>
    <t xml:space="preserve">integração com WMS inviabilizou projeto </t>
  </si>
  <si>
    <t>cassio importadora - erp</t>
  </si>
  <si>
    <t>Cassio</t>
  </si>
  <si>
    <t>(22) 99967-1888</t>
  </si>
  <si>
    <t>ngcassio@gmail.com</t>
  </si>
  <si>
    <t>Nova Friburgo</t>
  </si>
  <si>
    <t>empresa ainda esta no zero ! cliente mentaliza algo fora da realidade !</t>
  </si>
  <si>
    <t>flor de seda</t>
  </si>
  <si>
    <t>Vagner</t>
  </si>
  <si>
    <t>(16) 99126-8825</t>
  </si>
  <si>
    <t>flordesedaimportadora@outlook.com</t>
  </si>
  <si>
    <t>29/04/2025 00:00</t>
  </si>
  <si>
    <t>28/04/2025 00:00</t>
  </si>
  <si>
    <t>pop disc</t>
  </si>
  <si>
    <t>Gabrielle</t>
  </si>
  <si>
    <t>(11) 93449-7333</t>
  </si>
  <si>
    <t>gabi.bertoni@outlook.com</t>
  </si>
  <si>
    <t>cassio importadora - b2b</t>
  </si>
  <si>
    <t>Importadora Cassio - Cloud</t>
  </si>
  <si>
    <t>22999671888</t>
  </si>
  <si>
    <t xml:space="preserve">renovação porcelanas - cloud </t>
  </si>
  <si>
    <t xml:space="preserve">Renovação porcelanas - Cloud </t>
  </si>
  <si>
    <t>creative - erp</t>
  </si>
  <si>
    <t>Jose Roberto</t>
  </si>
  <si>
    <t>diretoria@grupobeline.com.br</t>
  </si>
  <si>
    <t>24/04/2025 00:00</t>
  </si>
  <si>
    <t>cassio importadora - cloud</t>
  </si>
  <si>
    <t>Cassio importadora - Cloud</t>
  </si>
  <si>
    <t>l&amp;t importadora</t>
  </si>
  <si>
    <t>1127696004</t>
  </si>
  <si>
    <t>financeiro@ltimportadora.com.br</t>
  </si>
  <si>
    <t>15/04/2025 00:00</t>
  </si>
  <si>
    <t>sakes</t>
  </si>
  <si>
    <t>1133133243</t>
  </si>
  <si>
    <t>MARCIA@SAKES.COM.BR</t>
  </si>
  <si>
    <t>sal trading</t>
  </si>
  <si>
    <t xml:space="preserve">Nathan </t>
  </si>
  <si>
    <t>15998182143</t>
  </si>
  <si>
    <t>02/05/2025 00:00</t>
  </si>
  <si>
    <t>mundial log - erp</t>
  </si>
  <si>
    <t>Mundial Log</t>
  </si>
  <si>
    <t>11947482090</t>
  </si>
  <si>
    <t>rafael@mundiallog.com.br</t>
  </si>
  <si>
    <t>08/05/2025</t>
  </si>
  <si>
    <t>mundial log - cloud</t>
  </si>
  <si>
    <t>Mundial Log - Cloud</t>
  </si>
  <si>
    <t>mmo &amp; mnipharma</t>
  </si>
  <si>
    <t>Anderson</t>
  </si>
  <si>
    <t>(16) 99707-0733</t>
  </si>
  <si>
    <t xml:space="preserve">amandfast (fest bubble) rms </t>
  </si>
  <si>
    <t>Fest Buuble</t>
  </si>
  <si>
    <t>(11) 9342-9915</t>
  </si>
  <si>
    <t>amandfast@gmail.com</t>
  </si>
  <si>
    <t xml:space="preserve">Aguardar Rep Mais </t>
  </si>
  <si>
    <t>15/05/2025</t>
  </si>
  <si>
    <t>arrtef brasil (prendebem)- rms</t>
  </si>
  <si>
    <t>Arrtef Brasil - RMS</t>
  </si>
  <si>
    <t>CURITIBA</t>
  </si>
  <si>
    <t>PR</t>
  </si>
  <si>
    <t>fa fa import - erp</t>
  </si>
  <si>
    <t xml:space="preserve">Fa fa Import </t>
  </si>
  <si>
    <t>21989290057</t>
  </si>
  <si>
    <t>lucianadsmoura@gmail.com</t>
  </si>
  <si>
    <t>90%</t>
  </si>
  <si>
    <t>07/05/2025</t>
  </si>
  <si>
    <t>fa fa import - cloud</t>
  </si>
  <si>
    <t>Fa Fa Import - Cloud</t>
  </si>
  <si>
    <t>21989290058</t>
  </si>
  <si>
    <t xml:space="preserve">amazonia aromas </t>
  </si>
  <si>
    <t xml:space="preserve">Amazonia aromas </t>
  </si>
  <si>
    <t>11991266405</t>
  </si>
  <si>
    <t>atendimento@amazoniaaromas.com.br</t>
  </si>
  <si>
    <t>15:18, 3/6/2025 André Oliveira (Amazonia Aromas): Quanto?
15:21, 3/6/2025 Junior Lopes: acredito que uns 90 dias ! estamos em homologação em um cliente da nossa base
15:31, 3/6/2025 André Oliveira (Amazonia Aromas): Mobile Android e ios normal
15:34, 3/6/2025 Junior Lopes: Mobile Android Off-line 
iOS e Windows on-line
15:37, 3/6/2025 André Oliveira (Amazonia Aromas): Hum ios ferra um pouco</t>
  </si>
  <si>
    <t>29/05/2025</t>
  </si>
  <si>
    <t>azpr - erp</t>
  </si>
  <si>
    <t>AZPR</t>
  </si>
  <si>
    <t>(41) 3376-2439</t>
  </si>
  <si>
    <t>30%</t>
  </si>
  <si>
    <t xml:space="preserve">voltar contato quando RepMais </t>
  </si>
  <si>
    <t>27/05/2025</t>
  </si>
  <si>
    <t>26/05/2025</t>
  </si>
  <si>
    <t>azpr - cloud</t>
  </si>
  <si>
    <t>Procurar quando RepMais</t>
  </si>
  <si>
    <t>erca alumínio</t>
  </si>
  <si>
    <t>Erca alumínio</t>
  </si>
  <si>
    <t>22/05/2025</t>
  </si>
  <si>
    <t>xiexie mais barato - erp</t>
  </si>
  <si>
    <t>XieXie Mais barato</t>
  </si>
  <si>
    <t xml:space="preserve">PROPOSTA RENOVCADA POREM CLIENTE NÃO DEU SEQUENCIA </t>
  </si>
  <si>
    <t>23/05/2025</t>
  </si>
  <si>
    <t>xiexie comercio de brinquedos ltda</t>
  </si>
  <si>
    <t>XieXie Mais Barato - BI B2B</t>
  </si>
  <si>
    <t xml:space="preserve">PROPOSTA RENOVADA POREM CÇIENTE NÃO DEU SEQUENCIA </t>
  </si>
  <si>
    <t>gala - b2b</t>
  </si>
  <si>
    <t>Gala - B2B</t>
  </si>
  <si>
    <t>67981004151</t>
  </si>
  <si>
    <t>diego@grupogala.com.br</t>
  </si>
  <si>
    <t>flora nectar - afv</t>
  </si>
  <si>
    <t>Flora Nectar - AFV</t>
  </si>
  <si>
    <t>19971332893</t>
  </si>
  <si>
    <t>marina.dopekevicuz@v4company.com</t>
  </si>
  <si>
    <t xml:space="preserve">Rayssa esta mantendo contato  </t>
  </si>
  <si>
    <t>30/05/2025</t>
  </si>
  <si>
    <t>xpert - erp</t>
  </si>
  <si>
    <t>Xpert - ERP</t>
  </si>
  <si>
    <t>11996219888</t>
  </si>
  <si>
    <t>manuela.xpert@gmail.com</t>
  </si>
  <si>
    <t xml:space="preserve">informou que não tem verba de investimento </t>
  </si>
  <si>
    <t>xpert - cloud</t>
  </si>
  <si>
    <t>Xpert - Cloud</t>
  </si>
  <si>
    <t xml:space="preserve">informou que não tem verba para investimento </t>
  </si>
  <si>
    <t xml:space="preserve">ponto das festas </t>
  </si>
  <si>
    <t xml:space="preserve">Ponto das festas </t>
  </si>
  <si>
    <t>43988505997</t>
  </si>
  <si>
    <t>gerencia@pontodasfestas.com.br</t>
  </si>
  <si>
    <t xml:space="preserve">varias tentativas de contato sem retorno </t>
  </si>
  <si>
    <t>oikos - cloud</t>
  </si>
  <si>
    <t>Oikos - Cloud</t>
  </si>
  <si>
    <t>11987154112</t>
  </si>
  <si>
    <t>pedro@grupoecoa.com.br</t>
  </si>
  <si>
    <t>atacadão das tripas (erp)</t>
  </si>
  <si>
    <t>Tainã</t>
  </si>
  <si>
    <t>(14) 99811-7753</t>
  </si>
  <si>
    <t>atacadaodastripasfinanceiro@hotmail.com</t>
  </si>
  <si>
    <t>Tupã</t>
  </si>
  <si>
    <t>Inbound Opens</t>
  </si>
  <si>
    <t xml:space="preserve">Descartando ! cliente não encontra tempo para seguir </t>
  </si>
  <si>
    <t>30/05/2025 11:00</t>
  </si>
  <si>
    <t>16/06/2025</t>
  </si>
  <si>
    <t>06/06/2025</t>
  </si>
  <si>
    <t>13/06/2025</t>
  </si>
  <si>
    <t>pimpinella -  guarani afv</t>
  </si>
  <si>
    <t>02/06/2025 00:00</t>
  </si>
  <si>
    <t>brinquedos alf (rms_afv)</t>
  </si>
  <si>
    <t>Brinquedos Afv (RMS_AFV)</t>
  </si>
  <si>
    <t>(51) 99840-3160</t>
  </si>
  <si>
    <t>PORTAO</t>
  </si>
  <si>
    <t>brinquedos anjo</t>
  </si>
  <si>
    <t xml:space="preserve">Anjo brinquedos (RMS - AFV) </t>
  </si>
  <si>
    <t>15997651713</t>
  </si>
  <si>
    <t>fat@brinquedosanjo.com.br</t>
  </si>
  <si>
    <t>LARANJAL PAULISTA</t>
  </si>
  <si>
    <t>meio atacado - erp</t>
  </si>
  <si>
    <t xml:space="preserve">meio atacado </t>
  </si>
  <si>
    <t>19997556622</t>
  </si>
  <si>
    <t>camila@meioatacado.com.br</t>
  </si>
  <si>
    <t>PIRACICABA</t>
  </si>
  <si>
    <t xml:space="preserve">não responde mais aos contatos </t>
  </si>
  <si>
    <t>18/06/2025</t>
  </si>
  <si>
    <t>09/06/2025</t>
  </si>
  <si>
    <t xml:space="preserve">Goal comercial </t>
  </si>
  <si>
    <t>11938010304</t>
  </si>
  <si>
    <t>juraci@goalcomercial.com.br</t>
  </si>
  <si>
    <t>SAO CAETANO DO SUL</t>
  </si>
  <si>
    <t xml:space="preserve">galpão importadora </t>
  </si>
  <si>
    <t xml:space="preserve">Galpão importadora </t>
  </si>
  <si>
    <t>81992522279</t>
  </si>
  <si>
    <t xml:space="preserve">cliente não encontra tempo para apresentação </t>
  </si>
  <si>
    <t>10/06/2025</t>
  </si>
  <si>
    <t>fina ideia</t>
  </si>
  <si>
    <t>11976806556</t>
  </si>
  <si>
    <t>vendas@finaideia.com.br</t>
  </si>
  <si>
    <t>industria elementos filtrantes</t>
  </si>
  <si>
    <t>Gustavo</t>
  </si>
  <si>
    <t>16996352359</t>
  </si>
  <si>
    <t>silk flowers</t>
  </si>
  <si>
    <t>Vander Pavão</t>
  </si>
  <si>
    <t>16997217227</t>
  </si>
  <si>
    <t>vander@silkflower.com.br</t>
  </si>
  <si>
    <t>vitoria cortinas (mdfe)</t>
  </si>
  <si>
    <t xml:space="preserve">Vitoria cortinas </t>
  </si>
  <si>
    <t>53999594657</t>
  </si>
  <si>
    <t>compras@vitoriacortinasdecoracoes.com.br</t>
  </si>
  <si>
    <t>atacadao das tripas (cloud)</t>
  </si>
  <si>
    <t>Atacadão das Tripas (cloud)</t>
  </si>
  <si>
    <t>14998117753</t>
  </si>
  <si>
    <t>TUPA</t>
  </si>
  <si>
    <t>mdl import - int.wms</t>
  </si>
  <si>
    <t>MDL Import - int.WMS</t>
  </si>
  <si>
    <t xml:space="preserve">orçamento não foi aprovado  </t>
  </si>
  <si>
    <t>bs toys (rms)</t>
  </si>
  <si>
    <t>BS Toys (RMS)</t>
  </si>
  <si>
    <t>15997551770</t>
  </si>
  <si>
    <t>atendimento@bstoys.com.br</t>
  </si>
  <si>
    <t>BOITUVA</t>
  </si>
  <si>
    <t>dielu (rms)</t>
  </si>
  <si>
    <t xml:space="preserve">Dielu </t>
  </si>
  <si>
    <t>11947837975</t>
  </si>
  <si>
    <t>ceramica salute (rms)</t>
  </si>
  <si>
    <t xml:space="preserve">ceramica salute </t>
  </si>
  <si>
    <t>19999094519</t>
  </si>
  <si>
    <t>comercial@ceramicasalute.com.br</t>
  </si>
  <si>
    <t>JABOTICABAL</t>
  </si>
  <si>
    <t>serraria chiari  - erp</t>
  </si>
  <si>
    <t xml:space="preserve">Palete Chiari </t>
  </si>
  <si>
    <t>16993303692</t>
  </si>
  <si>
    <t>SAO CARLOS</t>
  </si>
  <si>
    <t xml:space="preserve">cliente não respondeu mais aos contatos ! estou decertando e manterei contato </t>
  </si>
  <si>
    <t>11/06/2025</t>
  </si>
  <si>
    <t xml:space="preserve">serraria chiari - cloud </t>
  </si>
  <si>
    <t>Chiare Palete - Cloud</t>
  </si>
  <si>
    <t xml:space="preserve">vitoria cortinas - user afv </t>
  </si>
  <si>
    <t xml:space="preserve">vitoria cortinas - User AFV </t>
  </si>
  <si>
    <t>3599959465</t>
  </si>
  <si>
    <t>comercial@vitoriacortninasdecoracoes.com.br</t>
  </si>
  <si>
    <t>25/06/2025</t>
  </si>
  <si>
    <t xml:space="preserve">meio atacado - cloud </t>
  </si>
  <si>
    <t xml:space="preserve">Meio atacado - Cloud </t>
  </si>
  <si>
    <t>emporio villamarin ltda</t>
  </si>
  <si>
    <t xml:space="preserve">Emporio Villamarin </t>
  </si>
  <si>
    <t>11999265872</t>
  </si>
  <si>
    <t>alfonso@emporiovillamarin.com.br</t>
  </si>
  <si>
    <t xml:space="preserve">não ira dar continuidade no momento </t>
  </si>
  <si>
    <t>12/06/2025</t>
  </si>
  <si>
    <t>elmo atacado (horas exc)</t>
  </si>
  <si>
    <t>Elmo atacado (horas exc)</t>
  </si>
  <si>
    <t>47984366161</t>
  </si>
  <si>
    <t>fabio@elmoatacado.com.br</t>
  </si>
  <si>
    <t>18/07/2025</t>
  </si>
  <si>
    <t>moveis kappesberg</t>
  </si>
  <si>
    <t xml:space="preserve">Grupo K1 </t>
  </si>
  <si>
    <t>51980225006</t>
  </si>
  <si>
    <t>angela@kappersberg.com.br</t>
  </si>
  <si>
    <t>TUPANDI</t>
  </si>
  <si>
    <t xml:space="preserve">em contato com Ângela, nao esta descartado porem não seguirá nesse momento </t>
  </si>
  <si>
    <t>01/07/2025</t>
  </si>
  <si>
    <t>trilharty - erp - afv</t>
  </si>
  <si>
    <t>Julia Soares</t>
  </si>
  <si>
    <t>11983386298</t>
  </si>
  <si>
    <t>vendas@trilharty.com.br</t>
  </si>
  <si>
    <t>02/09/2025</t>
  </si>
  <si>
    <t>04/07/2025</t>
  </si>
  <si>
    <t xml:space="preserve">tiago  eletronicos - erp </t>
  </si>
  <si>
    <t xml:space="preserve">Tiago eletrodomésticos  </t>
  </si>
  <si>
    <t>(48) 9960-6091</t>
  </si>
  <si>
    <t>financeiro@saeletronicos.com.br</t>
  </si>
  <si>
    <t>ICARA</t>
  </si>
  <si>
    <t>16/07/2025</t>
  </si>
  <si>
    <t>15/07/2025</t>
  </si>
  <si>
    <t>tiago  eletronicos - cloud</t>
  </si>
  <si>
    <t xml:space="preserve">Tiago eleytonicos </t>
  </si>
  <si>
    <t xml:space="preserve">cliente decidiu manter o servidor local </t>
  </si>
  <si>
    <t>star distribuidora - expede</t>
  </si>
  <si>
    <t>Star distribuidora - Expede</t>
  </si>
  <si>
    <t>11/07/2025</t>
  </si>
  <si>
    <t>O projeto B2B já está fechado, porém a continuidade dependerá da finalização da carga de dados na implantação do ERP. Assim que essa etapa for concluída, Junior Lopes deve retomar o contato com o cliente, verificar pendências e alinhar os próximos passos com data definida.</t>
  </si>
  <si>
    <t>tiago eletrônicos - b2b</t>
  </si>
  <si>
    <t>Tiago eletrônicos - B2B</t>
  </si>
  <si>
    <t>4899606091</t>
  </si>
  <si>
    <t>mdl comércio importação (erp+afv)</t>
  </si>
  <si>
    <t>MDL Comércio importação (ERP+AFV</t>
  </si>
  <si>
    <t>(11) 91069-5515</t>
  </si>
  <si>
    <t>07/07/2025</t>
  </si>
  <si>
    <t>mdl comércio de importação (int.wms)</t>
  </si>
  <si>
    <t>MDL comércio de importação (Int.WMS)</t>
  </si>
  <si>
    <t xml:space="preserve">germer porcenalas </t>
  </si>
  <si>
    <t xml:space="preserve">Germer porcenalas </t>
  </si>
  <si>
    <t>41984816685</t>
  </si>
  <si>
    <t>ti@germerporcelanas.com.br</t>
  </si>
  <si>
    <t xml:space="preserve">em contato com Claudinei projeto está estagnado </t>
  </si>
  <si>
    <t>10/07/2025</t>
  </si>
  <si>
    <t>O próximo passo é Junior Lopes alinhar com o cliente o objetivo final da oportunidade, considerando que o cliente ainda está negociando o desenvolvimento da integração técnica que o ERP deles precisa construir. Somente após essa definição e após os ajustes técnicos com a Marília será possível retomar as conversas em janeiro de 2026 e avançar para o fechamento, previsto para 31/01/2026.</t>
  </si>
  <si>
    <t>Editora Dcl - Difusao Cultural Do Livro Ltda</t>
  </si>
  <si>
    <t>editora dcl</t>
  </si>
  <si>
    <t>(11) 3932-5222</t>
  </si>
  <si>
    <t>welington@editoradcl.com.br</t>
  </si>
  <si>
    <t>ITUPEVA</t>
  </si>
  <si>
    <t>08/07/2025</t>
  </si>
  <si>
    <t>Associacao Medianeira Fuzipar</t>
  </si>
  <si>
    <t>fuzipar (afv)</t>
  </si>
  <si>
    <t>(54) 3321-5456</t>
  </si>
  <si>
    <t>ERECHIM</t>
  </si>
  <si>
    <t>18/08/2025</t>
  </si>
  <si>
    <t xml:space="preserve">adelmo jeronimo </t>
  </si>
  <si>
    <t xml:space="preserve">Adelmo Jeronimo </t>
  </si>
  <si>
    <t>(81) 99252-2279</t>
  </si>
  <si>
    <t>adelmoo.jeronimo@gmail.com</t>
  </si>
  <si>
    <t>após vários contatos não obtivemos retorno</t>
  </si>
  <si>
    <t>30/07/2025</t>
  </si>
  <si>
    <t>fuzipar (erp)</t>
  </si>
  <si>
    <t>Fuzipar (ERP)</t>
  </si>
  <si>
    <t>5499823395</t>
  </si>
  <si>
    <t xml:space="preserve">cliente vai seguir somente com força de vendas </t>
  </si>
  <si>
    <t>22/07/2025</t>
  </si>
  <si>
    <t>fuzipar (cloud)</t>
  </si>
  <si>
    <t>Fuzipar (Cloud)</t>
  </si>
  <si>
    <t xml:space="preserve">vai seguir somente com força de vendas </t>
  </si>
  <si>
    <t>grupo ecoa (erp)</t>
  </si>
  <si>
    <t>PEDRO DE ROZENDO PACO DA SILVEIRA</t>
  </si>
  <si>
    <t xml:space="preserve">Pedro não responde mais aos contatos </t>
  </si>
  <si>
    <t>grupo ecoa (b2b)</t>
  </si>
  <si>
    <t>Grupo Ecoa</t>
  </si>
  <si>
    <t>pedro@grupoecoa.com</t>
  </si>
  <si>
    <t xml:space="preserve">Pedro não responde mais os contatos </t>
  </si>
  <si>
    <t>vitoria cortinas  (horas)</t>
  </si>
  <si>
    <t>35993445286</t>
  </si>
  <si>
    <t>17/09/2025</t>
  </si>
  <si>
    <t>Maxsoy Alimentos Ltda</t>
  </si>
  <si>
    <t>maxsoy alimentos ltda</t>
  </si>
  <si>
    <t>(19) 3809-5454</t>
  </si>
  <si>
    <t>vendas@maxsoy.com.br</t>
  </si>
  <si>
    <t>HORTOLANDIA</t>
  </si>
  <si>
    <t xml:space="preserve">cliente não quer dar sequencia no momento por conta do valor </t>
  </si>
  <si>
    <t>11/08/2025</t>
  </si>
  <si>
    <t>01/08/2025</t>
  </si>
  <si>
    <t>Brinquemix Industria E Comercio Ltda</t>
  </si>
  <si>
    <t>brinquemix - erp</t>
  </si>
  <si>
    <t>(11) 4116-5272</t>
  </si>
  <si>
    <t>fiscal@codepcontabilidade.com.br</t>
  </si>
  <si>
    <t>ITAQUAQUECETUBA</t>
  </si>
  <si>
    <t>16:26, 28/8/2025 Junior Lopes: Olá Simone, boa tarde
17:06, 28/8/2025 Simone Brinquemix : Olá Dra
17:06, 28/8/2025 Simone Brinquemix : Olá
11:03, 29/8/2025 Junior Lopes: Olá Simone ! Como não tive retorno de sua parte, vou encerrar este atendimento! 
Caso mude de ideia ou precise de algo no futuro pode me chamar por aqui 
Estimo sucesso para vocês 🤝</t>
  </si>
  <si>
    <t>04/08/2025</t>
  </si>
  <si>
    <t>05/08/2025</t>
  </si>
  <si>
    <t>tapetes oasis</t>
  </si>
  <si>
    <t>Milene Fonseca</t>
  </si>
  <si>
    <t>(11) 2431-1432</t>
  </si>
  <si>
    <t>compras@tapetesoasis.com.br</t>
  </si>
  <si>
    <t>Campinas</t>
  </si>
  <si>
    <t>11/08/2025 00:00</t>
  </si>
  <si>
    <t>sanremo</t>
  </si>
  <si>
    <t>Matheus Ambrosi</t>
  </si>
  <si>
    <t>(51) 99658-9275</t>
  </si>
  <si>
    <t>matheus.ambrosi@sanremo.com.br</t>
  </si>
  <si>
    <t>Falei hoje com o Gomes consultor Totvs da empresa Oyshi e o mesmo que agendar uma reunião técnica de alinhamento para integrar o AFV com Protheus.
19-01; Após nossa reunião na sexta-feira para alinhar sobre a integração, o Gomes ficou de providências uma agenda com o Rodrigo para fechar a negociação.
22/01 - Cobrei novamente o Evandro para ele me posicionar se conseguiu falar com o Rodrigo para avançar com o contrato e fechamento e assim dar sequencias no projeto. Ele falou que estava envolvido em tarefas adicionais e isso atrasou a conversa que vai ocorrer na próxima semana.</t>
  </si>
  <si>
    <t xml:space="preserve">industria oyshi </t>
  </si>
  <si>
    <t xml:space="preserve">Rodrigo </t>
  </si>
  <si>
    <t>4491813443</t>
  </si>
  <si>
    <t>rodrigo.fongari@oyshi.com.br</t>
  </si>
  <si>
    <t>12/08/2025 09:00</t>
  </si>
  <si>
    <t>90</t>
  </si>
  <si>
    <t>R$ 16.000</t>
  </si>
  <si>
    <t>R$ 1.558</t>
  </si>
  <si>
    <t>tray jlk importadora</t>
  </si>
  <si>
    <t>Fernanda</t>
  </si>
  <si>
    <t>11997633759</t>
  </si>
  <si>
    <t>fernanda@jlkplasticos.com</t>
  </si>
  <si>
    <t>deltamax importadora</t>
  </si>
  <si>
    <t>Raymond</t>
  </si>
  <si>
    <t>11982685555</t>
  </si>
  <si>
    <t>raymond@deltaimport.com.br</t>
  </si>
  <si>
    <t>05/08/2025 00:00</t>
  </si>
  <si>
    <t>rpa technology industria e comercio ltda</t>
  </si>
  <si>
    <t>Naiara</t>
  </si>
  <si>
    <t>(19) 3496-7474 / (19) 3885-1725</t>
  </si>
  <si>
    <t>renatapalace@impal.ind.br</t>
  </si>
  <si>
    <t>RAFARD</t>
  </si>
  <si>
    <t>28/08/2025</t>
  </si>
  <si>
    <t>Distribuidora Tropical Aromas Ltda</t>
  </si>
  <si>
    <t>tropical aromas</t>
  </si>
  <si>
    <t>(13) 3329-5855</t>
  </si>
  <si>
    <t>contato@keurequimica.com.br</t>
  </si>
  <si>
    <t>Voltar contato em Janeiro 2026</t>
  </si>
  <si>
    <t>14/08/2025</t>
  </si>
  <si>
    <t>Usual Plastic - Utilidade Domestica E Comercio Ltda</t>
  </si>
  <si>
    <t>usual plastic - (afv)</t>
  </si>
  <si>
    <t>(15) 3283-3659</t>
  </si>
  <si>
    <t>adm@usualutilidades.com.br</t>
  </si>
  <si>
    <t>CESARIO LANGE</t>
  </si>
  <si>
    <t>50%;30%</t>
  </si>
  <si>
    <t xml:space="preserve">Gustavo conversou com os sócios e decidiu por não trocar de software no momento </t>
  </si>
  <si>
    <t>29/08/2025</t>
  </si>
  <si>
    <t>21/08/2025</t>
  </si>
  <si>
    <t>O projeto já está fechado; porém, devido ao fim de ano e à alta demanda interna do cliente, a assinatura do contrato foi adiada. O cliente preferiu formalizar tudo na primeira semana de janeiro, com assinatura prevista para 05/01/2026.</t>
  </si>
  <si>
    <t>amilplast ind - erp</t>
  </si>
  <si>
    <t>AmilPlast indústria</t>
  </si>
  <si>
    <t>11973107041</t>
  </si>
  <si>
    <t>amilplast@amilplastt.com.br</t>
  </si>
  <si>
    <t>21/10/2025</t>
  </si>
  <si>
    <t>15/10/2025</t>
  </si>
  <si>
    <t>Pracaza Decor Comercio Importacao E Exportacao De Artigos Para Decoracao Ltda.</t>
  </si>
  <si>
    <t>pracaza decor comercio importacao e exportacao de artigos para decoracao ltda.</t>
  </si>
  <si>
    <t>(11) 4395-7650</t>
  </si>
  <si>
    <t>contato@acrosscontabil.com.br</t>
  </si>
  <si>
    <t>Aluminio Marcolar Ltda</t>
  </si>
  <si>
    <t>aluminio marcolar ltda</t>
  </si>
  <si>
    <t>(11) 2067-1299</t>
  </si>
  <si>
    <t>sac@marcolar.com.br</t>
  </si>
  <si>
    <t>RIBEIRAO PIRES</t>
  </si>
  <si>
    <t xml:space="preserve">Rogerio pediu para aguardar um pouco mais </t>
  </si>
  <si>
    <t>20/08/2025</t>
  </si>
  <si>
    <t>15/08/2025</t>
  </si>
  <si>
    <t xml:space="preserve">off paper (afv) </t>
  </si>
  <si>
    <t>Off Paper</t>
  </si>
  <si>
    <t>35984074473</t>
  </si>
  <si>
    <t>jessica@papeisoffpaper.com.br</t>
  </si>
  <si>
    <t>LAMBARI</t>
  </si>
  <si>
    <t xml:space="preserve">fechou sem mesmo falar com Guarani </t>
  </si>
  <si>
    <t>22/08/2025</t>
  </si>
  <si>
    <t>shinytoys</t>
  </si>
  <si>
    <t>(11) 91852-0852</t>
  </si>
  <si>
    <t>cpedro@shinyt.com.br</t>
  </si>
  <si>
    <t>dgb comex</t>
  </si>
  <si>
    <t>Raquel</t>
  </si>
  <si>
    <t>(47) 99227-7535</t>
  </si>
  <si>
    <t>comercial@dgbcomex.com.br</t>
  </si>
  <si>
    <t>Santa Bárbara d'Oeste</t>
  </si>
  <si>
    <t>29/09/2025</t>
  </si>
  <si>
    <t>duarte estofaria</t>
  </si>
  <si>
    <t>Ezequiel</t>
  </si>
  <si>
    <t>49999523158</t>
  </si>
  <si>
    <t>adm@duarteestofaria.com.br</t>
  </si>
  <si>
    <t>18/08/2025 00:00</t>
  </si>
  <si>
    <t>Falei hoje 09/01/2026 com Helton e questionei ele sobre a sequência ou não do projeto sistema.
Esta oportunidade encontra-se pausado durante 2026.
22/01 - Retorno do Helton:  Paulo, bom dia! Peço desculpas pelo atraso na resposta. Desejo um ótimo 2026 para você também! 
Analisamos as opções para uma possível troca, mas infelizmente não obtivemos a adesão esperada. Portanto, por enquanto, vamos manter o ERP atual.</t>
  </si>
  <si>
    <t>aluminio ramos</t>
  </si>
  <si>
    <t>Helton</t>
  </si>
  <si>
    <t>1633347333</t>
  </si>
  <si>
    <t>helton@ramos.com.br</t>
  </si>
  <si>
    <t>25/08/2025 00:00</t>
  </si>
  <si>
    <t>bezavel cnpj</t>
  </si>
  <si>
    <t>Fabiana e Gilson</t>
  </si>
  <si>
    <t>11950946784</t>
  </si>
  <si>
    <t>tooltec injecoes plasticas</t>
  </si>
  <si>
    <t xml:space="preserve">Plastutti - Cloud </t>
  </si>
  <si>
    <t>1146311986</t>
  </si>
  <si>
    <t>thiago@plasstutti.com.br</t>
  </si>
  <si>
    <t>DIADEMA</t>
  </si>
  <si>
    <t xml:space="preserve">achou valores acima </t>
  </si>
  <si>
    <t>06/08/2025</t>
  </si>
  <si>
    <t>brinquemix</t>
  </si>
  <si>
    <t xml:space="preserve">Brinquemix - Cloud </t>
  </si>
  <si>
    <t>11996823494</t>
  </si>
  <si>
    <t>simonee@brinquemix.com.br</t>
  </si>
  <si>
    <t>baag (bahia artes gráficas) wms</t>
  </si>
  <si>
    <t xml:space="preserve">em analise do consultor Munhoz, cliente não esta no momento  certo </t>
  </si>
  <si>
    <t>25/08/2025</t>
  </si>
  <si>
    <t>amilplast industria - cloud</t>
  </si>
  <si>
    <t xml:space="preserve">Amilplast - Cloud </t>
  </si>
  <si>
    <t xml:space="preserve">Amilplast continuará com servidor físico </t>
  </si>
  <si>
    <t>off paper (cloud)</t>
  </si>
  <si>
    <t>Off Paper (ERP)</t>
  </si>
  <si>
    <t>off paper (erp)</t>
  </si>
  <si>
    <t>Off Paper (Cloud)</t>
  </si>
  <si>
    <t>usual plastic (bi)</t>
  </si>
  <si>
    <t>Usual plastic (BI)</t>
  </si>
  <si>
    <t>1532833659</t>
  </si>
  <si>
    <t>Jr Comercio De Motos E Pecas Ltda</t>
  </si>
  <si>
    <t>jr comercio de motos e pecas</t>
  </si>
  <si>
    <t>(67) 9121-3638</t>
  </si>
  <si>
    <t>custodiojadi@gmail.com</t>
  </si>
  <si>
    <t>CAMPO GRANDE</t>
  </si>
  <si>
    <t>Jomafe Brasil - Comercio De Utensilios Domesticos E Cutelarias Ltda.</t>
  </si>
  <si>
    <t>jomafe brasil - comercio de utensilios domesticos e cutelarias ltda.</t>
  </si>
  <si>
    <t xml:space="preserve">(11) 3283-3767 </t>
  </si>
  <si>
    <t>vendas.br@jomafe.pt</t>
  </si>
  <si>
    <t>WhatsappRayssa</t>
  </si>
  <si>
    <t>natalia damaceno</t>
  </si>
  <si>
    <t>NATALIA GABRIELA DAMACENO MOTA</t>
  </si>
  <si>
    <t>(11) 9667-2094</t>
  </si>
  <si>
    <t>naty-gabriela@hotmail.com</t>
  </si>
  <si>
    <t>Natalia Gabriela Damaceno Mota</t>
  </si>
  <si>
    <t>casa bonitta - pdv</t>
  </si>
  <si>
    <t>(11) 4292-3358</t>
  </si>
  <si>
    <t>catocontabilidade@gmail.com</t>
  </si>
  <si>
    <t>SUZANO</t>
  </si>
  <si>
    <t xml:space="preserve">Após proposta cliente não respondeu mais </t>
  </si>
  <si>
    <t>19/09/2025</t>
  </si>
  <si>
    <t>16/09/2025</t>
  </si>
  <si>
    <t>bella refratarios</t>
  </si>
  <si>
    <t>Lara</t>
  </si>
  <si>
    <t>(19) 99985-2953</t>
  </si>
  <si>
    <t>lfabian.pereira@gmail.com</t>
  </si>
  <si>
    <t>10/09/2025</t>
  </si>
  <si>
    <t>sidney stabile</t>
  </si>
  <si>
    <t>Sidney Stabile</t>
  </si>
  <si>
    <t>(11) 98122-0797</t>
  </si>
  <si>
    <t>sidneysmr1@gmail.com</t>
  </si>
  <si>
    <t>11/09/2025 00:00</t>
  </si>
  <si>
    <t>O projeto só avançará após o ERP entrar em produção. É necessário alinhar com o Mário e o Fernando para confirmar a data exata de go-live, pois o projeto permanece aguardando essa etapa da implantação para seguir com as próximas fases.</t>
  </si>
  <si>
    <t xml:space="preserve">mdl import - cloud </t>
  </si>
  <si>
    <t xml:space="preserve">MDL Import - Cloud </t>
  </si>
  <si>
    <t>1190695515</t>
  </si>
  <si>
    <t>05/09/2025</t>
  </si>
  <si>
    <t>A empresa está enfrentando uma situação delicada com a Receita Federal e, por isso, decidiu aguardar antes de assinar o contrato, já que não sabe se manterá a operação de atacado. O plano é retomar o contato na primeira semana de janeiro de 2026.
06/02 A Michele me ligou retomando o projeto, agora estamos na fase de negociação.</t>
  </si>
  <si>
    <t>Futuro Brasil Importacao E Exportacao Ltda</t>
  </si>
  <si>
    <t xml:space="preserve">(11) 3312-3990 </t>
  </si>
  <si>
    <t>financeiro.michele@futurobrasil.com</t>
  </si>
  <si>
    <t>EXTREMA</t>
  </si>
  <si>
    <t>Pausado;30%</t>
  </si>
  <si>
    <t>30</t>
  </si>
  <si>
    <t>504</t>
  </si>
  <si>
    <t>ERP, AFV, ADICIONAIS, CLOUD, WMS</t>
  </si>
  <si>
    <t>R$ 100.800</t>
  </si>
  <si>
    <t>R$ 5.484</t>
  </si>
  <si>
    <t>fantoys brinquedos - erp</t>
  </si>
  <si>
    <t>Fantoys comércio de brinquedos ltda</t>
  </si>
  <si>
    <t>44999841977</t>
  </si>
  <si>
    <t>Fantoyscomercial@gmail.com</t>
  </si>
  <si>
    <t xml:space="preserve">cliente achou investimento muito alto </t>
  </si>
  <si>
    <t>12/09/2025</t>
  </si>
  <si>
    <t>rb malls - guarani erp</t>
  </si>
  <si>
    <t xml:space="preserve">Junior </t>
  </si>
  <si>
    <t>19987126669</t>
  </si>
  <si>
    <t>15/09/2025 00:00</t>
  </si>
  <si>
    <t>10/09/2025 00:00</t>
  </si>
  <si>
    <t>17/09/2025 00:00</t>
  </si>
  <si>
    <t>central raçoes - erp</t>
  </si>
  <si>
    <t>KAIQUE ARAUJO</t>
  </si>
  <si>
    <t>(67) 99250-3056</t>
  </si>
  <si>
    <t>comercial.centralracoes@hotmail.com</t>
  </si>
  <si>
    <t>informações salvo em notas</t>
  </si>
  <si>
    <t>30/09/2025</t>
  </si>
  <si>
    <t>16/09/2025 00:00</t>
  </si>
  <si>
    <t>central distribuidora de produtos agropecuarios</t>
  </si>
  <si>
    <t xml:space="preserve">cadastro duplicado </t>
  </si>
  <si>
    <t>Ilumac Industria Comercio E Servicos Ltda</t>
  </si>
  <si>
    <t>ilumac industria - erp</t>
  </si>
  <si>
    <t>(14) 3213-1100</t>
  </si>
  <si>
    <t>direcao@safeway.ind.br</t>
  </si>
  <si>
    <t>BAURU</t>
  </si>
  <si>
    <t xml:space="preserve">cliente não responde as mensagens e ligações </t>
  </si>
  <si>
    <t>mewoof importadora</t>
  </si>
  <si>
    <t>(11) 98527-7256</t>
  </si>
  <si>
    <t>marketing@mewoof.com.br</t>
  </si>
  <si>
    <t>23/09/2025 00:00</t>
  </si>
  <si>
    <t xml:space="preserve">fantoys brinquedos - cloud </t>
  </si>
  <si>
    <t xml:space="preserve">Fantoys Brinquedos - Cloud </t>
  </si>
  <si>
    <t xml:space="preserve">cliente achou investimento muito  alto </t>
  </si>
  <si>
    <t>Principios Representacoes De Artigos De Uso Domestico Ltda</t>
  </si>
  <si>
    <t>principios</t>
  </si>
  <si>
    <t xml:space="preserve">(48) 9123-3777 </t>
  </si>
  <si>
    <t>fabiane.principios@gmail.com</t>
  </si>
  <si>
    <t>ARARANGUA</t>
  </si>
  <si>
    <t xml:space="preserve">cliente Rep Mais </t>
  </si>
  <si>
    <t>luzia lara guilhen- mei</t>
  </si>
  <si>
    <t>Ramão</t>
  </si>
  <si>
    <t>diego.barcelli@guaranisistemas.com.br</t>
  </si>
  <si>
    <t>Brumadinho</t>
  </si>
  <si>
    <t xml:space="preserve">Sem retorno dos contatos </t>
  </si>
  <si>
    <t>24/09/2025 00:00</t>
  </si>
  <si>
    <t xml:space="preserve">Todos os dados preenchidos:
name: Ramão 
phone: 67 9 9169-7702 
email: ramaodlara@gmail.com 
nome_da_empresa_indicada: LUZIA LARA GUILHEN- MEI 
field_6: Guarani ERP, PDV 
nome_de_quem_indica: Diego Luis Barcelli 
e_mail_de_quem_indica: diego.barcelli@guaranisistemas.com.br 
telefone_de_quem_indica: 16 9 9265-3506 
Quais_produtos_Guarani_você_indica_para_essa_empresa?: Guarani ERP, PDV 
0: Guarani ERP, PDV </t>
  </si>
  <si>
    <t>luzia lara guilhen</t>
  </si>
  <si>
    <t>67 9 9169-7702</t>
  </si>
  <si>
    <t>ramaodlara@gmail.com</t>
  </si>
  <si>
    <t xml:space="preserve">não responde ao contato </t>
  </si>
  <si>
    <t xml:space="preserve">chame rio (cloud) </t>
  </si>
  <si>
    <t xml:space="preserve">Chame Rio (Cloud) </t>
  </si>
  <si>
    <t>21996087296</t>
  </si>
  <si>
    <t>leon@chamerio.com.br</t>
  </si>
  <si>
    <t xml:space="preserve">Aguardar ativação das lojas </t>
  </si>
  <si>
    <t>04/09/2025</t>
  </si>
  <si>
    <t xml:space="preserve">dvidros (cnpj) </t>
  </si>
  <si>
    <t xml:space="preserve">DVidros (CNPJ) </t>
  </si>
  <si>
    <t>31992324071</t>
  </si>
  <si>
    <t>comercial@dvidros.com.br</t>
  </si>
  <si>
    <t>central rações - bi</t>
  </si>
  <si>
    <t xml:space="preserve">Central Rações - BI </t>
  </si>
  <si>
    <t>67992503056</t>
  </si>
  <si>
    <t xml:space="preserve">informações salvo em notas </t>
  </si>
  <si>
    <t>central das rações - cloud</t>
  </si>
  <si>
    <t xml:space="preserve">Central Rações - Cloud </t>
  </si>
  <si>
    <t>facinato bi</t>
  </si>
  <si>
    <t>Emerson Silva</t>
  </si>
  <si>
    <t>(55) 11941-3524</t>
  </si>
  <si>
    <t>operacional@facinato.com.br</t>
  </si>
  <si>
    <t>26/09/2025 00:00</t>
  </si>
  <si>
    <t>11:51, 06/01/2026 Junior Lopes: lá Wilkerson, bom dia
11:51, 06/01/2026 Junior Lopes: Um Feliz 2026 para vc e toda equipe 🙏🙏
11:51, 06/01/2026 Junior Lopes: Me recebe aí para discutirmos sobre a proposta comercial?
15:32, 23/01/2026 Junior Lopes: Olá Wilkerson, boa tarde
13:34, 27/01/2026 Wilkerson Plasbrin: Ola
13:34, 27/01/2026 Wilkerson Plasbrin: Estou analisando a proposta sina
13:34, 27/01/2026 Wilkerson Plasbrin: Ainda
13:35, 27/01/2026 Wilkerson Plasbrin: Creio que em fevereiro te contato sobre uma negociação
13:36, 27/01/2026 Junior Lopes: Olá meu amigo! Ótimo 
Veja o que precisa para fecharmos! Nossa solução vai ajudar muito em seus processos 
Te aguardo 👊
14:25, 27/01/2026 Wilkerson Plasbrin: Pode deixar
14:25, 27/01/2026 Wilkerson Plasbrin: Vamos avaliar</t>
  </si>
  <si>
    <t>plasbrink embalagens plasticas ltda - erp</t>
  </si>
  <si>
    <t xml:space="preserve">PlasBink </t>
  </si>
  <si>
    <t>11997580006</t>
  </si>
  <si>
    <t>falgat@terra.com.br</t>
  </si>
  <si>
    <t>CABREUVA</t>
  </si>
  <si>
    <t>08/10/2025</t>
  </si>
  <si>
    <t>28/10/2025</t>
  </si>
  <si>
    <t>Indefinido se vamos ou não seguir . O Wellington esta em analise se vamos evoluir!
Esta oportunidade encontra-se pausado durante 2026.
07/02 Por motivo de gerenciamento do meu CRM, estou declinando a proposta e futuramente quando o cliente demonstrar interesse novamente retornamos com a proposta.</t>
  </si>
  <si>
    <t>wellmix erp</t>
  </si>
  <si>
    <t xml:space="preserve">Wellington </t>
  </si>
  <si>
    <t>well@wellmix.com.br</t>
  </si>
  <si>
    <t>07/02 Por motivo de gerenciamento do meu CRM, estou declinando a proposta e futuramente quando o cliente demonstrar interesse novamente retornamos com a proposta.</t>
  </si>
  <si>
    <t>09/09/2025 00:00</t>
  </si>
  <si>
    <t>tms imports</t>
  </si>
  <si>
    <t>Sidney</t>
  </si>
  <si>
    <t>sidney@unikhome.com.br</t>
  </si>
  <si>
    <t>02/09/2025 00:00</t>
  </si>
  <si>
    <t>dolce home comercio de utilidades domesticas ltda.</t>
  </si>
  <si>
    <t>Gabeirl</t>
  </si>
  <si>
    <t>(11) 3567-5470</t>
  </si>
  <si>
    <t>atendimento@dolcehome.com.br</t>
  </si>
  <si>
    <t>ilumac industria - cloud</t>
  </si>
  <si>
    <t xml:space="preserve">Illumac Industria - Cloud </t>
  </si>
  <si>
    <t>1432131100</t>
  </si>
  <si>
    <t xml:space="preserve">chame rio - horas </t>
  </si>
  <si>
    <t xml:space="preserve">Chame Rio - Horas </t>
  </si>
  <si>
    <t>22/10/2025</t>
  </si>
  <si>
    <t>bionov</t>
  </si>
  <si>
    <t xml:space="preserve">José Luiz Gomes Junior </t>
  </si>
  <si>
    <t>controladoria@bionov.com.br</t>
  </si>
  <si>
    <t>30/09/2025 00:00</t>
  </si>
  <si>
    <t xml:space="preserve">vitoria cortinas - horas </t>
  </si>
  <si>
    <t xml:space="preserve">Vitoria cortinas - Horas </t>
  </si>
  <si>
    <t>35999594857</t>
  </si>
  <si>
    <t>financeiro@vitoriacortinas.com.br</t>
  </si>
  <si>
    <t>casa bonitta - cloud</t>
  </si>
  <si>
    <t>Casa Bonitta - Cloud</t>
  </si>
  <si>
    <t>1142923358</t>
  </si>
  <si>
    <t>casa bonitta - erp</t>
  </si>
  <si>
    <t xml:space="preserve">Casa Bonitta - PDV </t>
  </si>
  <si>
    <t>961 importadora</t>
  </si>
  <si>
    <t xml:space="preserve">Hussein </t>
  </si>
  <si>
    <t>96170057610</t>
  </si>
  <si>
    <t>sol pratae</t>
  </si>
  <si>
    <t>Leandro carlos gonçalves</t>
  </si>
  <si>
    <t>(16) 99270-3152</t>
  </si>
  <si>
    <t>solpratae@gmail.com</t>
  </si>
  <si>
    <t>São Carlos</t>
  </si>
  <si>
    <t xml:space="preserve">cliente fora do perfil </t>
  </si>
  <si>
    <t>Artesanato Uni-art Industria E Comercio Ltda</t>
  </si>
  <si>
    <t>artesanato uni-art ind. - erp</t>
  </si>
  <si>
    <t>(19) 3876-4260</t>
  </si>
  <si>
    <t>thiago@uniartrelogios.com.br</t>
  </si>
  <si>
    <t>VINHEDO</t>
  </si>
  <si>
    <t>10/10/2025</t>
  </si>
  <si>
    <t xml:space="preserve">star distribuidora (wms) </t>
  </si>
  <si>
    <t xml:space="preserve">Star Distribuidora (WMS) </t>
  </si>
  <si>
    <t>17996266970</t>
  </si>
  <si>
    <t>distribuidora papagaio</t>
  </si>
  <si>
    <t>Alexsandro</t>
  </si>
  <si>
    <t>75988472625</t>
  </si>
  <si>
    <t>15/10/2025 00:00</t>
  </si>
  <si>
    <t>preciza import</t>
  </si>
  <si>
    <t>Preciza Import</t>
  </si>
  <si>
    <t>11947600755</t>
  </si>
  <si>
    <t>financeiro@precizaimports.com.br</t>
  </si>
  <si>
    <t>16/10/2025</t>
  </si>
  <si>
    <t>artesanato uni-art ind.- cloud</t>
  </si>
  <si>
    <t>Artesanato Uni-art Ind.- Cloud</t>
  </si>
  <si>
    <t>1938764260</t>
  </si>
  <si>
    <t>cliente não atende aos contatos</t>
  </si>
  <si>
    <t xml:space="preserve">plasbrink embalagens plasticas ltda - cloud </t>
  </si>
  <si>
    <t xml:space="preserve">Plasbrink Embalagens Plasticas Ltda - Cloud </t>
  </si>
  <si>
    <t>O cliente está utilizando o módulo em período de degustação de 7 dias, com término em 16/12/2025. Após essa data, ele deverá decidir se seguirá com a contratação ou se irá declinar.</t>
  </si>
  <si>
    <t>preciza import - boleto whatsapp</t>
  </si>
  <si>
    <t>Preciza Import - Boleto WhatsApp</t>
  </si>
  <si>
    <t>26/11/2025</t>
  </si>
  <si>
    <t>09/10/2025</t>
  </si>
  <si>
    <t xml:space="preserve">Após a apresentação de 10/12/2025, ficou definido que a equipe da Marka Têxtil se reunirá para decidir sobre a continuidade do projeto. Farei um follow-up em 15/12/2025 para obter a definição.
16:22, 27/01/2026 Junior Lopes: Olá Regina ! Boa tarde
16:22, 27/01/2026 Regina Chagas: Boa tarde
16:27, 27/01/2026 Junior Lopes: Como está a evolução do projeto?
16:29, 27/01/2026 Junior Lopes: Sei que vcs estão em contato com outras ferramentas! E que está tudo bem 
Porém fico preocupado com valor que já negociamos! A proposta é do ano passado ! Viramos a nossa tabela 
Estou segurando os valores aqui ! Mas preciso de um feedback
16:49, 27/01/2026 Regina Chagas: Entendo, acredito que até sexta feira eu te dou um retorno final
(03/02/2026) em contato com a Bruna na feira Abup informou que decidiu seguir com ERP que apresentou uma proposta mais atrativa em questão de valores ! abaixo mensagem da Regina com mesmo contexto : 
07:57, 09/02/2026 Regina Chagas: Bom dia Junior, desculpe a demora no retorno.
Fechamos com outra empresa, em reunião foi decidido que seria mais vantajoso além do custo/beneficio.
Muito obrigada pelo seu ótimo atendimento
08:59, 09/02/2026 Junior Lopes: Olá Regina bom dia ! Falei com a Bruna na feira 
Desejo sucesso para vocês </t>
  </si>
  <si>
    <t>marka textil - erp</t>
  </si>
  <si>
    <t xml:space="preserve">Marka Textil </t>
  </si>
  <si>
    <t>11975444564</t>
  </si>
  <si>
    <t>brunaantonelli@markatextil.com.br</t>
  </si>
  <si>
    <t>GUARAREMA</t>
  </si>
  <si>
    <t xml:space="preserve">fechou por preço </t>
  </si>
  <si>
    <t>13/10/2025</t>
  </si>
  <si>
    <t>05/11/2025</t>
  </si>
  <si>
    <t>marka textil - cloud</t>
  </si>
  <si>
    <t xml:space="preserve">Marka Textil - Cloud </t>
  </si>
  <si>
    <t>14/11/2025</t>
  </si>
  <si>
    <t>Imprime Industria E Comercio De Plasticos Ltda</t>
  </si>
  <si>
    <t>imprime industria e comercio de plasticos</t>
  </si>
  <si>
    <t>(11) 4552-8400</t>
  </si>
  <si>
    <t>sac@ascampoli.com.br</t>
  </si>
  <si>
    <t>distribuidora prime - erp</t>
  </si>
  <si>
    <t xml:space="preserve">Jones da Costa Grance </t>
  </si>
  <si>
    <t>(67) 99147-9660</t>
  </si>
  <si>
    <t>distribuidoraprime067@gmail.com</t>
  </si>
  <si>
    <t>Campo Grande</t>
  </si>
  <si>
    <t xml:space="preserve">cliente não esta no tempo certo, achou investimento muito alto </t>
  </si>
  <si>
    <t>27/10/2025</t>
  </si>
  <si>
    <t>karam kaiss</t>
  </si>
  <si>
    <t>Karam kaiss</t>
  </si>
  <si>
    <t>(11) 98348-6116</t>
  </si>
  <si>
    <t>mbcontatokaram@gmail.com</t>
  </si>
  <si>
    <t xml:space="preserve">cliente busca apenas módulo de compras </t>
  </si>
  <si>
    <t xml:space="preserve">(16/01/2026) Bruno decidiu por não fazer o investimento nesse momento ! esta estruturando a equipe de vendas </t>
  </si>
  <si>
    <t>Sevilha Comercio Internacional Ltda</t>
  </si>
  <si>
    <t>sevilla trade - erp</t>
  </si>
  <si>
    <t>(11) 4115-0797</t>
  </si>
  <si>
    <t>diego@gruposevilha.com</t>
  </si>
  <si>
    <t>NAVEGANTES</t>
  </si>
  <si>
    <t>29/10/2025</t>
  </si>
  <si>
    <t xml:space="preserve">sevilha trade - cloud </t>
  </si>
  <si>
    <t xml:space="preserve">Sevilha Trade - Cloud </t>
  </si>
  <si>
    <t>1141150797</t>
  </si>
  <si>
    <t>distribuidora prime - cloud</t>
  </si>
  <si>
    <t>Distribuidora Prime - Cloud</t>
  </si>
  <si>
    <t>67991479660</t>
  </si>
  <si>
    <t>tritec - proposta web</t>
  </si>
  <si>
    <t>Tritec - Proposta Web</t>
  </si>
  <si>
    <t>4791025652</t>
  </si>
  <si>
    <t xml:space="preserve">por enquanto nao vai adicionar proposta web </t>
  </si>
  <si>
    <t>Realizei hoje, 12/12/2025, a apresentação do AFV para os gerentes comerciais e atualizei a proposta com os valores de licença do APP. O próximo passo será negociar a proposta, o que deve ocorrer somente na primeira quinzena de janeiro.
05.02 Iniciaram a importação agora,previsão permace para março</t>
  </si>
  <si>
    <t>evolux - erp - pcp  - wms - afv</t>
  </si>
  <si>
    <t>Lucas Pivetta</t>
  </si>
  <si>
    <t>15996012600</t>
  </si>
  <si>
    <t>03/11/2025 00:00</t>
  </si>
  <si>
    <t>01/12/2025</t>
  </si>
  <si>
    <t>12/12/2025</t>
  </si>
  <si>
    <t>Feito vários contatos com o cliente sem sucesso. 
12/01/2026
23-01 Fiz Fups com o Jairo hoje para saber se ele vai seguir ou não com o projeto. Caso não me responda vou encerrar a oportunidade , prazo 31/01.
06/02 Fiz FUP com  o Jairo e por falta de interesse estou declinando a proposta.
07/02 Jairo me respondeu e avisou que vai implantar o Totvs lá. E futuramente retorna a falar comigo sobre Força de Venda.</t>
  </si>
  <si>
    <t>medihosp</t>
  </si>
  <si>
    <t>MEDIHOSP</t>
  </si>
  <si>
    <t>(11) 2506-6323/ (11) 2506-6589</t>
  </si>
  <si>
    <t>medihosp@medihosp.com.br</t>
  </si>
  <si>
    <t>07/02 Jairo me respondeu e avisou que vai implantar o Totvs lá. E futuramente retorna a falar comigo sobre Força de Venda.</t>
  </si>
  <si>
    <t>05/11/2025 00:00</t>
  </si>
  <si>
    <t>04/11/2025 00:00</t>
  </si>
  <si>
    <t>Salopet Embalagens Plasticas Ltda</t>
  </si>
  <si>
    <t>salopet embalagens plasticas - erp</t>
  </si>
  <si>
    <t>(11) 2575-1800</t>
  </si>
  <si>
    <t>paralegal10@mgcontecnica.com.br</t>
  </si>
  <si>
    <t>EMBU DAS ARTES</t>
  </si>
  <si>
    <t>estou descartando por falta de atividades do André, já agendou varias vezes e não aparece nas reuniões 
Fala chefe, boa tarde 
Está uma loucura esse final de ano
Mais vamos lá
Hoje uso o sistema Areco ele é gigante e tem tudo o que precisamos mais está em falta com o suporte e o preço está ficando alto
Vou tentar finalizar algumas coisa e na sexta-feira na parte da manhã estarei mais tranquilo ai chamo pra que possamos conversar</t>
  </si>
  <si>
    <t>12/11/2025</t>
  </si>
  <si>
    <t>tecelegam castilho - mdfe</t>
  </si>
  <si>
    <t>Tecelegam Castilho - MDFe</t>
  </si>
  <si>
    <t>O projeto já está fechado e o contrato está com o cliente aguardando assinatura. O follow-up está sendo feito diariamente e a previsão de fechamento é até 19/12/2025.</t>
  </si>
  <si>
    <t>atacadao montebello - b2b</t>
  </si>
  <si>
    <t xml:space="preserve">Atacadão MOntebello </t>
  </si>
  <si>
    <t>(19) 3377-2746 / (19) 3426-1450</t>
  </si>
  <si>
    <t>administracao@atacadaoamontebello.com.br</t>
  </si>
  <si>
    <t>28/11/2025</t>
  </si>
  <si>
    <t xml:space="preserve">newbaby - erp </t>
  </si>
  <si>
    <t xml:space="preserve">NewBaby - ERP </t>
  </si>
  <si>
    <t>11979734057</t>
  </si>
  <si>
    <t>dani@3lrepresentacoes.com.br</t>
  </si>
  <si>
    <t xml:space="preserve">Em contato com Dani ! 
eles só queriam a priori uma estimativa de investimento nas soluções Guarani ! a ideia é aos poucos convencer a Giselia na troca do sistema </t>
  </si>
  <si>
    <t>04/11/2025</t>
  </si>
  <si>
    <t>Kitay Industria E Comercio De Alimentos Ltda</t>
  </si>
  <si>
    <t>kitay industria e comercio de alimentos ltda</t>
  </si>
  <si>
    <t>(11) 4018-3764</t>
  </si>
  <si>
    <t>claudiorcsalles@gmail.com</t>
  </si>
  <si>
    <t>VARGEM GRANDE PAULISTA</t>
  </si>
  <si>
    <t xml:space="preserve">mdl - wms </t>
  </si>
  <si>
    <t xml:space="preserve">MDL - WMS </t>
  </si>
  <si>
    <t>24/11/2025</t>
  </si>
  <si>
    <t xml:space="preserve">newbaby - cloud </t>
  </si>
  <si>
    <t xml:space="preserve">NewBaby - Cloud </t>
  </si>
  <si>
    <t>Em contato com Dani ! 
eles só queriam a priori uma estimativa de investimento nas soluções Guarani ! a ideia é aos poucos convencer a Giselia na troca do sistema</t>
  </si>
  <si>
    <t xml:space="preserve">baag - incl.cnpj </t>
  </si>
  <si>
    <t xml:space="preserve">Baag - Incl.CNPJ </t>
  </si>
  <si>
    <t>7530217768</t>
  </si>
  <si>
    <t>e.s maia - afv</t>
  </si>
  <si>
    <t xml:space="preserve">E.S Maia </t>
  </si>
  <si>
    <t>11969325678</t>
  </si>
  <si>
    <t xml:space="preserve">nao esta no momento certo </t>
  </si>
  <si>
    <t>phabllo parambu atacado - erp</t>
  </si>
  <si>
    <t xml:space="preserve">Phabllo Parambu Atacado - ERP </t>
  </si>
  <si>
    <t>88996365702</t>
  </si>
  <si>
    <t>phabllo2022@gmail.com</t>
  </si>
  <si>
    <t>COCAL</t>
  </si>
  <si>
    <t>PI</t>
  </si>
  <si>
    <t xml:space="preserve">Cliente não tem tempo para fazermos apresentação </t>
  </si>
  <si>
    <t>phabllo parambu atacado - cloud</t>
  </si>
  <si>
    <t>Phabllo Parambu Atacado - Cloud</t>
  </si>
  <si>
    <t>salopet embalagens plasticas - cloud</t>
  </si>
  <si>
    <t>Salopet Embalagens Plasticas - Cloud</t>
  </si>
  <si>
    <t>1125751800</t>
  </si>
  <si>
    <t>lojas tem</t>
  </si>
  <si>
    <t>Samuel Ferreira</t>
  </si>
  <si>
    <t>(38) 99741-8594</t>
  </si>
  <si>
    <t>lojastem.financeiro@gmail.com</t>
  </si>
  <si>
    <t>Montes Claros</t>
  </si>
  <si>
    <t>Solicita demo;30%</t>
  </si>
  <si>
    <t>26/11/2025 00:00</t>
  </si>
  <si>
    <t>Cobrei a Luciana sobre a sequência do projeto ou não (09/01/2026)
23/01 - Fiz FUPs hoje com a Lucimeire, chamando ela para retomar as negociações, aguardar ele responder para saber se vamos seguir ou não? R: Ela retornou avisando que a negociação está pausada por enquanto.</t>
  </si>
  <si>
    <t>bela flor</t>
  </si>
  <si>
    <t>Lucimeire Jardim</t>
  </si>
  <si>
    <t>(17) 99270-5941</t>
  </si>
  <si>
    <t>gerencia.adm@belaflor.com.br</t>
  </si>
  <si>
    <t>São José do Rio Preto</t>
  </si>
  <si>
    <t>Solicita demo;Pausado;30%</t>
  </si>
  <si>
    <t>653</t>
  </si>
  <si>
    <t>ERP, AFV, BI, WMS</t>
  </si>
  <si>
    <t>R$ 130.600</t>
  </si>
  <si>
    <t>R$ 16.809,82</t>
  </si>
  <si>
    <t>Falei com Rodrigo CFO, e vamos negociar a proposta na semana do dia 12/01/2025.
Falei hoje 12/01 com Rodrigo cobrando um aposição dele.
14/01 - Hoje o Jeferson TI me ligou avisando que a diretoria reprovou o valor mensal. Porém a equipe interna gostou muito do sistema e esta batalhando para seguir. Com isso ele apresentou um valor base de R$60,00 por usuário estou estudando uma estratégia para responder. Acionei o Fábio.
19/01: No dia 15/01 foi resolvido a questão da proposta. A pendência agora é em relação a integração com Sênior, ou seja, Jeferson esta fazendo orçamento com pessoal da Sênior, só após daremos andamento. Previsto uma conversa para sexta-feira próxima, dia 23/01.</t>
  </si>
  <si>
    <t>imev proteinas</t>
  </si>
  <si>
    <t>43996624014</t>
  </si>
  <si>
    <t>90%;Fabio Indica</t>
  </si>
  <si>
    <t>A diretoria não aprovou o projeto devido o total da implantação ficar na casa dos 32k. Somando o projeto do Sênior 15-20k e Guarani 16k</t>
  </si>
  <si>
    <t>19/11/2025 00:00</t>
  </si>
  <si>
    <t>Falei hoje com o Abdallah, o mesmo esta fora do Brasil. Combinamos de falar na sua volta que é em 15/01/2026!
23/01 - Após conversa com o Abdallah, o mesmo ainda continua fora do brasil e em nossa conversa falou que não tem resposta se vai ou não mudar. Com base no histórico das conversa ele não tem interesse de mudança no curto prazo. Sendo assim, estou declinando a proposta e futuramente voltamos a falar.</t>
  </si>
  <si>
    <t>aih importadora de artigos de presentes ltda</t>
  </si>
  <si>
    <t>Abdallah</t>
  </si>
  <si>
    <t>(11) 3228-9751</t>
  </si>
  <si>
    <t>aihfinanceiro@gmail.com</t>
  </si>
  <si>
    <t>Hoje foi realizada a apresentação do PDV do ERP ao cliente. O fechamento está previsto para ocorrer até 19/12/2025.</t>
  </si>
  <si>
    <t>plastcap treinamento</t>
  </si>
  <si>
    <t xml:space="preserve">Jose Eduardo </t>
  </si>
  <si>
    <t>(19) 3492-9944</t>
  </si>
  <si>
    <t>adm@plastcap.com.br</t>
  </si>
  <si>
    <t>CAPIVARI</t>
  </si>
  <si>
    <t>21/11/2025 00:00</t>
  </si>
  <si>
    <t>Não vai seguir com esse projeto no momento! Primeiro vai fazer a reciclagem e no meio do ano de 2026, voltamos a falar.</t>
  </si>
  <si>
    <t>platcap cloud</t>
  </si>
  <si>
    <t>Jose Eduardo</t>
  </si>
  <si>
    <t>distribuidora explosão 10</t>
  </si>
  <si>
    <t>Kaue Prado</t>
  </si>
  <si>
    <t>49998169464</t>
  </si>
  <si>
    <t>11/11/2025 00:00</t>
  </si>
  <si>
    <t>Após retorno do Jeferson fui informado que ele não vai seguir com o projeto no momento.</t>
  </si>
  <si>
    <t>luz wms</t>
  </si>
  <si>
    <t>Jeferson</t>
  </si>
  <si>
    <t>83998878069</t>
  </si>
  <si>
    <t>24/11/2025 00:00</t>
  </si>
  <si>
    <t>Fabiana</t>
  </si>
  <si>
    <t>12/11/2025 00:00</t>
  </si>
  <si>
    <t>agua sana cnpj</t>
  </si>
  <si>
    <t>10/11/2025 00:00</t>
  </si>
  <si>
    <t>O próximo passo é Junior Lopes contatar a Tânia para confirmar o envio do vídeo do armazém e obter uma data definida para isso. Ele também deve atualizar no sistema o campo “O que falta para atingir o objetivo” com os requisitos pendentes e registrar um próximo passo com data, como analisar o vídeo ou agendar uma reunião para discutir sua avaliação.</t>
  </si>
  <si>
    <t xml:space="preserve">fafa import - wms </t>
  </si>
  <si>
    <t xml:space="preserve">FaFa Import - WMS </t>
  </si>
  <si>
    <t>86188758539</t>
  </si>
  <si>
    <t>tecelagem castilho - proposta web</t>
  </si>
  <si>
    <t>Tecelagem Castilho - Proposta Web</t>
  </si>
  <si>
    <t>6293622662</t>
  </si>
  <si>
    <t xml:space="preserve">por enquanto vai fazer as aprovações via ERP </t>
  </si>
  <si>
    <t>Falei hoje 09/01/2026 com o Mario para saber se seguiremos. Ele está fora do brasil retomar contato em 15/01.
23/01 fazer proposta e enviar ao mario.
06/02 Fiz FUP e não evoluiu a conversa pois o Mario está estruturando a empresa e nesse momento vai aguardar.</t>
  </si>
  <si>
    <t>maia 4</t>
  </si>
  <si>
    <t>Mario Perez</t>
  </si>
  <si>
    <t>(11) 99471-3332</t>
  </si>
  <si>
    <t>mariovperez@hotmail.com</t>
  </si>
  <si>
    <t>01/12/2025 00:00</t>
  </si>
  <si>
    <t>02/12/2025 00:00</t>
  </si>
  <si>
    <t>Falei com a Valeria hoje 09/01/26 para saber sobre a retomada do projeto.
23/01 Fiz FUP hoje com a Valeria cobrando se seguiremos ou não com o projeto, prazo para declinar 31/01.</t>
  </si>
  <si>
    <t>zomax</t>
  </si>
  <si>
    <t>Valéria Honorato da Silva</t>
  </si>
  <si>
    <t>(45) 99903-2312</t>
  </si>
  <si>
    <t>valeriahonoratomkt@gmail.com</t>
  </si>
  <si>
    <t>Santa Tereza do Oeste</t>
  </si>
  <si>
    <t>05/12/2025 00:00</t>
  </si>
  <si>
    <t>Falei com a Kelly hoje que me passou as informações que faltava para formular a proposta. Agora e falar com o Fernando e montar a proposta e apresentar.
23/01 Falei com a Kelly em 19/01, e ela avisou que estava de férias e que retorno essa semana , e que só vai conseguir analisar a proposta na semana do dia 26/01, quando retornarei o contato.
07/02 Fiz FUP com a Kelly e perguntei se ela vai ou não seguir com o projeto, não retornou ainda.</t>
  </si>
  <si>
    <t>val port</t>
  </si>
  <si>
    <t>kelly</t>
  </si>
  <si>
    <t>(12) 97403-0134</t>
  </si>
  <si>
    <t>mkt@valport.com.br</t>
  </si>
  <si>
    <t>03/12/2025 00:00</t>
  </si>
  <si>
    <t>416</t>
  </si>
  <si>
    <t>ERP, AFV, BI, PDV, ADICIONAIS</t>
  </si>
  <si>
    <t>R$ 104.490</t>
  </si>
  <si>
    <t>R$ 11.195,70</t>
  </si>
  <si>
    <t xml:space="preserve">Cobrei hoje 09/01 o Alex, para saber sobre a evolução do projeto em 2026.
14/01 - O Alex me ligou hoje avisando que a empresa optou pelo mais barato e fechou com a RioSoft. </t>
  </si>
  <si>
    <t>tron</t>
  </si>
  <si>
    <t>Alex</t>
  </si>
  <si>
    <t>1799137617</t>
  </si>
  <si>
    <t xml:space="preserve">O Alex me ligou hoje avisando que a empresa optou pelo mais barato e fechou com a RioSoft. </t>
  </si>
  <si>
    <t>sago impor wms</t>
  </si>
  <si>
    <t>Hoje 09/01/26 cobrei a Michelli para saber se ela vai seguir ou não com o projeto.
23/01 - Fiz FUp com a Michelle hoje para saber se vamos ou não seguir com o projeto. 
R: Falou que a proposta esta sobe analise da diretoria e que para a próxima semana já terá um retorno. 
07/02 Fiz FUP com a Michelle e ela me posicionou que não vai trocar de sistema por enquanto.</t>
  </si>
  <si>
    <t xml:space="preserve">hf utilidades </t>
  </si>
  <si>
    <t>MICHELE</t>
  </si>
  <si>
    <t>(12) 99635-6502</t>
  </si>
  <si>
    <t>flavia.honorato@hotmail.com</t>
  </si>
  <si>
    <t>Guaratinguetá</t>
  </si>
  <si>
    <t>07/02 Fiz FUP com a Michelle e ela me posicionou que não vai trocar de sistema por enquanto.</t>
  </si>
  <si>
    <t>10/12/2025 00:00</t>
  </si>
  <si>
    <t>Falei com a Kelly hoje que me passou as informações que faltava para formular a proposta. Agora e falar com o Fernando e montar a proposta e apresentar.
13/01/2026 - Apresentar proposta
23/01 Falei com a Kelly em 19/01, e ela avisou que estava de férias e que retorno essa semana , e que só vai conseguir analisar a proposta na semana do dia 26/01, quando retornarei o contato.
07/02 Fiz FUP com a Kelly e perguntei se ela vai ou não seguir com o projeto, não retornou ainda.</t>
  </si>
  <si>
    <t>valport b2b</t>
  </si>
  <si>
    <t xml:space="preserve">Kelly </t>
  </si>
  <si>
    <t>(12) 3204-5200</t>
  </si>
  <si>
    <t>financeiro@valport.com.br</t>
  </si>
  <si>
    <t>SAO JOSE DOS CAMPOS</t>
  </si>
  <si>
    <t>R$ 13.100</t>
  </si>
  <si>
    <t>R$ 1.700</t>
  </si>
  <si>
    <t>Falei com o Dalvan que esta devendo os dados para fazer a proposta. Segundo ele até o dia 09/01/26 ele termina de preencher. Após receber fazer proposta junto ao Fernando.
23/01 Fiz FUP hoje com o DALVAN, o bicho é enrolado não responde os questionamentos que preciso para fazer a proposta.
06/02 Estou declinando a proposta por falta de interação. o Dalvan, não me responde.</t>
  </si>
  <si>
    <t xml:space="preserve">atual mix </t>
  </si>
  <si>
    <t xml:space="preserve"> Dalvan barros</t>
  </si>
  <si>
    <t>(99) 98265-8209</t>
  </si>
  <si>
    <t>atualmiix@gmail.com</t>
  </si>
  <si>
    <t>Porto Franco</t>
  </si>
  <si>
    <t>06/02 Estou declinando a proposta por falta de interação. o Dalvan, não me responde.</t>
  </si>
  <si>
    <t>15/12/2025 00:00</t>
  </si>
  <si>
    <t xml:space="preserve">(07/01/2026) visita comercial 
(14/01/2026) Visita apresentação com Max 
(29/01/2026) cliente esta ligando para nossos clientes  </t>
  </si>
  <si>
    <t>Vic Import, Comercio, Importacao E Exportacao De Brinquedos E Utilidades Em Geral Ltda</t>
  </si>
  <si>
    <t>vic import - erp</t>
  </si>
  <si>
    <t>50%;Fabio Indica</t>
  </si>
  <si>
    <t>14/01/2026</t>
  </si>
  <si>
    <t>07/01/2026</t>
  </si>
  <si>
    <t xml:space="preserve">vic import - afv </t>
  </si>
  <si>
    <t xml:space="preserve">Vic Import - AFV </t>
  </si>
  <si>
    <t>1121710800</t>
  </si>
  <si>
    <t xml:space="preserve">seguindo com ERP </t>
  </si>
  <si>
    <t>16/12/2025</t>
  </si>
  <si>
    <t>15/12/2025</t>
  </si>
  <si>
    <t xml:space="preserve">vic import - cloud </t>
  </si>
  <si>
    <t xml:space="preserve">Vic Import - Cloud </t>
  </si>
  <si>
    <t>Conthey Presentes E Decoracoes Ltda</t>
  </si>
  <si>
    <t>conthey - erp</t>
  </si>
  <si>
    <t xml:space="preserve">(11) 2081-7750 </t>
  </si>
  <si>
    <t>sc@conthey.com.br</t>
  </si>
  <si>
    <t>PALHOCA</t>
  </si>
  <si>
    <t>11/12/2025</t>
  </si>
  <si>
    <t>09/12/2025</t>
  </si>
  <si>
    <t xml:space="preserve">fechamos ERP , estou descartando essa oportunidade </t>
  </si>
  <si>
    <t xml:space="preserve">conthey - afv </t>
  </si>
  <si>
    <t xml:space="preserve">Conthey - AFV </t>
  </si>
  <si>
    <t>11982163176</t>
  </si>
  <si>
    <t xml:space="preserve">conthey - cloud </t>
  </si>
  <si>
    <t xml:space="preserve">Conthey - Cloud </t>
  </si>
  <si>
    <t xml:space="preserve">star - b2b </t>
  </si>
  <si>
    <t xml:space="preserve">Star - B2B </t>
  </si>
  <si>
    <t>02/12/2025</t>
  </si>
  <si>
    <t xml:space="preserve">tecelagem castilho - contábil </t>
  </si>
  <si>
    <t xml:space="preserve">Tecelagem Castilho - Contábil </t>
  </si>
  <si>
    <t>rto, obrigada
Dayane ! O módulo contábil faz sentido para vocês  ?
No momento não
Olá Dayane ! perfeito , ficamos a disposição ! um ótimo final de semana</t>
  </si>
  <si>
    <t>erca alumínio - imp.xml</t>
  </si>
  <si>
    <t>Erca Alumínio - Imp.XML</t>
  </si>
  <si>
    <t>19999989392</t>
  </si>
  <si>
    <t>Em conversa com o Valter ficou combinado de falar no dia 19/01, pois ele esta em viagem.
23/01 Fiz contato com o Walter hoje para cobrar ele nossa agenda para a próxima semana.</t>
  </si>
  <si>
    <t>union ind</t>
  </si>
  <si>
    <t>Valter</t>
  </si>
  <si>
    <t>11996577830</t>
  </si>
  <si>
    <t>vppeliciari@gmail.com</t>
  </si>
  <si>
    <t>Campanha</t>
  </si>
  <si>
    <t>30%;Instagram;Dentro Perfil</t>
  </si>
  <si>
    <t xml:space="preserve">(16/01/2026) Entrei em contato com Allan ! segundo ele esta verificando com a diretoria sobre a sequencia no projeto ! informei que nossa proposta está vencida e que preciso de uma decisão urgente para nao  perdemos o valor 
16/01/2026 em contato com Allan ! decidiu por nao dar sequencia nesse momento ! o motivo é por conta do investimento  </t>
  </si>
  <si>
    <t>toptem - erp</t>
  </si>
  <si>
    <t>Allan Kaynã Vargas</t>
  </si>
  <si>
    <t>(49) 99929-0242</t>
  </si>
  <si>
    <t>comercial2@topten.net.br</t>
  </si>
  <si>
    <t>Guarujá do Sul</t>
  </si>
  <si>
    <t xml:space="preserve">16/01/2026 em contato com Allan ! decidiu por nao dar sequencia nesse momento ! o motivo é por conta do investimento  </t>
  </si>
  <si>
    <t>22/12/2025</t>
  </si>
  <si>
    <t>19/12/2025</t>
  </si>
  <si>
    <t>toptem - afv</t>
  </si>
  <si>
    <t>TopTem - AFV</t>
  </si>
  <si>
    <t>49999290242</t>
  </si>
  <si>
    <t>atacado sibras 1.99</t>
  </si>
  <si>
    <t>Atacado Sibras 1.99</t>
  </si>
  <si>
    <t>4191190775</t>
  </si>
  <si>
    <t>andrearnpauli@hotmail.com</t>
  </si>
  <si>
    <t>Instagram;Fora Perfil</t>
  </si>
  <si>
    <t>bj engenharia</t>
  </si>
  <si>
    <t>BJ Engenharia</t>
  </si>
  <si>
    <t>6195770926</t>
  </si>
  <si>
    <t>eduaniceto@engenhariabomjesus.com.br</t>
  </si>
  <si>
    <t xml:space="preserve">cliente fora do perfil , construtora </t>
  </si>
  <si>
    <t xml:space="preserve">Lead entrou em contato no Whatsapp Business do Damián.
(21/01/2026) 09:14, 21/01/2026 Junior Lopes: Olá Dário ! Bom dia , Td bem ?
09:30, 21/01/2026 Chavetas: Bom dia Júnior, td bem ? Estou a analisar as diversas empresas que tive contato, os prós e contras, porém com calma, para fazer algo que realmente atenda a necessidades.
(21/01/2026) além do material que enviei para Dário , sugeri a ele uma visita comercial para apresentar nossas soluções 
(29/01/2026) Estou alinhando com Dário mais uma rodada de apresentação ! ele esta indeciso em algumas opções concorrentes </t>
  </si>
  <si>
    <t>chavetas comercio de pecas e ferramentas ltda</t>
  </si>
  <si>
    <t>Chavetas Comércio de Peças e Ferramentas Ltda.</t>
  </si>
  <si>
    <t>(11) 98183-5003</t>
  </si>
  <si>
    <t>dario@chavetasecia.com.br</t>
  </si>
  <si>
    <t xml:space="preserve">(21/01/2026) em contato com Edilson 
pediu para retornar contato no dia 26/01 pois esta bem corrido devido a um feriado na cidade ! ele pediu para enviar material sobre nossas soluções 
(29/01/2026) Cliente esta analisando demais ferramentas ! estamos organizando apresentação do AFV 
(18/02/2026) Edilson declinou por conta do valor acima da expectativa de investimento ! não ofertou contra proposta pq valor estava bem acima do esperado </t>
  </si>
  <si>
    <t>ColorUnhas</t>
  </si>
  <si>
    <t>(44) 9706-9580</t>
  </si>
  <si>
    <t>colorunhas@uol.com.br</t>
  </si>
  <si>
    <t>TELEMACO BORBA</t>
  </si>
  <si>
    <t xml:space="preserve">(18/02/2026) Edilson declinou por conta do valor acima da expectativa de investimento ! não ofertou contra proposta pq valor estava bem acima do esperado </t>
  </si>
  <si>
    <t>21/01/2026</t>
  </si>
  <si>
    <t>Reunião agendada para o dia 23/01 
17-02 Cliente deu negativa no avanço do projeto,pois o valor ficou fora do que estão planejando 
E receberam uma proposta comercial de 30mil de implantação e 4mil de mensalidade do sistema webmais
https://webmaissistemas.com.br/</t>
  </si>
  <si>
    <t>doce festa - erp - afv + bi</t>
  </si>
  <si>
    <t>Doce festa</t>
  </si>
  <si>
    <t>17981152060</t>
  </si>
  <si>
    <t>paulopedroso@produtosdocefesta.com.br</t>
  </si>
  <si>
    <t>50%;Instagram;Dentro Perfil</t>
  </si>
  <si>
    <t>Proposta feita,aguardando agenda do cliente para apresentar
Oi, Rayssa, tudo bem?
Estamos em processo de mudança de local e, por isso, essa semana está bem corrida por aqui. Acabei ficando sem tempo para conseguir conversar com calma agora.</t>
  </si>
  <si>
    <t>Irriga House Irrigacao Comercial Agricola Ltda</t>
  </si>
  <si>
    <t>irriga house</t>
  </si>
  <si>
    <t>Irriga house</t>
  </si>
  <si>
    <t>11973112176</t>
  </si>
  <si>
    <t>vendas@irrigahouse.com.br</t>
  </si>
  <si>
    <t>JUNDIAI</t>
  </si>
  <si>
    <t>19/01/2026</t>
  </si>
  <si>
    <t>13/01/2026</t>
  </si>
  <si>
    <t>Hoje (12/01/26) cobrei o Allan se ele tem interesse nas soluções da Guarani Sim ou Não. Por ele não atende minhas ligações. (13/01 - Chamei e liguei para o Allan, sem retorno.
12/01 Fiz FUP, com Allan, fechou com uma empresa de menor e falou que se não se adaptar volta a fazer contato.</t>
  </si>
  <si>
    <t>distribuidora do wicca</t>
  </si>
  <si>
    <t>Allan</t>
  </si>
  <si>
    <t>12982018157</t>
  </si>
  <si>
    <t>e.mazala@hotmail.com</t>
  </si>
  <si>
    <t>optou por uma empresa menor neste momento.</t>
  </si>
  <si>
    <t>Liberado em degustação por 7 dias e depois efetivar vendas .
Liberado a degustação em 12/01.
19/01: Cobrei o Mario pra saber se esta tudo ok. E se iremos seguir ou não com a contratação.
23/01 - Em conversa com o Mario, o suporte ainda esta configurando e após vai treinar e assim vou conseguir contabilizar os 7 dias de degustação e fechar o negocio.</t>
  </si>
  <si>
    <t>jp distribuidora - agenda visita</t>
  </si>
  <si>
    <t>Mario</t>
  </si>
  <si>
    <t>11982243773</t>
  </si>
  <si>
    <t>vendas1.jpdistribuidora@gmail.com</t>
  </si>
  <si>
    <t>08/01/2026 00:00</t>
  </si>
  <si>
    <t>2</t>
  </si>
  <si>
    <t>ADICIONAIS</t>
  </si>
  <si>
    <t>R$ 0</t>
  </si>
  <si>
    <t>R$ 66</t>
  </si>
  <si>
    <t>Fechado.</t>
  </si>
  <si>
    <t>aki tem  - cnpj</t>
  </si>
  <si>
    <t>Walter</t>
  </si>
  <si>
    <t>19983040748</t>
  </si>
  <si>
    <t>walter@akitembembarato.com</t>
  </si>
  <si>
    <t>Falei com o Robson hoje , questionando sobre a proposta e se tem alguma dúvida.
23/01 - Fiz FUPs hoje com o Robson :
R: Bom dia Paulo, fiz umas considerações na proposta e farei uma reunia com os diretores para apresentação, na sequência quero marcar uma reunião com vocês para conversarmos.
Eu espero te posicionar na próxima terça-feira.</t>
  </si>
  <si>
    <t>aluminio nacional</t>
  </si>
  <si>
    <t>Robson</t>
  </si>
  <si>
    <t>(11) 4677-6249/ (11) 4677-6250</t>
  </si>
  <si>
    <t>contato@aluminionacional.com.br</t>
  </si>
  <si>
    <t>FERRAZ DE VASCONCELOS</t>
  </si>
  <si>
    <t>09/01/2026 00:00</t>
  </si>
  <si>
    <t>290</t>
  </si>
  <si>
    <t>R$ 58.000</t>
  </si>
  <si>
    <t>Falei com a Enila e cobrei uma posição se vamos avançar ou não com o projeto. Ela ficou de conversar com o Glayson e me dar um retorno até 12/01/2026.</t>
  </si>
  <si>
    <t>pcp engenharia</t>
  </si>
  <si>
    <t>Enila</t>
  </si>
  <si>
    <t>(16) 3412-8794</t>
  </si>
  <si>
    <t>operacao@pcp.eng.br</t>
  </si>
  <si>
    <t>Falei com o Ivan hoje que não me deu atenção avisou que estava no transito e não podia atender. Falou para chamar ele no zap e combinar um horário semana que vem. 13/01 - Retomei contato com o IVan e não obtive retorno.
23/01 declinei a proposta por falta de interesse por parte do cliente, não me atendeu e nem respondeu meus contatos.</t>
  </si>
  <si>
    <t>afey peças</t>
  </si>
  <si>
    <t>Ivan</t>
  </si>
  <si>
    <t>11930305063</t>
  </si>
  <si>
    <t>liraivan2000@yahoo.com.br</t>
  </si>
  <si>
    <t>30%;Instagram;Fora Perfil</t>
  </si>
  <si>
    <t xml:space="preserve">(12/01/2026) Em contato com Bruno realizamos uma apresentação do força de vendas em 12/01/2026 e falamos um pouco sobre nosso ERP ! logo pediu uma ideia de investimento para seguir 
(29/01/2026) Após envio de proposta cliente não respondeu mais </t>
  </si>
  <si>
    <t>folha dourada tabacos ltda</t>
  </si>
  <si>
    <t>(32) 8408-3586</t>
  </si>
  <si>
    <t>atacabaco@gmail.com</t>
  </si>
  <si>
    <t>JUIZ DE FORA</t>
  </si>
  <si>
    <t xml:space="preserve">(29/01/2026) Após envio de proposta cliente não respondeu mais </t>
  </si>
  <si>
    <t>12/01/2026</t>
  </si>
  <si>
    <t>Realizamos a apresentação do ERP junto com o  Max seguindo o documento deles de chekilist d aderencia do software, tiraram duvidas dos processos e seguiemos para uma segunda apresentação do AFV e Do BI
26/01 Video do AFV encaminhado ao cliente, 
Precisamos de mais uma agenda para demonstração das demais soluções
26.01 - aguardando Fernando passar horas do projeto
05.02 estou tentando falar com o cliente a algum tempo,fizemos uma reunião para discutir pontos sobre o ERP. E após isso cliente pediu uma proposta comercial, porém para seguir eu precisava levantar alguns dados que não me foram enviados e depois de várias tentativas cliente não me respondeu
Após nossa reunião sobre o ERP, preparei os pontos necessários para avançarmos com a proposta comercial. No entanto, não recebi os dados solicitados para dar continuidade e, sem eles, não conseguimos evoluir.
Gostaria de reforçar que esta solução representa uma oportunidade única de crescimento e ganho de eficiência para sua empresa. Cada semana de Como não tive nenhum retorno, entendo que não há interesse em seguir neste momento e encerrarei o processo. Ainda assim, permanecerei à disposição para retomar quando considerar oportuno.
Atenciosamente,</t>
  </si>
  <si>
    <t>cls industria de produtos quimicos ltda</t>
  </si>
  <si>
    <t>CLS Química</t>
  </si>
  <si>
    <t>16996298460</t>
  </si>
  <si>
    <t>keila.graciele@clsquimica.com.br</t>
  </si>
  <si>
    <t>15/01/2026</t>
  </si>
  <si>
    <t>Tiago, retorna apena no dia 15/01, data que retomo o contato com ele.
23/01 - Fechamos negocio.</t>
  </si>
  <si>
    <t>nvt importadora</t>
  </si>
  <si>
    <t xml:space="preserve">Tiago </t>
  </si>
  <si>
    <t>11971597112</t>
  </si>
  <si>
    <t>05/01/2026 00:00</t>
  </si>
  <si>
    <t>Cobrei o André hoje aguardando o retorno sobre a evolução do projeto.
19/01 Fiz FUP com o Andre ele me posicionou que o presidente esta afastado por motivos de saúde e que como ele que decide, só na volta dele para avança. A previsão e que ele retorne na semana do dia 26/1.
07/02 Fiz fup hoje com o André e aguardo a posição dele se a diretoria retornou e se vamos seguir ou não com o projeto.</t>
  </si>
  <si>
    <t>olé alimentos</t>
  </si>
  <si>
    <t>Andre</t>
  </si>
  <si>
    <t>11982745856</t>
  </si>
  <si>
    <t>andrefelipone@olealimentos.com.br</t>
  </si>
  <si>
    <t>30%;Fabio Indica</t>
  </si>
  <si>
    <t>R$ 18.330</t>
  </si>
  <si>
    <t>11:25, 1/13/2026 +55 47 8834-5510: Bom dia Rayssa. Tudo bem?
11:25, 1/13/2026 +55 47 8834-5510: Aguarde um pouco antes de continuar a RFP.
11:25, 1/13/2026 Rayssa Karapeticov - Comercial - Guarani Sistemas: Tudo otimo e  você?
Blzinha
11:28, 1/13/2026 +55 47 8834-5510: Existem alguns itens que observei e conversei com as áreas envolvidas, e que são difícil de negociar, comparado com outros fabricantes que já estão também participando.
11:29, 1/13/2026 +55 47 8834-5510: Vamos deixar nesse momento suspenso o processo de RFP com vcs, e caso ocorra alguma mudança muito grande com aqueles que estão participando, eu aviso a necessidade de retomar ok?
11:29, 1/13/2026 +55 47 8834-5510: Agradeço demais seu tempo até aqui, e é realmente para evitar um trabalho maior agora, que tz não seja possível avançar depois.
11:30, 1/13/2026 +55 47 8834-5510: 🙏🏻🙏🏻🙏🏻🙏🏻
11:30, 1/13/2026 Rayssa Karapeticov - Comercial - Guarani Sistemas: Entendo perfeitamente, para resgistro de feedback, quais são esses pontos?
11:32, 1/13/2026 +55 47 8834-5510: Em especial itens de tecnologia, e alguns pontos das áreas de negócio já preenchidas. 
Fiz um bate papo com a equipe para olharmos oq já foi preenchido, e relacionamos com os demais fabricantes que estão participando.
11:33, 1/13/2026 Rayssa Karapeticov - Comercial - Guarani Sistemas: Certo, fico a disposição aqui caso queira continuar. 
Qualquer duvida também pode me chamar
11:33, 1/13/2026 +55 47 8834-5510: Como o objetivo é seguir a prox fase com no máx 3 fabricantes, outros fabricantes já se enquadraram melhor no que estamos buscando.
11:33, 1/13/2026 +55 47 8834-5510: Mas se algo mudar durante o processo, eu aviso. Muito obrigadoooo!!!
11:34, 1/13/2026 Rayssa Karapeticov - Comercial - Guarani Sistemas: Combinado</t>
  </si>
  <si>
    <t>Maral Industria E Comercio De Brinquedos Ltda</t>
  </si>
  <si>
    <t>maral</t>
  </si>
  <si>
    <t xml:space="preserve">Carlos Alberto Kuehl  </t>
  </si>
  <si>
    <t>(47) 3387-5400/ (47) 3394-0982</t>
  </si>
  <si>
    <t>contato@maral.ind.br</t>
  </si>
  <si>
    <t>POMERODE</t>
  </si>
  <si>
    <t>Feiras;30%;Dentro Perfil</t>
  </si>
  <si>
    <t>Falei com o Kleber hoje novamente e estou aguardando ele me dar um retorno sobre agenda. 13/01 - Fiz contato com o Kleber para saber se tem interesse ou não em seguir,</t>
  </si>
  <si>
    <t>loggix serviços material escolar</t>
  </si>
  <si>
    <t>Kleber</t>
  </si>
  <si>
    <t>11991898161</t>
  </si>
  <si>
    <t>kleber.ppbh@gmail.com</t>
  </si>
  <si>
    <t>Falei Com Omar hoje 12/01 e ele falou que retorna de viagem dia 15/01 e é para procurá-lo.
23/01 Fiz FUP hoje como o Omar, para avançar com uma agenda na quinta ou sexta da semana do dia 26/01. Aguardando o retorno do cleinte.</t>
  </si>
  <si>
    <t>zini home</t>
  </si>
  <si>
    <t>Zini home</t>
  </si>
  <si>
    <t>12997937887</t>
  </si>
  <si>
    <t>omar@zinihome.com.br</t>
  </si>
  <si>
    <t>Fernando , esta de féria e só vamos conseguir realizar o bate-papo após o seu retorno. O previsto é no dia 16/01/2026.
23/01 Fiz FUP hoje com o Fernando para agendar uma reunião na semana que vem , na quarta ou quinta.
05/02 Fiz FUP hoje com o Fernando, e ele cancelou a nossa reunião das 10h. Fiz uma nova agenda para o dia 11/02 às 15h!</t>
  </si>
  <si>
    <t>Russa Diatribuidora</t>
  </si>
  <si>
    <t>11991303160</t>
  </si>
  <si>
    <t>fernando@russadistribuidora.com.br</t>
  </si>
  <si>
    <t>Após conversa com Everaldo ele informou que el loja de varejo e não vamos atender varejo em 2026</t>
  </si>
  <si>
    <t>riofix parafuso</t>
  </si>
  <si>
    <t xml:space="preserve">Everaldo </t>
  </si>
  <si>
    <t>(21) 96439-0742</t>
  </si>
  <si>
    <t>e.leonardojr@hotmail.com</t>
  </si>
  <si>
    <t>Rio de Janeiro</t>
  </si>
  <si>
    <t>Falei com o Joao hoje 12/01 e combinamos de conversa na segunda dia 15/01.
23/01 Fiz FUP hoje com o João para agendar uma apresentação na próxima semana.</t>
  </si>
  <si>
    <t xml:space="preserve">stok frios </t>
  </si>
  <si>
    <t xml:space="preserve">João </t>
  </si>
  <si>
    <t>(17) 98126-9337</t>
  </si>
  <si>
    <t>joao@stokfrios.com.br</t>
  </si>
  <si>
    <t>Solicita demo;Contato;30%</t>
  </si>
  <si>
    <t>Novos Leads (0%)</t>
  </si>
  <si>
    <t xml:space="preserve">(14/01/2026)Em contato com Marcelo para entender mais sobre sua empresa e necessidades 
(20/01/2026) em contato com André, sua confecção é de camisetas, uniformes, bonés ! existem algumas particularidades que necessitam no software como grades de cores e tamanhos e algumas particularidades para confecção ! atende cliente final B2C ! cliente de operação pequena que não esta na hora de embarcar com Guarani devido ao valor de investimento </t>
  </si>
  <si>
    <t>atacadão delfino</t>
  </si>
  <si>
    <t>Atacado Delfino</t>
  </si>
  <si>
    <t>51986006121</t>
  </si>
  <si>
    <t>dhcamisetas@terra.com.br</t>
  </si>
  <si>
    <t>(14/01/2026) Após tentativa por ligação foi efetuado tentativa de contato via WhatsApp conforme mensagem abaixo : 
(16/01/2026) tentei novamente contato via telefone com Nykollas porem sem retorno ! estou declinando oportunidade
16:31, 12/01/2026 Junior Lopes: Olá Nycollas , boa tarde
16:32, 12/01/2026 Junior Lopes: Sou Junior Lopes da Guarani sistemas! Td bem ?
11:56, 14/01/2026 Junior Lopes: Olá Boa tarde !  
Estamos retornando seu contato sobre nossas soluções em ERP ! Qual melhor horário para falarmos ?</t>
  </si>
  <si>
    <t>bk comercio</t>
  </si>
  <si>
    <t>BK COMÉRCIO LTDA</t>
  </si>
  <si>
    <t>92988541804</t>
  </si>
  <si>
    <t>nykollaskelvyn86@gmail.com</t>
  </si>
  <si>
    <t>Não consegui retorno nem contato</t>
  </si>
  <si>
    <t>fisiohosp</t>
  </si>
  <si>
    <t>6596658787</t>
  </si>
  <si>
    <t>contabilfisio2024@gmail.com</t>
  </si>
  <si>
    <t>cliente marcou uma reunião na sexta porém não entrou no link estou tentando reagendar mas não deu retorno</t>
  </si>
  <si>
    <t>vida fitness</t>
  </si>
  <si>
    <t>71996614629</t>
  </si>
  <si>
    <t>vidafitness@outlook.com.br</t>
  </si>
  <si>
    <t>Bom dia Luan, como vai?
Estou tentando contato com você para entender sua solicitação para conhecer nossos sistemas.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
Vou deixar uma apresentação de nossa empresa e quando tiver um tempo disponivel por retornar o contato</t>
  </si>
  <si>
    <t>hortodasacacias</t>
  </si>
  <si>
    <t>HORTODASACACIAS</t>
  </si>
  <si>
    <t>21966014543</t>
  </si>
  <si>
    <t>financeiro1@hortodasacacias.com.br</t>
  </si>
  <si>
    <t>Empresa fora do perfil, vendem produto porta a porta e o contato é  vendedor</t>
  </si>
  <si>
    <t>devons hair</t>
  </si>
  <si>
    <t>(41) 9900-2255 / (41) 8428-6900 / (18) 3361-4423</t>
  </si>
  <si>
    <t>denilribeiro@gmail.com</t>
  </si>
  <si>
    <t>CAMPO LARGO</t>
  </si>
  <si>
    <t>Hoje 13/01 busquei agenda com o Ricardo sem sucesso.
23/01 Fiz FUP hoje com o Ricardo para saber se ele quer ou nao seguir , pois ele não retorna os mus contatos.
23/01 o numero estava errado , consegui o numero certo e retomei os contatos sem sucesso no retorno ainda. 
07/02 Após diversas tentativa de contato com o Ricardo sem sucesso estou declinando a oportunidade.</t>
  </si>
  <si>
    <t>deltamed comercio</t>
  </si>
  <si>
    <t>Deltamed Comércio e Servicos Ltda</t>
  </si>
  <si>
    <t>51997766708</t>
  </si>
  <si>
    <t>rrnnaa@gmail.com</t>
  </si>
  <si>
    <t>07/02 Após diversas tentativa de contato com o Ricardo sem sucesso estou declinando a oportunidade.</t>
  </si>
  <si>
    <t>Bom dia Adelita, como vai?
Estou tentando contato com você para entender sua solicitação para conhecer nossos sistemas.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
Vou deixar uma apresentação de nossa empresa e quando tiver um tempo disponivel por retornar o contato</t>
  </si>
  <si>
    <t>alpinpro</t>
  </si>
  <si>
    <t>(35) 9125-9412</t>
  </si>
  <si>
    <t>adelita@alpinpro.com.br</t>
  </si>
  <si>
    <t>VARGINHA</t>
  </si>
  <si>
    <t>tapecaria e acessorios maraba</t>
  </si>
  <si>
    <t>Suprema</t>
  </si>
  <si>
    <t>4130959299</t>
  </si>
  <si>
    <t>ordelo01@jotmail.com</t>
  </si>
  <si>
    <t>carlinhos doces artesanais</t>
  </si>
  <si>
    <t>Carlinhos Doces Artesanais</t>
  </si>
  <si>
    <t>41997238911</t>
  </si>
  <si>
    <t>carlinhosrepresentacao24@gmail.com</t>
  </si>
  <si>
    <t>kuff consultoria</t>
  </si>
  <si>
    <t>Kuff Consultoria</t>
  </si>
  <si>
    <t>42998191259</t>
  </si>
  <si>
    <t>thiagokuf@hotmail.com</t>
  </si>
  <si>
    <t>renato de mattos malaquias</t>
  </si>
  <si>
    <t>RENATO DE MATTOS MALAQUIAS</t>
  </si>
  <si>
    <t>(21) 99470-2428</t>
  </si>
  <si>
    <t>representacoesvendas02@gmail.com</t>
  </si>
  <si>
    <t>Nova Iguaçu</t>
  </si>
  <si>
    <t>Contato;Instagram;Fora Perfil</t>
  </si>
  <si>
    <t>ana maria fonseca garcia</t>
  </si>
  <si>
    <t>Ana Maria Fonseca Garcia</t>
  </si>
  <si>
    <t>18998215566</t>
  </si>
  <si>
    <t>garciacontabilidade15@gmail.com</t>
  </si>
  <si>
    <t>ricieri maquinas &amp; ferramentas</t>
  </si>
  <si>
    <t>Ricieri Locacoes e Serviços</t>
  </si>
  <si>
    <t>27999479659</t>
  </si>
  <si>
    <t>diego@ricieri.net.br</t>
  </si>
  <si>
    <t xml:space="preserve">fora do perfil </t>
  </si>
  <si>
    <t xml:space="preserve">Cliente entrou em contato pedindo apresentação de nossas solução de AFV 
Reuão agendada para segunda as 14h
26-01 proposta está em analise pela diretoria 
29-01 Boa tarde, Tiago! Espero que esteja bem.
No dia 19/01 encaminhamos à sua equipe a proposta comercial da Guarani Sistemas, que contempla uma condição exclusiva para evolução tecnológica e automação da força de vendas.
Com o Guarani AFV, aliado à assistente virtual Iara e ao módulo de orçamento web, sua empresa terá:
Automação completa da equipe de vendas, com acompanhamento de objetivos e indicadores em tempo real;
Aumento de produtividade e faturamento, reduzindo rupturas no ponto de venda;
Dashboard inteligente para análise de desempenho e curva ABC de produtos;
Integração simplificada com o ERP, garantindo maior agilidade e menos retrabalho.
Além disso, oferecemos condições comerciais diferenciadas, incluindo implantação com mentoria especializada e mensalidade ajustada ao perfil da sua operação.
Diante de todos esses benefícios, gostaria de entender: o que falta para avançarmos juntos e garantir essas vantagens para sua equipe?
05.02Retornou que estão em analise pela diretoria previsão de retorno para proxima semana </t>
  </si>
  <si>
    <t>Alfa Seven Embalagens Industria E Comercio Ltda</t>
  </si>
  <si>
    <t>alfa seven embalagens industria e comercio ltda</t>
  </si>
  <si>
    <t xml:space="preserve">(35) 3435-2255 </t>
  </si>
  <si>
    <t>luizhenrique@julianicontabilidade.com.br</t>
  </si>
  <si>
    <t>50%;Dentro Perfil</t>
  </si>
  <si>
    <t>Fernando, esta avaliando outros produtos e terei um retorno na próxima semana dia 15/01, que decide é a Luciana.
23/01 Fiz FUP hoje com o Fernando o mesmo ainda não respondeu, perguntei o que nos impede de seguir?</t>
  </si>
  <si>
    <t>casa amiga - b2b</t>
  </si>
  <si>
    <t>Fernando e Luciana</t>
  </si>
  <si>
    <t>18997715980</t>
  </si>
  <si>
    <t>comercial@casamiga.com.br</t>
  </si>
  <si>
    <t>13/01/2026 00:00</t>
  </si>
  <si>
    <t xml:space="preserve">em contato com Sr. Barbosa !
atualmente tem 02 lojas físicas e esta fora do nosso perfil de atendimento  </t>
  </si>
  <si>
    <t>casa bom dia</t>
  </si>
  <si>
    <t>Casa bom dia bricolagem ltda</t>
  </si>
  <si>
    <t>16981830404</t>
  </si>
  <si>
    <t>casabomdiabricolagem@gmail.com</t>
  </si>
  <si>
    <t>Boa tarde Rogério, como vai? 
Meu nome é Rayssa, sou do setor comercial e relacionamento da Guarani Sistemas.
Recebi seu contato interessado em nossas soluções, você prefere que eu te ligue ou quer tratar por aqui?
Aguardando retorno,liguei e não atendeu
13.02 novamente disse que não podia falar que era para entrar em contato em outro momento</t>
  </si>
  <si>
    <t>wb engenharia</t>
  </si>
  <si>
    <t>WB Engenharia</t>
  </si>
  <si>
    <t>67999299440</t>
  </si>
  <si>
    <t>rogerio@wbmanutencao.com.br</t>
  </si>
  <si>
    <t>Fiz contato hoje mais o cliente já não estava na empresa, vamos falar amanha 14/01
23/01 Fiz FUp hoje com a Jessica, para buscar agenda na proxima semana.</t>
  </si>
  <si>
    <t>central eletrica solar</t>
  </si>
  <si>
    <t>JESSICA</t>
  </si>
  <si>
    <t>(38) 99730-0736</t>
  </si>
  <si>
    <t>centraleletricasolar@gmail.com</t>
  </si>
  <si>
    <t>Falei com o cliente ele possui uma loja de embalagens (estilo Plasticap), levantei as informações dele e agendamos uma demonstração para amanhã as 9h
19/01- Olá Ederaldo, tudo bem?
No dia 15/01 encaminhamos a proposta de investimento para o Guarani ERP, contemplando os serviços de ERP + PDV, com foco na evolução tecnológica e no crescimento da sua empresa.
Para avançarmos, gostaria de entender como foi sua análise e qual o investimento previsto para o software, assim conseguimos alinhar expectativas e próximos passos.
Quando seria um bom momento para conversarmos?
26/01 - Após envio e apresentação da proposta comercial cliente não deu retorno. 
Encerrando contato
Oi Ederaldo, tudo bem?
No dia 15/01 te enviei uma proposta que poderia mudar os rumos do seu negócio. Como não tivemos retorno, estou encerrando nosso contato.
Quero deixar claro: essa não era apenas mais uma oferta, mas uma oportunidade única que dificilmente vai se repetir. Ao não avançar, você está deixando escapar aquilo que poderia ser o divisor de águas para sua empresa.
Desejo sucesso nos seus próximos passos!</t>
  </si>
  <si>
    <t>marques embalagens</t>
  </si>
  <si>
    <t>Marques Embalagens</t>
  </si>
  <si>
    <t>16992159372</t>
  </si>
  <si>
    <t>marquesembalagens@hotmail.com</t>
  </si>
  <si>
    <t>Instagram;Dentro Perfil</t>
  </si>
  <si>
    <t>16/01/2026</t>
  </si>
  <si>
    <t>valport cloud</t>
  </si>
  <si>
    <t>Kelly</t>
  </si>
  <si>
    <t>12974030134</t>
  </si>
  <si>
    <t>MKT@VALPORT.COM.BR</t>
  </si>
  <si>
    <t>7</t>
  </si>
  <si>
    <t>R$ 1.600</t>
  </si>
  <si>
    <t>R$ 3.844,54</t>
  </si>
  <si>
    <t>Feito contato com o Vinicius afim de qualificar o LEAD.
23/01 Fiz FUp hoje com o Vinicius para saber se e possível a nossa agenda na semana que vem na quinta feira.
07/02 Fiz FUP com o Vinicius e avise que por falta de contato estou declinando a oportunidade e em caso de interesse retornamos o contato.</t>
  </si>
  <si>
    <t>vinicius monteiro</t>
  </si>
  <si>
    <t>MVF Lavadoras</t>
  </si>
  <si>
    <t>35998687836</t>
  </si>
  <si>
    <t>ti@mvflavadoras.com.br</t>
  </si>
  <si>
    <t>07/02 Fiz FUP com o Vinicius e avise que por falta de contato estou declinando a oportunidade e em caso de interesse retornamos o contato.</t>
  </si>
  <si>
    <t>Visita amanha em São Paulo no cliente
23/01 - fechamos negocio.</t>
  </si>
  <si>
    <t>cloud nvt</t>
  </si>
  <si>
    <t>14/01/2026 00:00</t>
  </si>
  <si>
    <t>panveiga</t>
  </si>
  <si>
    <t>Panveiga</t>
  </si>
  <si>
    <t>(83) 3343-3391 / (83) 3343-3391</t>
  </si>
  <si>
    <t>CAMPINA GRANDE</t>
  </si>
  <si>
    <t xml:space="preserve">(20/01/2026) efetuei tentativa de ligação e mensagem no WhatsApp a fim de alinhar em bate papo com Ismael e entender suas necessidades , porem cliente não responde aos contatos </t>
  </si>
  <si>
    <t>autõnomo</t>
  </si>
  <si>
    <t>Autônomo</t>
  </si>
  <si>
    <t>27999362925</t>
  </si>
  <si>
    <t>continente.of@gmail.com</t>
  </si>
  <si>
    <t xml:space="preserve">porte pequeno </t>
  </si>
  <si>
    <t>quimica haller ltda</t>
  </si>
  <si>
    <t>Haller Farmacêutica</t>
  </si>
  <si>
    <t>21994011336</t>
  </si>
  <si>
    <t>marcelo.uchoa@haller.ind.br</t>
  </si>
  <si>
    <t>(20/01/2026)  09:04, 20/01/2026 Junior Lopes: Olá Cláudio ! Bom dia
17:23, 27/01/2026 Claudio Teixeira: Boa tarde essa semana estou fora da empresa
17:23, 27/01/2026 Claudio Teixeira: Semana que vem falamos
17:32, 27/01/2026 Junior Lopes: Perfeito Claudio ! abraço 
09:06, 20/01/2026 Claudio Teixeira: Bom dia
09:07, 20/01/2026 Junior Lopes: Td bem ? Vc entrou em contato com a Guarani sistemas, gostaria de marcar um horário para batermos um papo e entender melhor suas necessidades
09:08, 20/01/2026 Junior Lopes: Qual melhor horário para você?
09:08, 20/01/2026 Claudio Teixeira: Pode ser às 11:30
09:10, 20/01/2026 Junior Lopes: Ótimo, vou Estar terminando uma apresentação! Pode ser que atrase uns 15 minutos para ligar
09:11, 20/01/2026 Claudio Teixeira: Ok</t>
  </si>
  <si>
    <t>claudio texeira</t>
  </si>
  <si>
    <t xml:space="preserve">Claudio Teixeira </t>
  </si>
  <si>
    <t>(43) 99669-3593</t>
  </si>
  <si>
    <t>claudioteixeirasap@hotmail.com</t>
  </si>
  <si>
    <t>CONSELHEIRO MAIRINCK</t>
  </si>
  <si>
    <t>20/01/2026</t>
  </si>
  <si>
    <t>Apresentação agendada para 27/01/2026 - 15:00 horas
26/01 - reunião agendada para amanhã, aguardand confirmação
27/01 - cliente não confirmou nem entrou na reunião
28/01 - Oi Renato, tudo bem?
No dia 27/01 tinhamos uma agenda de apresentação que poderia mudar os rumos do seu negócio. Como não tivemos retorno, estou encerrando nosso contato.
Quero deixar claro: essa não era apenas mais uma oferta, mas uma oportunidade única que dificilmente vai se repetir. Ao não avançar, você está deixando escapar aquilo que poderia ser o divisor de águas para sua empresa.
Desejo sucesso nos seus próximos passos!</t>
  </si>
  <si>
    <t>recanto agricola</t>
  </si>
  <si>
    <t>Recanto Agricola</t>
  </si>
  <si>
    <t>17999791171</t>
  </si>
  <si>
    <t>recantoagricola@gmail.com</t>
  </si>
  <si>
    <t xml:space="preserve">(19/01/2026) reunião de apresentação agendada para 20/01/2026
(26/01/2026) 
Olá Mauricio ! tudo bem ?
Como não recebi o seu retorno sobre o questionário após nossa apresentação, imagino que as prioridades tenham mudado por aí ou que este não seja o momento ideal para avançarmos com a proposta da Guarani Sistemas.
Para não sobrecarregar sua caixa de entrada, estou encerrando o seu processo aqui no meu sistema por enquanto.
Caso seus planos mudem no futuro, meus contatos continuam os mesmos. Desejo sucesso em seus projetos.
Após mensagem enviada Mauricio compartilhou áudio dizendo que achou investimento muito alto e que no futuro vamos voltar a falar </t>
  </si>
  <si>
    <t>maurício jorge lima</t>
  </si>
  <si>
    <t xml:space="preserve">Maurício Jorge lima </t>
  </si>
  <si>
    <t>(93) 8406-4995</t>
  </si>
  <si>
    <t>mauriciojlatm@gmail.com</t>
  </si>
  <si>
    <t>ITAITUBA</t>
  </si>
  <si>
    <t>PA</t>
  </si>
  <si>
    <t>Contato;Dentro Perfil</t>
  </si>
  <si>
    <t>: Preço muito alto</t>
  </si>
  <si>
    <t>max club</t>
  </si>
  <si>
    <t>Max club</t>
  </si>
  <si>
    <t>3194371833</t>
  </si>
  <si>
    <t>willian.portodasilva8@gmail.com</t>
  </si>
  <si>
    <t>Liguei para o Gerson o mesmo não atendeu deixei msg no whatsapp.
23/01 Foi feito apresentação para o cliente do institucional e AFV.  em resumo, a apresentação foi direcionada para a importadora DINATALE (Diego). Porém entrou na reunião a CASAART (William) e também o Mauricio cuja a empresa ainda não conheço. O Gerson (consultor0 que esta conduzindo o projeto participou e informou que são 5 empresa no total, a ideia é conseguir colocar o sistema nas 5 empresas. 
O próximo passo é fazer uma nova agenda para a semana do dia 26/01, para apresentar o sistema novamente para uma equipe maior e expandido com o módulo OCMEX, ERP, REP+ E CONTABIL.
13/02 Esse negócio está sendo tratado nas proposta da Iracema, Dinatale, Casart e MCFlores.</t>
  </si>
  <si>
    <t>ramfisa participacoes e investimentos s/a</t>
  </si>
  <si>
    <t>Gerson Baesso</t>
  </si>
  <si>
    <t>(49) 98872-0298</t>
  </si>
  <si>
    <t>consultor01@visionway.com.br</t>
  </si>
  <si>
    <t>Nova Aurora</t>
  </si>
  <si>
    <t>ERP, AFV, BI</t>
  </si>
  <si>
    <t>29/01 - retornar após o carnaval</t>
  </si>
  <si>
    <t>Helena reis</t>
  </si>
  <si>
    <t>(47) 3344-3239</t>
  </si>
  <si>
    <t>vendas@diceart.com.br</t>
  </si>
  <si>
    <t>30%;Dentro Perfil</t>
  </si>
  <si>
    <t>Telefone cadastrado eé de um mercado</t>
  </si>
  <si>
    <t>bem bom pescados</t>
  </si>
  <si>
    <t>Bem bom pescados</t>
  </si>
  <si>
    <t>6233899200</t>
  </si>
  <si>
    <t>edinho@grupo3ebr.com.br</t>
  </si>
  <si>
    <t xml:space="preserve">(23/01/2026) Sérgio não respondeu as minhas mensagens ! estou descartando de falta de retorno do cliente </t>
  </si>
  <si>
    <t>possani mix</t>
  </si>
  <si>
    <t>Possani mix</t>
  </si>
  <si>
    <t>11971375421</t>
  </si>
  <si>
    <t>possanimix@gmail.com</t>
  </si>
  <si>
    <t xml:space="preserve">Supermercado fora do perfil </t>
  </si>
  <si>
    <t>bombemi comercial ltda</t>
  </si>
  <si>
    <t>Bombemi</t>
  </si>
  <si>
    <t>11959925385</t>
  </si>
  <si>
    <t>adminitrativo@bombemi.com.br</t>
  </si>
  <si>
    <t>MILENE DIAS</t>
  </si>
  <si>
    <t>(11) 95992-5385</t>
  </si>
  <si>
    <t>administrativo@bombemi.com.br</t>
  </si>
  <si>
    <t>Solicita demo;Dentro Perfil</t>
  </si>
  <si>
    <t>14:08, 21/01/2026 Junior Lopes: Olá Edmilson, boa tarde ! Aqui é Junior da Guarani sistemas, Td bem ?
(26/01/2026) Ola Edmilson, bom dia tudo bem ? 
Sobre as soluções em software ERP e Força de vendas Guarani ! Tem interesse em conhecer? 
21/01/2026 - envio de Aúdio me apresentando e solicitando data para falarmos 
15:30, 23/01/2026 Junior Lopes: Olá Edmilson, boa tarde
17:08, 27/01/2026 Junior Lopes: Olá, Edmilson! Como não conseguimos evoluir nossa conversa nos últimos dias, entendo que talvez este não seja o momento ideal para focarmos na Solução ERP e Força de vendas. Estou encerrando o seu processo por aqui para não lotar sua caixa de entrada. Vou deixar seu contato salvo e, assim que suas prioridades mudarem, sinta-se à vontade para me chamar</t>
  </si>
  <si>
    <t>edy distribuidora d alimentos</t>
  </si>
  <si>
    <t>Édy Distribuidora de Alimentos</t>
  </si>
  <si>
    <t>12997313349</t>
  </si>
  <si>
    <t>edmilson.goulart1@gmail.com</t>
  </si>
  <si>
    <t>22/01/2026 Rayssa Karapeticov - Comercial - Guarani Sistemas: Bom dia Roberto, como vai? 
29/01 Ok, entendi o objeto. Vejo que não estaremos aptos a fazer o investimento com a sua empresa.
Fica agradecido.
Obrigado pela franqueza e informações.
É a Rayssa da Guarani Sistemas 
recebi seu contato para falar de nossas soluções, você prefere que eu te ligue ou trate por aqui?
12:34, 22/01/2026 +55 62 8181-2473: Bom dia!
Pode ser por aqui...
15:40, 22/01/2026 Rayssa Karapeticov - Comercial - Guarani Sistemas: Perfeito, me passa o que esta procurando de solução de software e como posso te ajudar?
26/01/2026 Rayssa Karapeticov - Comercial - Guarani Sistemas: Bom dia Roberto como vai?
Para que possamos avançar, preciso entende um pouco da sua empresa e como as soluções da Guarani Sistemas podem potencializar seus processos e faturamento. 
Podemos conversar?
27-01 Bom dia Roberto, tudo bem?
Ainda tem interesse em seguir com uma solução técnologica para sua empresa?
28/01 Somos uma empresa distribuição de secos e molhados.
Faturamento médio de 350 mil mês
Trabalhamos com venda direta e pré-venda.
7 vendedores externos
5 usuário do ERP interno.
Certo, quantos CNPJs?
2 CNPJ
vocês precisam controlar lote e validade?
É interessante, embora não estamos fazendo. Por isso a mudança de ERP...</t>
  </si>
  <si>
    <t>acn comercial</t>
  </si>
  <si>
    <t>MSRAC</t>
  </si>
  <si>
    <t>62981812473</t>
  </si>
  <si>
    <t>roberto@msrac.com.br</t>
  </si>
  <si>
    <t>28/01/2026</t>
  </si>
  <si>
    <t>27/01/2026</t>
  </si>
  <si>
    <t>29/01/2026</t>
  </si>
  <si>
    <t>mundo das águas turismo</t>
  </si>
  <si>
    <t>Mundo Das Águas Turismo</t>
  </si>
  <si>
    <t>4599648080</t>
  </si>
  <si>
    <t>mundodasaguasturismo@gmail.com</t>
  </si>
  <si>
    <t>23/01/2026 Enviei mensagem para Adriano me apresentando, aguardando resposta para agendar um bate papo 
(26/01/2026) buscando contato, enviei áudio buscando o melhor momento para falarmos sobre as soluções 
(29/01/2026) Após tentativas de contato sem sucesso estou desacatando oportunidade !
Olá Adriano ! Td bem ? 
Tentei contato com você sobre nossas soluções ! Porém não tivemos sucesso no contato, acredito que você esteja com outras prioridades nesse momento 
Para não ficar incomodando vou descartar nosso contato por aqui ! Vou deixar seu contato salvo se suas prioridades mudarem me chame por favor 
Abraço</t>
  </si>
  <si>
    <t>bral-max industria e comercio de plasticos ltda</t>
  </si>
  <si>
    <t>Bral-Max Ind.Com.Plasticos Ltda</t>
  </si>
  <si>
    <t>24999136531</t>
  </si>
  <si>
    <t>adriano@bral-max.com.br</t>
  </si>
  <si>
    <t>(29/01/2026) Após tentativas de contato sem sucesso estou desacatando oportunidade !</t>
  </si>
  <si>
    <t xml:space="preserve">tentativa de contato
26/01 - Faz venda porta a porta e tem PDV 
13.02 Tentei contato por ligação e não atendeu
É um cliente que eu já havia conversado e faz venda PAP, atualmente o Guarani não atende ao que procura 
Fora do perfil </t>
  </si>
  <si>
    <t>multiple business service</t>
  </si>
  <si>
    <t>Multiple business service</t>
  </si>
  <si>
    <t>19971619676</t>
  </si>
  <si>
    <t>thomazdistribuidora@gmail.com</t>
  </si>
  <si>
    <t>23/01 Apresentar o sistema ERP + AFV hoje as 14h para o Gerson (consultor)
23/01 23/01 Foi feito apresentação para o cliente do institucional e AFV.  em resumo, a apresentação foi direcionada para a importadora DINATALE (Diego). Porém entrou na reunião a CASAART (William) e também o Mauricio cuja a empresa ainda não conheço. O Gerson (consultor0 que esta conduzindo o projeto participou e informou que são 5 empresa no total, a ideia é conseguir colocar o sistema nas 5 empresas. 
O próximo passo é fazer uma nova agenda para a semana do dia 26/01, para apresentar o sistema novamente para uma equipe maior e expandido com o módulo OCMEX, ERP, REP+ E CONTABIL.
06/02 Fiz FUP hoje com o Gerson consultor e apresentei a proposta.  Na sequência ele vai falar com o a diretoria para agendar uma nova reunião de discursão de valores.</t>
  </si>
  <si>
    <t xml:space="preserve">Gerson </t>
  </si>
  <si>
    <t>(49) 9945-2608</t>
  </si>
  <si>
    <t>contabilizar.atendimento@gmail.com</t>
  </si>
  <si>
    <t>FLOR DO SERTAO</t>
  </si>
  <si>
    <t>270</t>
  </si>
  <si>
    <t>ERP, AFV, BI, WMS, COMEX, ADICIONAIS</t>
  </si>
  <si>
    <t>R$ 65.502,90</t>
  </si>
  <si>
    <t>R$ 17.071,80</t>
  </si>
  <si>
    <t>23/01 Fiz FUP hoje com o Junior e o mesmo mencionou que a diretoria achou o valor da mensalidade alta. falou que tem contrato fechado com a GETT com mensal de R$900,00.
Falar com o Fábio e negociar melhor essa questão.</t>
  </si>
  <si>
    <t>sultex comex</t>
  </si>
  <si>
    <t>junior@tiinfra.com.br</t>
  </si>
  <si>
    <t>BaseGua</t>
  </si>
  <si>
    <t>23/01/2026 00:00</t>
  </si>
  <si>
    <t>20</t>
  </si>
  <si>
    <t>COMEX</t>
  </si>
  <si>
    <t>R$ 10.000</t>
  </si>
  <si>
    <t>R$ 2.000</t>
  </si>
  <si>
    <t>23/01 Fiz FUP com a Simone e o próximo asso e fazer a proposta.
A principal dor do cliente é centralizar a operação em um único sistema, garantindo maior fluidez nos processos, redução de falhas de integração e ganho de produtividade, principalmente nas áreas comercial, faturamento e backoffice.
06/02 Foi apresentado a proposta, que esta sob-analsie da diretoria.</t>
  </si>
  <si>
    <t>toy e home importadora e distribuidora ltda</t>
  </si>
  <si>
    <t>Simone</t>
  </si>
  <si>
    <t>(49) 3322-8576 / (49) 3644-0850</t>
  </si>
  <si>
    <t>toyehome@toyehome.com.br</t>
  </si>
  <si>
    <t>CHAPECO</t>
  </si>
  <si>
    <t>320</t>
  </si>
  <si>
    <t>ERP, AFV, ADICIONAIS</t>
  </si>
  <si>
    <t>R$ 79.311,16</t>
  </si>
  <si>
    <t>R$ 6.145,44</t>
  </si>
  <si>
    <t>26/01 - é uma industria e esta buscando software de gestão da empresa. 
Estou tentando marcar reunião mas o cliente não atende
27/01 - Bom dia Micael, tudo bem?
Ainda tem interesse em seguir com uma solução técnologica para sua empresa?</t>
  </si>
  <si>
    <t>lcosmeticos</t>
  </si>
  <si>
    <t>Lcosmeticos</t>
  </si>
  <si>
    <t>11957608058</t>
  </si>
  <si>
    <t>carriaomicael@gmail.com</t>
  </si>
  <si>
    <t xml:space="preserve">(27/01/2026) em contato com Thales , ficamos de falar por telefone as 11;30 horas do dia 27/01
(27/01/2026) Reunião de apresentação primeira Etapa AFV em 28/01/2026 as 14 horas 
(28/01/2026) apresentação do força de vendas na integra e vídeos do força de vendas 
cliente pediu para seguirmos com proposta comercial para ver se está dentro do sua previsão de investimento </t>
  </si>
  <si>
    <t>minas mix</t>
  </si>
  <si>
    <t>MINAS MIX</t>
  </si>
  <si>
    <t>3194143043</t>
  </si>
  <si>
    <t>thales_david@hotmail.com</t>
  </si>
  <si>
    <t>BELO HORIZONTE</t>
  </si>
  <si>
    <t xml:space="preserve">Usa o sistema da Linx, é um armazem de bebida e fazvendas por Zé delivery e Ifood. </t>
  </si>
  <si>
    <t>brasa e malte</t>
  </si>
  <si>
    <t>Brasa e Malte</t>
  </si>
  <si>
    <t>31997703979</t>
  </si>
  <si>
    <t>jsamaurin@gmail.com</t>
  </si>
  <si>
    <t>17:09, 26/01/2026 Junior Lopes: Olá Leonan ! Boa tarde 
Sou Junior Lopes da Guarani sistemas, Td bem ?
17:11, 26/01/2026 Leonan: opa boa tarde
09:05, 27/01/2026 Junior Lopes: Olá Leonan, bom dia tudo bem ?
09:06, 27/01/2026 Junior Lopes: podemos bater um papo por telefone hoje as 14 horas ? a ideia é entender suas necessidades e te apresentar uma solução para te ajudar
17:25, 27/01/2026 Junior Lopes: Olá, Leonan! Como não conseguimos evoluir nossa conversa nos últimos dias, entendo que talvez este não seja o momento ideal para focarmos na Solução ERP e Força de vendas. Estou encerrando o seu processo por aqui para não lotar sua caixa de entrada. Vou deixar seu contato salvo e, assim que suas prioridades mudarem, sinta-se à vontade para me chamar</t>
  </si>
  <si>
    <t>leme</t>
  </si>
  <si>
    <t>Leme</t>
  </si>
  <si>
    <t>11976239673</t>
  </si>
  <si>
    <t>leonamj@gmail.com</t>
  </si>
  <si>
    <t>14:32, 1/26/2026 Rayssa Karapeticov - Comercial - Guarani Sistemas: Boa tarde, Adriano, como vai? 
É a Rayssa da Guarani Sistemas 
recebi seu contato para falar de nossas soluções, você prefere que eu te ligue ou trate por aqui?
15:53, 1/26/2026 +55 16 99614-4458: AMANHÃ ENTRO EM CONTATO
15:54, 1/26/2026 Rayssa Karapeticov - Comercial - Guarani Sistemas: Perfeito, aguardo retorno
09:53, 1/27/2026 Rayssa Karapeticov - Comercial - Guarani Sistemas: Bom dia Adriano, tudo bem? 
Conseguimos falar hoje?
05.02 - Sem retorno do cliente Sem retorno do cliente 
17.02Usa um  sistema do Rio grande do Sul Nova gestor e tem duas dificuldades 
Não comunica com o banco C6Bank 
Ordem de produção 
São uma indústria química por batelada 
Várias tipos de embalagem 
Adesivos industriais 
Minas Gerais - 
8 RCA 
3 pessoas 
Atualmente pagar R$290,00 por mes com todos esses acessos, então fica inviavel a contratação</t>
  </si>
  <si>
    <t>kicollaadesivos.com.br</t>
  </si>
  <si>
    <t>Kicollaadesivos.com.br</t>
  </si>
  <si>
    <t>16996144458</t>
  </si>
  <si>
    <t>adrianosoaresm@yahoo.com.br</t>
  </si>
  <si>
    <t>contato realizado com o Alexanre, sem sucesso. Deixei msg no zap para faalrmos amanha!
28/01 Fiz FUP hoje com o Alexandre, sem sucesso. Deixei novamente recado no whatsapp e e-mail!</t>
  </si>
  <si>
    <t>giacom distribuidora de pecas ltda</t>
  </si>
  <si>
    <t>Giacom Distribuidora Ltda</t>
  </si>
  <si>
    <t>11918764203</t>
  </si>
  <si>
    <t>alexandre@giacomdistribuidora.com.br</t>
  </si>
  <si>
    <t>Fiz o primeiro contato com a Maria e agendamos amanhã às 14h.
28/01 Fiz FUP hoje com a maria sem sucesso. Liguei não atendeu , deixei recado no whats app e estou aguardando retorno.
28/01 Consegui fazer a apresentação institucional para a Maria. O próximo passo é enviar a proposta !
06/02 Fiz uma reunião onde apresentei a proposta. A Maria, foi bem objetiva e falou que o valor ficou bem acima dos demais concorrentes, mesmo assim ela vai ter uma reunião com a diretoria na próxima semana e me retorna se seguiremos ou não!</t>
  </si>
  <si>
    <t>Maria</t>
  </si>
  <si>
    <t>(11) 97129-2472</t>
  </si>
  <si>
    <t>financeiro@autovolth.com.br</t>
  </si>
  <si>
    <t>Solicita demo;50%</t>
  </si>
  <si>
    <t>330</t>
  </si>
  <si>
    <t>ERP, PCP, ADICIONAIS</t>
  </si>
  <si>
    <t>R$ 66.000</t>
  </si>
  <si>
    <t>R$ 5.868,80</t>
  </si>
  <si>
    <t>(27/01/2026) Olá Fábio ! Bom dia 
Sou Junior Lopes da Guarani sistemas, Td bem ?
acrescentei um áudio me apresentando e sugerindo um bate papo hoje as 14 horas 
(29/01/2026) tentativa de contato sem retorno do Fabio !
Olá Fábio ! Estou tentando contato para falarmos sobre as soluções Guarani ! 
Porém devido a falta de retorno acredito que você está com outras prioridades 
Vou deixar seu contato salvo caso em breve queira conversar 
Um grande abraço</t>
  </si>
  <si>
    <t>fb dis</t>
  </si>
  <si>
    <t>FB dis</t>
  </si>
  <si>
    <t>11992758370</t>
  </si>
  <si>
    <t>fabiojb80@gmail.com</t>
  </si>
  <si>
    <t xml:space="preserve">Cliente não responde aos contatos </t>
  </si>
  <si>
    <t>scientech ambiental</t>
  </si>
  <si>
    <t>Scientech Ambiental</t>
  </si>
  <si>
    <t>11999733410</t>
  </si>
  <si>
    <t>luissscaro@hotmail.com</t>
  </si>
  <si>
    <t>Orbhes Espumas E Colchoes Ltda</t>
  </si>
  <si>
    <t>orbhes espumas e colchoes ltda</t>
  </si>
  <si>
    <t>(47) 3376-8400</t>
  </si>
  <si>
    <t>orbhes@orbhes.com.br</t>
  </si>
  <si>
    <t>JARAGUA DO SUL</t>
  </si>
  <si>
    <t>30/01/2026</t>
  </si>
  <si>
    <t>26/01/2026</t>
  </si>
  <si>
    <t>28/01 Apresentar o sistema B2B para Clevis o responsável de TI e Alessandro gerente de loja. 
05/02/2026 Fiz apresentação do produto e da proposta, agora negociado.</t>
  </si>
  <si>
    <t>Clevis</t>
  </si>
  <si>
    <t>47992119052</t>
  </si>
  <si>
    <t>24</t>
  </si>
  <si>
    <t xml:space="preserve">(29/01/2026) feito ligação para Marcelo para explicar valores da proposta comercial </t>
  </si>
  <si>
    <t>Portal Importacao E Exportacao De Equipamentos De Informatica Ltda</t>
  </si>
  <si>
    <t>portal importação</t>
  </si>
  <si>
    <t>(11) 8444-8642</t>
  </si>
  <si>
    <t>portal@gmail.com</t>
  </si>
  <si>
    <t>em contato na feira Abcasa , vai seguir com AFV</t>
  </si>
  <si>
    <t>plasberg - erp</t>
  </si>
  <si>
    <t>Plasberg - ERP</t>
  </si>
  <si>
    <t>Plasberg - AFV</t>
  </si>
  <si>
    <t>plasberg - afv</t>
  </si>
  <si>
    <t xml:space="preserve">(29/01/2026) em contato com Artur, esta em analise interna </t>
  </si>
  <si>
    <t>pino lar industria e comercio ltda</t>
  </si>
  <si>
    <t xml:space="preserve">Pino lar </t>
  </si>
  <si>
    <t>claudio teixeira - cloud</t>
  </si>
  <si>
    <t>Claudio Teixeira</t>
  </si>
  <si>
    <t>43996693593</t>
  </si>
  <si>
    <t xml:space="preserve">mauricio jorge lima - cloud </t>
  </si>
  <si>
    <t xml:space="preserve">Mauricio Jorge Lima - Cloud </t>
  </si>
  <si>
    <t>9384064995</t>
  </si>
  <si>
    <t>Dentro Perfil</t>
  </si>
  <si>
    <t xml:space="preserve">folha dourada tabacos - cloud </t>
  </si>
  <si>
    <t xml:space="preserve">Folha dourada tabacos - Cloud </t>
  </si>
  <si>
    <t>3284083586</t>
  </si>
  <si>
    <t xml:space="preserve">valor acima da expectativa </t>
  </si>
  <si>
    <t>minas mix - cloud</t>
  </si>
  <si>
    <t>Minas Mix - Cloud</t>
  </si>
  <si>
    <t>16:53, 30/01/2026 Junior Lopes: ani sistemas, Td bem ?
17:35, 30/01/2026 Leonardo Form: Boa tarde tudo e vc ?
16:53, 02/02/2026 Junior Lopes: Olá Leonardo, boa tarde  ! tem interesse em conhecer nossas soluções ?</t>
  </si>
  <si>
    <t>tenneco</t>
  </si>
  <si>
    <t>Tenneco</t>
  </si>
  <si>
    <t>19995356201</t>
  </si>
  <si>
    <t>ltavares@tenneco.com</t>
  </si>
  <si>
    <t>18.02 - Tentativa de contato realizado por telefone e-mail</t>
  </si>
  <si>
    <t>certo</t>
  </si>
  <si>
    <t>Certo</t>
  </si>
  <si>
    <t>3335294949</t>
  </si>
  <si>
    <t>ti@grupocerto.com.br</t>
  </si>
  <si>
    <t xml:space="preserve">(30/01/2026) Sou Junior Lopes da Guarani sistemas
16:56, 30/01/2026 Junior Lopes: Td bem ?
17:01, 30/01/2026 Orlando: Tudo
17:08, 30/01/2026 Orlando: Descreve alguma coisa do seu sistema
17:29, 30/01/2026 Orlando: Qual o valor mensal?
Este valor mensal posso incluir quantas empresas?
16:49, 02/02/2026 Junior Lopes: Olá Orlando , tem interesse em dar continuidade no contato ?
Hj um investimento em um ERP Guarani controlando sua empresa de ponta a ponta desde a produção passando pelos módulos financeiro a pagar e receber, comercial, compras, Fiscal, logística/expedicao (WMS) e Força de vendas ! Fica dentro de uma expectativa entre (60 mil a 90 mil) de investimento em implantação e treinamentos !
A mensalidade é por usuário sendo R$ 280,00 do ERP e R$ 115,00 do AFV
Caso queira um orçamento mais preciso, podemos nos reunir para entender melhor suas necessidades
O que seria AFV?  (enviei =áudio explicando)
(11/02/2026) retornei contato com Orlando buscando continuidade no atendimento </t>
  </si>
  <si>
    <t>Plastilando Ind e Com</t>
  </si>
  <si>
    <t>21999778181</t>
  </si>
  <si>
    <t>orlando@plastianna.com.br</t>
  </si>
  <si>
    <t xml:space="preserve">17/02 Feito apresentação institucional e vídeos do ERP . </t>
  </si>
  <si>
    <t>armando nacionais e importados</t>
  </si>
  <si>
    <t>HENRIQUE CARVALHO SANTOS</t>
  </si>
  <si>
    <t>(31) 99987-1034</t>
  </si>
  <si>
    <t>henrique@armandonacionais.com.br</t>
  </si>
  <si>
    <t>Solicita demo;30%;Dentro Perfil</t>
  </si>
  <si>
    <t>mobal</t>
  </si>
  <si>
    <t>Mobal</t>
  </si>
  <si>
    <t>13997072312</t>
  </si>
  <si>
    <t>alumiglass.peruibe@gmail.com</t>
  </si>
  <si>
    <t>Fabiano Aparecido Vaine</t>
  </si>
  <si>
    <t>buteco &amp; decor</t>
  </si>
  <si>
    <t>(16) 9701-3510</t>
  </si>
  <si>
    <t>fabianovaine@terra.com.br</t>
  </si>
  <si>
    <t>ERP, AFV, PCP, WMS</t>
  </si>
  <si>
    <t>05/02 - Possui uma loja de peças de moto, onde presta serviço de conserto também. 
Fora do perfil</t>
  </si>
  <si>
    <t>rg moto peças</t>
  </si>
  <si>
    <t>RG moto peças</t>
  </si>
  <si>
    <t>87988082642</t>
  </si>
  <si>
    <t>regisandes10@outlook.com</t>
  </si>
  <si>
    <t>solimp</t>
  </si>
  <si>
    <t>SOLIMP</t>
  </si>
  <si>
    <t>8391128022</t>
  </si>
  <si>
    <t>oliveiraeulalio@yahoo.com.br</t>
  </si>
  <si>
    <t>17/02 Após vários FUPs não obtive retorno do cliente sobre a sequência do projeto. Encerrei por falta de interesse.</t>
  </si>
  <si>
    <t>monteiro alimentos</t>
  </si>
  <si>
    <t>Monteiro</t>
  </si>
  <si>
    <t>6184085792</t>
  </si>
  <si>
    <t>saff71@hotmail.com</t>
  </si>
  <si>
    <t>2vo</t>
  </si>
  <si>
    <t>2VO</t>
  </si>
  <si>
    <t>11985858558</t>
  </si>
  <si>
    <t>wasques@uol.com.br</t>
  </si>
  <si>
    <t>13/02 Fiz FUP hoje com a Andressa, mas não atendeu deixei recado.</t>
  </si>
  <si>
    <t>grupo micromax</t>
  </si>
  <si>
    <t>Andresa Aparecida Carvalho</t>
  </si>
  <si>
    <t>(11) 94468-8676</t>
  </si>
  <si>
    <t>andresacarvalho55@gmail.com</t>
  </si>
  <si>
    <t>06/02 Feito a apresentação da proposta em fase de negociação.
13/02 Foi feito uma visita em São Paulo no Grupo Iracema, onde falamos com os sócios , e o cabeça o Mauricio. A proposta foi reformulada e ajustada e estamos na faze de negociação. Próximo passo, quarta-feira apresentar o WMS.</t>
  </si>
  <si>
    <t>Gerson</t>
  </si>
  <si>
    <t>49988720298</t>
  </si>
  <si>
    <t>R$ 89.502,90</t>
  </si>
  <si>
    <t>R$ 12.883,50</t>
  </si>
  <si>
    <t xml:space="preserve">06/02 Feito a apresentação da proposta em fase de negociação.
13/02 Foi feito uma visita em São Paulo no Grupo Iracema, onde falamos com os sócios , e o cabeça o Mauricio. A proposta foi reformulada e ajustada e estamos na faze de negociação. Próximo passo, quarta-feira apresentar o WMS.
13/02 Foi feito uma visita em São Paulo no Grupo Iracema, onde falamos com os sócios , e o cabeça o Mauricio. A proposta foi reformulada e ajustada e estamos na faze de negociação. Próximo passo, quarta-feira apresentar o WMS.
</t>
  </si>
  <si>
    <t>Willaim</t>
  </si>
  <si>
    <t>49998015654</t>
  </si>
  <si>
    <t>150</t>
  </si>
  <si>
    <t>R$ 11.334,84</t>
  </si>
  <si>
    <t>(11/02/2026) Contato feira ABcasa ! agendamos apresentação para sexta feira dia 20/02</t>
  </si>
  <si>
    <t>Sebastiao Cardoso Comercio Atacadista De Ferramentas Ltda</t>
  </si>
  <si>
    <t>encartelados nina</t>
  </si>
  <si>
    <t>(47) 3368-3065</t>
  </si>
  <si>
    <t>ninaencartelados@gmail.com</t>
  </si>
  <si>
    <t>ITAPEMA</t>
  </si>
  <si>
    <t xml:space="preserve">(11/02/2026) Vídeo demonstrativo enviado para analise   
(11/02/2026) Proposta enviada </t>
  </si>
  <si>
    <t>Ad &amp; Ad (Comex)</t>
  </si>
  <si>
    <t>Reobote Mult-Service</t>
  </si>
  <si>
    <t>17996751231</t>
  </si>
  <si>
    <t>jader.reobote@outlook.com</t>
  </si>
  <si>
    <t>12.02 - cliente agendou hoje as 9h não entrou na reunião, estou tentando contato para reagendar</t>
  </si>
  <si>
    <t>RG distribuidora de bebidas ltda</t>
  </si>
  <si>
    <t>37999652806</t>
  </si>
  <si>
    <t>rgdistribuidoraltda@hotmail.com</t>
  </si>
  <si>
    <t>loja da construção</t>
  </si>
  <si>
    <t>Loja da construção</t>
  </si>
  <si>
    <t>85996031544</t>
  </si>
  <si>
    <t>ajs.antoniojose@hotmail.com</t>
  </si>
  <si>
    <t>gisele - zzz</t>
  </si>
  <si>
    <t>Zzzz</t>
  </si>
  <si>
    <t>41987097843</t>
  </si>
  <si>
    <t>gipatelini@hotmail.com</t>
  </si>
  <si>
    <t>gs atacado</t>
  </si>
  <si>
    <t>Gs atacado</t>
  </si>
  <si>
    <t>61984251198</t>
  </si>
  <si>
    <t>gsatacado69@gmail.com</t>
  </si>
  <si>
    <t>(11/02/2026) tentativa de ligação nao atendida 
17:03, 11/02/2026 Junior Lopes: Olá Gabriel , boa tarde
17:03, 11/02/2026 Junior Lopes: sou Junior Lopes da Guarani sistemas ! td bem ?</t>
  </si>
  <si>
    <t>lm bebidas</t>
  </si>
  <si>
    <t>11910369959</t>
  </si>
  <si>
    <t>gelucinaro@hotmail.com</t>
  </si>
  <si>
    <t>Instagram;Perfil Indefinido</t>
  </si>
  <si>
    <t>(11/02/2026) tentativa de ligação não atendida 
16:48, 11/02/2026 Junior Lopes: Olá Kariello, boa tarde !
16:48, 11/02/2026 Junior Lopes: sou Junior Lopes da Guarani sistemas, tudo bem ?</t>
  </si>
  <si>
    <t>CK HOSPITALAR</t>
  </si>
  <si>
    <t>6392247104</t>
  </si>
  <si>
    <t>diretoria@ckhospitalar.com.br</t>
  </si>
  <si>
    <t>Palmas</t>
  </si>
  <si>
    <t>(11/02/2026) tentativa de ligação não atendida ! mensagem em seguida 
16:43, 11/02/2026 Junior Lopes: Olá Renato ! boa tarde
16:43, 11/02/2026 Junior Lopes: sou Junior Lopes da Guarani sistemas ! tudo bem ?</t>
  </si>
  <si>
    <t>rp pisos</t>
  </si>
  <si>
    <t>Rp pisos</t>
  </si>
  <si>
    <t>81996498759</t>
  </si>
  <si>
    <t>renatosouzarp2018@gmail.com</t>
  </si>
  <si>
    <t>13.02 é uma loja de auto peças, prouca PDV, fora do perfil</t>
  </si>
  <si>
    <t>dede acessorios</t>
  </si>
  <si>
    <t>Dede Acessorios</t>
  </si>
  <si>
    <t>6596196462</t>
  </si>
  <si>
    <t>lu_kawakami@msn.com</t>
  </si>
  <si>
    <t xml:space="preserve">(11/02/2026) ligação efetuada - Anderson pediu para retornar ! vamos dar sequencia no whatsapp
(18/02/2026) buscando contato com Anderson ! sem resposta até o momento </t>
  </si>
  <si>
    <t>atacadão das tripas</t>
  </si>
  <si>
    <t>kayo calil marques</t>
  </si>
  <si>
    <t>(14) 99854-9863</t>
  </si>
  <si>
    <t>kayocalil@hotmail.com</t>
  </si>
  <si>
    <t xml:space="preserve">12.02 - é uma importadora de Ribeirão Preto e veio por indicação da Simone (QFestas) são do mesmo seguimento
Disse que já havia feito contato um tempo atrás mas na época achou muito caro, então não avançou
Esta retomando o contato agora e gostaria de receber uma proposta comercial antes, já que já conhece o sistema, já recebeu várias indicações de importadores, e representantes. </t>
  </si>
  <si>
    <t>bazar importadora ltda</t>
  </si>
  <si>
    <t>Leandro</t>
  </si>
  <si>
    <t>(16) 98237-0011</t>
  </si>
  <si>
    <t>leandro@bazarimportadora.com.br</t>
  </si>
  <si>
    <t>Ribeirão Preto</t>
  </si>
  <si>
    <t>AFV, ERP</t>
  </si>
  <si>
    <t>11/02/2026) cliente com necessidades especificas 
Rastreabilidade avançada de coletas e devoluções (fluxo de logística reversa e conferência de avarias);
Gestão flexível de Kits (desmembramento dinâmico de itens no ato da manutenção);</t>
  </si>
  <si>
    <t>super zinca comercio e reformas de carrinhos ltda</t>
  </si>
  <si>
    <t>Fernando Ramalho</t>
  </si>
  <si>
    <t>(21) 98655-6912</t>
  </si>
  <si>
    <t>fernando.ramalho@superzinca.com.br</t>
  </si>
  <si>
    <t>Ibirité</t>
  </si>
  <si>
    <t>Solicita demo;Fora Perfil</t>
  </si>
  <si>
    <t xml:space="preserve">12.02 ligação realizada no dia 12.02 as 11:13, não atendeu. Enviei mensagem no whatsapp, para tentar um novo horario para ligação
13.02 Cliente é uma industria de copos de liquidificador estão sempre na ABUP e vieram por indicação da Arthi 
Usam um sistema interno - mas futuramente querem trocar o sistema, explicou que a principio querem conhecer nosso AFV, porque foi uma indicação e o sistema atual possui esse módulo mas libera muitas informações que eles não querem disponibilizar para os RCAs, porém não podem editar ou bloquear
Não enviar estoque 
Tabelas de preço - Explicou que possuem várias tabelas de preço por faixa de valor, informei que o sistema atende essa necessidade e quem podem ter uma unica tabela com uma regra comercial de desconto por faixar de valor amarrada ao pedido
Imagens de produtos - quer que o cliente tenha acesso a imagem do produto, expliquei que sim, e que pode gerar o catalogo em PDF para o cliente
Descrição - ficha técnica do produto e descrição do item
Uso de sistemas na feira - usar leitor de código de produto
Envio de orçamento - envio de cópia de orçamentos por PDF, link ou excel, e explicar funções em feira 
Isis vai verificar com a gerente uma data para apresentação do AFV
18.02 - apresentação agendada para amanhã </t>
  </si>
  <si>
    <t>Isis Miguelette</t>
  </si>
  <si>
    <t>(11) 91290-8574</t>
  </si>
  <si>
    <t>isismiguelette@micromaxindustria.com.br</t>
  </si>
  <si>
    <t>Itatiba</t>
  </si>
  <si>
    <t>Startools Ferramentas, Comercio, Importacao E Exportacao Ltda</t>
  </si>
  <si>
    <t>(11) 8472-4282</t>
  </si>
  <si>
    <t>controladoria@startoolsferramentas.com.br</t>
  </si>
  <si>
    <t>ARAQUARI</t>
  </si>
  <si>
    <t>Cleantech Solucoes Industria, Distribuidora, Comercio, Importacao E Exportacao De Produtos Quimicos Ltda</t>
  </si>
  <si>
    <t>clean tech</t>
  </si>
  <si>
    <t>(11) 7106-3895 / (0000) 0000-0000</t>
  </si>
  <si>
    <t>leticia200moraes@gmail.com</t>
  </si>
  <si>
    <t>70</t>
  </si>
  <si>
    <t>13/02 Fiz FUP hoje com a Pamela e o perfil identificado é de cliente emergente para investir no momento. E por isso foi declinado.</t>
  </si>
  <si>
    <t>pamela cristina da fonseca</t>
  </si>
  <si>
    <t>PAMELA CRISTINA DA FONSECA</t>
  </si>
  <si>
    <t>(46) 99984-1338</t>
  </si>
  <si>
    <t>importacao.azul@hotmail.com</t>
  </si>
  <si>
    <t>Fazenda Rio Grande</t>
  </si>
  <si>
    <t xml:space="preserve">atacadão das tripas </t>
  </si>
  <si>
    <t xml:space="preserve">Atacadão das Tripas </t>
  </si>
  <si>
    <t>14998549863</t>
  </si>
  <si>
    <t>eletro fort ltda</t>
  </si>
  <si>
    <t>Eletro Fort Poste Padrão</t>
  </si>
  <si>
    <t>19974151604</t>
  </si>
  <si>
    <t>compras@eletrofortlimeira.com.br</t>
  </si>
  <si>
    <t>Instagram;Dentro Perfil;Perfil Indefinido</t>
  </si>
  <si>
    <t>j. a. marinho itapeva ltda</t>
  </si>
  <si>
    <t>Luís Fernando</t>
  </si>
  <si>
    <t>(15) 99839-1786</t>
  </si>
  <si>
    <t>luismendesjr@cafecarneiro.com.br</t>
  </si>
  <si>
    <t>Itapeva</t>
  </si>
  <si>
    <t>angel</t>
  </si>
  <si>
    <t xml:space="preserve">Angel </t>
  </si>
  <si>
    <t>(45) 99828-7178</t>
  </si>
  <si>
    <t>lucaangel20@hotmail.com</t>
  </si>
  <si>
    <t>Toledo</t>
  </si>
  <si>
    <t>cia atacadista</t>
  </si>
  <si>
    <t>Cia atacadista</t>
  </si>
  <si>
    <t>71982084451</t>
  </si>
  <si>
    <t>ailtonsrocha@hotmail.com</t>
  </si>
  <si>
    <t>Ama</t>
  </si>
  <si>
    <t>21995112577</t>
  </si>
  <si>
    <t>andreiamattosaeb@mail.com</t>
  </si>
  <si>
    <t>31</t>
  </si>
  <si>
    <t>cmag2017@gmail.com</t>
  </si>
  <si>
    <t>Cuiabá mt</t>
  </si>
  <si>
    <t>industrial san marcus</t>
  </si>
  <si>
    <t>San marcus industrial</t>
  </si>
  <si>
    <t>75998542317</t>
  </si>
  <si>
    <t>marcos@sanmarcus.com.br</t>
  </si>
  <si>
    <t>fa de doces</t>
  </si>
  <si>
    <t>Fa de doces</t>
  </si>
  <si>
    <t>16993027000</t>
  </si>
  <si>
    <t>carollafinancas@gmail.com</t>
  </si>
  <si>
    <t>Metal ADM</t>
  </si>
  <si>
    <t>49999890528</t>
  </si>
  <si>
    <t>ale@metaladm.com.br</t>
  </si>
  <si>
    <t>new</t>
  </si>
  <si>
    <t>NEW</t>
  </si>
  <si>
    <t>1140227929</t>
  </si>
  <si>
    <t>ferramentarianws@gmail.com</t>
  </si>
  <si>
    <t>32</t>
  </si>
  <si>
    <t>ID Pós-vendas</t>
  </si>
  <si>
    <t>E-mail</t>
  </si>
  <si>
    <t>Tempo como pós venda</t>
  </si>
  <si>
    <t>Damián Muñoz</t>
  </si>
  <si>
    <t>Master Ud</t>
  </si>
  <si>
    <t>67992092648</t>
  </si>
  <si>
    <t>masterutilidades@hotmail.com</t>
  </si>
  <si>
    <t>Email Marketing</t>
  </si>
  <si>
    <t>Email MKT;RCA</t>
  </si>
  <si>
    <t>MKT RCAs</t>
  </si>
  <si>
    <t>Orgon</t>
  </si>
  <si>
    <t>Orgon Comercio Importacao E Exportacao De Utilidades Domesticas Ltda</t>
  </si>
  <si>
    <t>55991832727</t>
  </si>
  <si>
    <t>orgoncomercio@hotmail.com</t>
  </si>
  <si>
    <t>Santa Cruz do Sul</t>
  </si>
  <si>
    <t>Shangri-La</t>
  </si>
  <si>
    <t>1532678844</t>
  </si>
  <si>
    <t>edna.mendes@gruposhangrila.com.br</t>
  </si>
  <si>
    <t>4688229800</t>
  </si>
  <si>
    <t>eduardo@mta.com.br</t>
  </si>
  <si>
    <t>Marmeleiro</t>
  </si>
  <si>
    <t>Rbo</t>
  </si>
  <si>
    <t>1535515213</t>
  </si>
  <si>
    <t>rbodistribuidora@hotmail.com</t>
  </si>
  <si>
    <t>Util</t>
  </si>
  <si>
    <t>Util Comercio E Confeccao Ltda</t>
  </si>
  <si>
    <t>199740785011</t>
  </si>
  <si>
    <t>ronealves@utilud.com.br</t>
  </si>
  <si>
    <t>Mario Silva Das Merces Junior</t>
  </si>
  <si>
    <t>Mario Silva Das Merces Junior 21972064860</t>
  </si>
  <si>
    <t>Santo André</t>
  </si>
  <si>
    <t>Devito</t>
  </si>
  <si>
    <t>16992089024</t>
  </si>
  <si>
    <t>rafa.devito@gmail.com</t>
  </si>
  <si>
    <t>Especial Cafés</t>
  </si>
  <si>
    <t>16988215110</t>
  </si>
  <si>
    <t>marcelo.luiz.tche@gmail.com</t>
  </si>
  <si>
    <t>Libra Gestao</t>
  </si>
  <si>
    <t>11998061058</t>
  </si>
  <si>
    <t>fabianobotter@gmail.com</t>
  </si>
  <si>
    <t>Mega Lux</t>
  </si>
  <si>
    <t>Mega Lux Importação Ltda.</t>
  </si>
  <si>
    <t>fiscal@astraled.com.br</t>
  </si>
  <si>
    <t>Brusque</t>
  </si>
  <si>
    <t>Sm Bom Preço</t>
  </si>
  <si>
    <t>6296642202</t>
  </si>
  <si>
    <t>edinei.bompreco@gmail.com</t>
  </si>
  <si>
    <t>Dvidros Comercio De Utilidades Ltda</t>
  </si>
  <si>
    <t>31988605879</t>
  </si>
  <si>
    <t>administrativo@dvidros.com.br</t>
  </si>
  <si>
    <t>Ipatinga</t>
  </si>
  <si>
    <t>Amigold</t>
  </si>
  <si>
    <t>21985528888</t>
  </si>
  <si>
    <t>amigoldpaula@hotmail.com</t>
  </si>
  <si>
    <t>Duque de Caxias</t>
  </si>
  <si>
    <t>Kaskin</t>
  </si>
  <si>
    <t>13996207010</t>
  </si>
  <si>
    <t>kaskin@uol.com.br</t>
  </si>
  <si>
    <t>48984552099</t>
  </si>
  <si>
    <t>aliancaimportadora@hotmail.com</t>
  </si>
  <si>
    <t>Biguaçu</t>
  </si>
  <si>
    <t>Jd Imports</t>
  </si>
  <si>
    <t>3599613586</t>
  </si>
  <si>
    <t>lojadoeveraldo@hotmail.com</t>
  </si>
  <si>
    <t>Rio De Ouro Wincy</t>
  </si>
  <si>
    <t>yang@rocie.com.br</t>
  </si>
  <si>
    <t>Ts Brasil</t>
  </si>
  <si>
    <t>wilhelmts@tersteege.nl</t>
  </si>
  <si>
    <t>Fonte Boa</t>
  </si>
  <si>
    <t>3732436300</t>
  </si>
  <si>
    <t>v.carneiro@fonteboa.com.br</t>
  </si>
  <si>
    <t>Plasduran</t>
  </si>
  <si>
    <t>toninho@plasduran.com.br</t>
  </si>
  <si>
    <t>11975479476</t>
  </si>
  <si>
    <t>sergioserbaro7@gmail.com</t>
  </si>
  <si>
    <t>Frutiquelo</t>
  </si>
  <si>
    <t>rogerio@frutiquello.com.br</t>
  </si>
  <si>
    <t>Regimara</t>
  </si>
  <si>
    <t>1934662525</t>
  </si>
  <si>
    <t>reginaldo@textilregimara.com.br</t>
  </si>
  <si>
    <t>paulo.putini@dislar.com.br</t>
  </si>
  <si>
    <t>nelso@scottidistribuidora.com.br</t>
  </si>
  <si>
    <t>Vision</t>
  </si>
  <si>
    <t>43999742053</t>
  </si>
  <si>
    <t>mau@visionn.com.br</t>
  </si>
  <si>
    <t>Apucarana</t>
  </si>
  <si>
    <t>Unica</t>
  </si>
  <si>
    <t>11971830079</t>
  </si>
  <si>
    <t>li@unygift.com.br</t>
  </si>
  <si>
    <t>Linha Evo</t>
  </si>
  <si>
    <t>42988209554</t>
  </si>
  <si>
    <t>josenelson@dissenha.com.br</t>
  </si>
  <si>
    <t>Igaratiba</t>
  </si>
  <si>
    <t>19991884278</t>
  </si>
  <si>
    <t>henrique.arcuri@tiba-ud.com.br</t>
  </si>
  <si>
    <t>GN COMERCIAL DE UTILIDADES DOMESTICAS LTDA</t>
  </si>
  <si>
    <t>Gn Comercio De Utilidades</t>
  </si>
  <si>
    <t>11964460733</t>
  </si>
  <si>
    <t>financeiro@univendas.com.br</t>
  </si>
  <si>
    <t xml:space="preserve"> AVENIDA MARCO 40</t>
  </si>
  <si>
    <t>Grilazer</t>
  </si>
  <si>
    <t>guilherme@grilazer.com.br</t>
  </si>
  <si>
    <t>Dl (Grupo Mais)</t>
  </si>
  <si>
    <t>grupomaispaulo@gmail.com</t>
  </si>
  <si>
    <t>Nutrire</t>
  </si>
  <si>
    <t>gerson.simonaggio@nutrire.com.br</t>
  </si>
  <si>
    <t>gerenciaexecutiva@arcaplast.com.br</t>
  </si>
  <si>
    <t>Fwb</t>
  </si>
  <si>
    <t>fwbimportacao@gmail.com</t>
  </si>
  <si>
    <t>Solferti</t>
  </si>
  <si>
    <t>felipe.sol@solferti.com.br</t>
  </si>
  <si>
    <t>fabiospira11@hotmail.com</t>
  </si>
  <si>
    <t>fabiola@panamby.com.br</t>
  </si>
  <si>
    <t>Ndi Importação</t>
  </si>
  <si>
    <t>fabio@sunasia.co</t>
  </si>
  <si>
    <t>eduardo@paramountplasticos.com.br</t>
  </si>
  <si>
    <t>Metaltru</t>
  </si>
  <si>
    <t>1532619261</t>
  </si>
  <si>
    <t>eduardo@metaltru.com.br</t>
  </si>
  <si>
    <t>Flora Nectar</t>
  </si>
  <si>
    <t>eduardo@floranectar.com.br</t>
  </si>
  <si>
    <t>Dismarina Mato Grosso</t>
  </si>
  <si>
    <t>6536612571</t>
  </si>
  <si>
    <t>dismarinamt@gmail.com</t>
  </si>
  <si>
    <t>Cuiabá</t>
  </si>
  <si>
    <t>MT</t>
  </si>
  <si>
    <t>Clio Style</t>
  </si>
  <si>
    <t>cliobr@hotmail.com</t>
  </si>
  <si>
    <t>4133735432</t>
  </si>
  <si>
    <t>clacir@lyke.com.br</t>
  </si>
  <si>
    <t>1135770555</t>
  </si>
  <si>
    <t>ariel@fullfit.com.br</t>
  </si>
  <si>
    <t>Keure &amp; Tropical Aroma</t>
  </si>
  <si>
    <t>alidio@keurequimica.com.br</t>
  </si>
  <si>
    <t>Mabruk Presentes</t>
  </si>
  <si>
    <t>alberto@mabrukpresentes.com.br</t>
  </si>
  <si>
    <t>1126751375</t>
  </si>
  <si>
    <t>hmchahin@hotmail.com</t>
  </si>
  <si>
    <t>1147433053</t>
  </si>
  <si>
    <t>felipe@vitazza.com.br</t>
  </si>
  <si>
    <t>Fogo Azul</t>
  </si>
  <si>
    <t>jr@fogoazul.com.br</t>
  </si>
  <si>
    <t>Revise</t>
  </si>
  <si>
    <t>osvaldo.janduci@brazzo.com.br</t>
  </si>
  <si>
    <t>Wise Confort</t>
  </si>
  <si>
    <t>jorge.sampaio.gm@gmail.com</t>
  </si>
  <si>
    <t>Tamoio</t>
  </si>
  <si>
    <t>1239073000</t>
  </si>
  <si>
    <t>michael@tamoionet.com.br</t>
  </si>
  <si>
    <t>Q´Festa</t>
  </si>
  <si>
    <t>dir1@artigosqfesta.com.br</t>
  </si>
  <si>
    <t>1532634682</t>
  </si>
  <si>
    <t>rodrigo@arqplast.com.br</t>
  </si>
  <si>
    <t>11981928552</t>
  </si>
  <si>
    <t>marilar@marilardistribuidora.com.br</t>
  </si>
  <si>
    <t>Malta</t>
  </si>
  <si>
    <t>54996116346</t>
  </si>
  <si>
    <t>altair@malta.ind.br</t>
  </si>
  <si>
    <t>Caxias do Sul</t>
  </si>
  <si>
    <t>Comercial Bela Vista</t>
  </si>
  <si>
    <t>11947096696</t>
  </si>
  <si>
    <t>karencomercialbelavista@gmail.com</t>
  </si>
  <si>
    <t>1166117236</t>
  </si>
  <si>
    <t>Plásticos Mb</t>
  </si>
  <si>
    <t>11992475223</t>
  </si>
  <si>
    <t>wheber@gmail.com</t>
  </si>
  <si>
    <t>43991563004</t>
  </si>
  <si>
    <t>fabioldna@hotmail.com</t>
  </si>
  <si>
    <t>Plastcap</t>
  </si>
  <si>
    <t>19996232473</t>
  </si>
  <si>
    <t>jed.plastcap@outlook.com</t>
  </si>
  <si>
    <t>2122247616</t>
  </si>
  <si>
    <t>cwcp168@gmail.com</t>
  </si>
  <si>
    <t>Ind Bandeirantes</t>
  </si>
  <si>
    <t>11992794515</t>
  </si>
  <si>
    <t>heraldo@indbandeirante.com.br</t>
  </si>
  <si>
    <t>Aluminio Ramos</t>
  </si>
  <si>
    <t>Araraquara</t>
  </si>
  <si>
    <t>Invicta</t>
  </si>
  <si>
    <t>3591916927</t>
  </si>
  <si>
    <t>clessio.cunha@newellco.com</t>
  </si>
  <si>
    <t>16997217323</t>
  </si>
  <si>
    <t>flavio.toledo@genex.coop</t>
  </si>
  <si>
    <t>Embalavi</t>
  </si>
  <si>
    <t>4138880050</t>
  </si>
  <si>
    <t>marcos@embalavi.com.br</t>
  </si>
  <si>
    <t>Curitiba</t>
  </si>
  <si>
    <t>119040304501</t>
  </si>
  <si>
    <t>jeferson@bezavel.com.br</t>
  </si>
  <si>
    <t>IPACARAI - B2B</t>
  </si>
  <si>
    <t>IPACARAI</t>
  </si>
  <si>
    <t>Glad</t>
  </si>
  <si>
    <t>45991112008</t>
  </si>
  <si>
    <t>glademir@exportadoraipacarai.com.br</t>
  </si>
  <si>
    <t>Guarani B2B;Pausado</t>
  </si>
  <si>
    <t>Apresentar Proposta (75%)</t>
  </si>
  <si>
    <t>01/11/2024</t>
  </si>
  <si>
    <t>IPACARAI - BI</t>
  </si>
  <si>
    <t>Guarani BI;Pausado</t>
  </si>
  <si>
    <t>Dislar - Agenda de Visita</t>
  </si>
  <si>
    <t>Paulo Putini</t>
  </si>
  <si>
    <t>11999765402</t>
  </si>
  <si>
    <t>Adicionais AFV;Pausado</t>
  </si>
  <si>
    <t>Em Negociação (80%)</t>
  </si>
  <si>
    <t>16/04/2024</t>
  </si>
  <si>
    <t>SIMONNAGGIO - Reimplantação AFV</t>
  </si>
  <si>
    <t>SIMONNAGGIO</t>
  </si>
  <si>
    <t>54981182828</t>
  </si>
  <si>
    <t>SIMONE@SIMONAGGIO.COM.BR</t>
  </si>
  <si>
    <t>Adicionais AFV</t>
  </si>
  <si>
    <t>PAROLIMP - B2B</t>
  </si>
  <si>
    <t>PAROLIMP</t>
  </si>
  <si>
    <t>Erica</t>
  </si>
  <si>
    <t>19997080357</t>
  </si>
  <si>
    <t>ERICA@PAROLINA.COM.BR</t>
  </si>
  <si>
    <t>PAROLAR  (WMS) - MAPEAMENTO</t>
  </si>
  <si>
    <t>PAROLAR</t>
  </si>
  <si>
    <t>Vinicius</t>
  </si>
  <si>
    <t>(19) 99839-6859</t>
  </si>
  <si>
    <t>FABRICIO@PAROLARUTIL.COM.BR</t>
  </si>
  <si>
    <t>FAZZIO - B2B</t>
  </si>
  <si>
    <t>FAZZIO</t>
  </si>
  <si>
    <t>16997672684</t>
  </si>
  <si>
    <t>MARCOS@FAZZIOMADEIRAS.COM.BR</t>
  </si>
  <si>
    <t>GENEX - Cloud</t>
  </si>
  <si>
    <t>GENEX</t>
  </si>
  <si>
    <t>Flávio</t>
  </si>
  <si>
    <t>FLAVIO.TOLEDO@GENEX.COOP</t>
  </si>
  <si>
    <t>Guarani CLOUD;Pausado</t>
  </si>
  <si>
    <t>14/11/2024</t>
  </si>
  <si>
    <t>RISCHIOTO - B2B</t>
  </si>
  <si>
    <t>RISCHIOTO</t>
  </si>
  <si>
    <t>Agnaldo</t>
  </si>
  <si>
    <t>19991001216</t>
  </si>
  <si>
    <t>AGNALDO@RISCHIOTO.COM.BR</t>
  </si>
  <si>
    <t>22/11/2024</t>
  </si>
  <si>
    <t>KEITA - CNPJ</t>
  </si>
  <si>
    <t>KEITA</t>
  </si>
  <si>
    <t xml:space="preserve">KEITA </t>
  </si>
  <si>
    <t>11999797484</t>
  </si>
  <si>
    <t>DIRETORIA@KEITA.COM.BR</t>
  </si>
  <si>
    <t>RUVOLO - Tray</t>
  </si>
  <si>
    <t>RUVOLO</t>
  </si>
  <si>
    <t>Tennison</t>
  </si>
  <si>
    <t>11981525627</t>
  </si>
  <si>
    <t>TENNISON@RUVOLO.COM.BR</t>
  </si>
  <si>
    <t>Adicionais ERP;Pausado</t>
  </si>
  <si>
    <t>13/01/2025</t>
  </si>
  <si>
    <t>PAROLAR - Cloud</t>
  </si>
  <si>
    <t xml:space="preserve">Preço muito alto </t>
  </si>
  <si>
    <t>UTIL UD - CNPJ</t>
  </si>
  <si>
    <t>UTIL COMERCIO E CONFECCAO LTDA</t>
  </si>
  <si>
    <t xml:space="preserve">Rone </t>
  </si>
  <si>
    <t>(19) 34714-7601</t>
  </si>
  <si>
    <t>transrede@transrede.com</t>
  </si>
  <si>
    <t xml:space="preserve"> RUA DOM BARRETO 685</t>
  </si>
  <si>
    <t>AMERICANA</t>
  </si>
  <si>
    <t>Paramount - Imp.XML</t>
  </si>
  <si>
    <t>(19) 99234-5081</t>
  </si>
  <si>
    <t>UTIL UD - CTE</t>
  </si>
  <si>
    <t>Rone</t>
  </si>
  <si>
    <t>19974085011</t>
  </si>
  <si>
    <t xml:space="preserve">Fwb - Treinamento/Reciclagem </t>
  </si>
  <si>
    <t>MILLENIUM UTILIDADES DOMESTICAS LTDA</t>
  </si>
  <si>
    <t>Leopoldo</t>
  </si>
  <si>
    <t>(44) 8845-6975</t>
  </si>
  <si>
    <t>financeiro@dmillenium.com.br</t>
  </si>
  <si>
    <t xml:space="preserve"> AVENIDA JOSE OSWALDO MAIA 1126</t>
  </si>
  <si>
    <t>MARINGA</t>
  </si>
  <si>
    <t>DUARTES BRINQUEDOS (FIKA) - Treinamento</t>
  </si>
  <si>
    <t>DUARTES DISTRIBUICAO UD E BRINQUEDOS LTDA</t>
  </si>
  <si>
    <t xml:space="preserve">Alexandre </t>
  </si>
  <si>
    <t>(11) 98189-2200</t>
  </si>
  <si>
    <t>legalizacao1@reorgcontabil.com.br</t>
  </si>
  <si>
    <t xml:space="preserve"> RUA ALLPAC 136</t>
  </si>
  <si>
    <t>Plasduran - Custo</t>
  </si>
  <si>
    <t>Valéria</t>
  </si>
  <si>
    <t>(11) 96234-9561</t>
  </si>
  <si>
    <t>12/12/2024 00:00</t>
  </si>
  <si>
    <t>(16) 99767-2684</t>
  </si>
  <si>
    <t>NEDO - WMS</t>
  </si>
  <si>
    <t>CASAPRATIL COMERCIO DE ENCARTELADOS LTDA</t>
  </si>
  <si>
    <t>Larissa</t>
  </si>
  <si>
    <t>(12) 3322-4198</t>
  </si>
  <si>
    <t>nfe@nedo.com.br</t>
  </si>
  <si>
    <t xml:space="preserve"> RUA ADOLPHO GOLL 89</t>
  </si>
  <si>
    <t>PAKIPLAST (Paki Toys &amp; Mercosur)</t>
  </si>
  <si>
    <t>PAKIPLAST INDUSTRIA E COMERCIO DE BRINQUEDOS E UTILIDADES DOMESTICAS LTDA</t>
  </si>
  <si>
    <t>(11) 4486-1730</t>
  </si>
  <si>
    <t>gustavo@pakiplast.com.br</t>
  </si>
  <si>
    <t xml:space="preserve"> AV SAO JOAO 1910</t>
  </si>
  <si>
    <t>ATIBAIA</t>
  </si>
  <si>
    <t>SUTT IMPORTADORA</t>
  </si>
  <si>
    <t>SUTT COMERCIO E IMPORTACAO LTDA</t>
  </si>
  <si>
    <t>Jack SUTT</t>
  </si>
  <si>
    <t>(11) 97335-9869</t>
  </si>
  <si>
    <t>jack@sutt.com.br</t>
  </si>
  <si>
    <t xml:space="preserve"> R FLORENCIO DE ABREU 663</t>
  </si>
  <si>
    <t>13/12/2024</t>
  </si>
  <si>
    <t>13/12/2024 00:00</t>
  </si>
  <si>
    <t>PAROLIMP - Checkout</t>
  </si>
  <si>
    <t>(19) 99708-0357</t>
  </si>
  <si>
    <t>Plasduran - Novo Projeto  - Cloud</t>
  </si>
  <si>
    <t>06/01/2025 00:00</t>
  </si>
  <si>
    <t>MARCAMIX</t>
  </si>
  <si>
    <t>HOUSEWARE BRASIL COMERCIAL LTDA.</t>
  </si>
  <si>
    <t>(11) 98280-1100</t>
  </si>
  <si>
    <t>adm@marcamix.com.br</t>
  </si>
  <si>
    <t xml:space="preserve"> R ANTONIO MODESTO GOMIERO 164</t>
  </si>
  <si>
    <t>LOUVEIRA</t>
  </si>
  <si>
    <t>Flora Nectar Treinamento Financeiro</t>
  </si>
  <si>
    <t xml:space="preserve">Vanila </t>
  </si>
  <si>
    <t>(17) 98168-0404</t>
  </si>
  <si>
    <t>08/01/2025 00:00</t>
  </si>
  <si>
    <t>INFINITE HOME - E-commerce</t>
  </si>
  <si>
    <t>INFINITE HOME IMPORTACAO, EXPORTACAO E DISTRIBUICAO DE MERCADORIAS EM GERAL LTDA</t>
  </si>
  <si>
    <t>Raphael</t>
  </si>
  <si>
    <t>(19) 98168-2828</t>
  </si>
  <si>
    <t>contato@infinitehome.com.br</t>
  </si>
  <si>
    <t xml:space="preserve"> RUA JOSE COELHO PRATES JUNIOR 660</t>
  </si>
  <si>
    <t>09/01/2025 00:00</t>
  </si>
  <si>
    <t>Arqplast - Contábil</t>
  </si>
  <si>
    <t>Alisson</t>
  </si>
  <si>
    <t>(15) 3263-4682</t>
  </si>
  <si>
    <t>LIRA DISTRIBUIDORA - Tray</t>
  </si>
  <si>
    <t>LIRA DISTRIBUICAO E IMPORTACAO LTDA</t>
  </si>
  <si>
    <t xml:space="preserve">Alexandre Zequini </t>
  </si>
  <si>
    <t>(16) 98818-2222</t>
  </si>
  <si>
    <t>contidados@hotmail.com</t>
  </si>
  <si>
    <t xml:space="preserve"> RUA JOSE LUIZ CARON 318</t>
  </si>
  <si>
    <t>13/01/2025 00:00</t>
  </si>
  <si>
    <t>TERRA BOA ESPECIARIAS Horas Treinamento</t>
  </si>
  <si>
    <t>TERRA BOA ESPECIARIAS LTDA</t>
  </si>
  <si>
    <t>(75) 99540-8387</t>
  </si>
  <si>
    <t>alexandre.aquino@terraboaespeciarias.com.br</t>
  </si>
  <si>
    <t xml:space="preserve"> RUA SAO FRANCISCO 83</t>
  </si>
  <si>
    <t>VALENCA</t>
  </si>
  <si>
    <t>Comercial Bela Vista - Treinamento Tray</t>
  </si>
  <si>
    <t xml:space="preserve">Karen </t>
  </si>
  <si>
    <t>(11) 94709-6696</t>
  </si>
  <si>
    <t>QFESTA - Cloud</t>
  </si>
  <si>
    <t>BRINQUEMIX</t>
  </si>
  <si>
    <t>(21) 98769-7145</t>
  </si>
  <si>
    <t>DIR1@ARTIGOSQFESTA.COM.BR</t>
  </si>
  <si>
    <t>A Vista</t>
  </si>
  <si>
    <t>14/01/2025 00:00</t>
  </si>
  <si>
    <t>MUNDI EPS</t>
  </si>
  <si>
    <t>MUNDI-EPS INDUSTRIA E COMERCIO DE PLASTICOS LTDA.</t>
  </si>
  <si>
    <t>Marcelo</t>
  </si>
  <si>
    <t>(16) 39119-2731</t>
  </si>
  <si>
    <t>financeiro@mundi-eps.com.br</t>
  </si>
  <si>
    <t xml:space="preserve"> AVENIDA PAPA JOAO XXIII 2600</t>
  </si>
  <si>
    <t>BRODOWSKI</t>
  </si>
  <si>
    <t>MILLENIUM DISTRIBUIDORA - Telemarketing</t>
  </si>
  <si>
    <t xml:space="preserve">Leopoldo </t>
  </si>
  <si>
    <t>(44) 2103-6000</t>
  </si>
  <si>
    <t>15/01/2025 00:00</t>
  </si>
  <si>
    <t>MILLENIUM DISTRIBUIDORA - WMS</t>
  </si>
  <si>
    <t xml:space="preserve">QUALYPLAS - Treinamento Financeiro </t>
  </si>
  <si>
    <t>QUALYPLAS - INDUSTRIA E COMERCIO DE TERMOPLASTICOS LTDA</t>
  </si>
  <si>
    <t>Elizangela</t>
  </si>
  <si>
    <t>(16) 97013-1401</t>
  </si>
  <si>
    <t>qualyplas.sc@gmail.com</t>
  </si>
  <si>
    <t xml:space="preserve"> AVENIDA ANTONIO MARTINEZ CARRERA FILHO 261</t>
  </si>
  <si>
    <t>RUVOLO - Cloud Máquina</t>
  </si>
  <si>
    <t>Decio</t>
  </si>
  <si>
    <t>(11) 98152-5627</t>
  </si>
  <si>
    <t>16/01/2025 00:00</t>
  </si>
  <si>
    <t>Wellmix- AFV-BI</t>
  </si>
  <si>
    <t>wellington</t>
  </si>
  <si>
    <t>(11) 6611-7236</t>
  </si>
  <si>
    <t>MILLENIUM - Envio de Boleto por whatsapp</t>
  </si>
  <si>
    <t>17/01/2025 00:00</t>
  </si>
  <si>
    <t>Comercial Bela Vista - CNPJ</t>
  </si>
  <si>
    <t>Karen</t>
  </si>
  <si>
    <t>Ndi Importação - Treinamento de Compras</t>
  </si>
  <si>
    <t>(47) 9761-1580</t>
  </si>
  <si>
    <t>LIRA DISTRIBUIDORA - CNPJ</t>
  </si>
  <si>
    <t>21/01/2025 00:00</t>
  </si>
  <si>
    <t xml:space="preserve">ALUMINIO NACIONAL - CNPJ </t>
  </si>
  <si>
    <t>ALUMINIO NACIONAL INDUSTRIA &amp; COMERCIO LTDA</t>
  </si>
  <si>
    <t>Danielle</t>
  </si>
  <si>
    <t>(11) 46776-2491</t>
  </si>
  <si>
    <t xml:space="preserve"> RUA JOAO CANZI 625</t>
  </si>
  <si>
    <t>RIO HOME -  SSW</t>
  </si>
  <si>
    <t>JVL IMPORTS LTDA</t>
  </si>
  <si>
    <t>Leticia</t>
  </si>
  <si>
    <t>(21) 9996-7415</t>
  </si>
  <si>
    <t>jvlimports1@gmail.com</t>
  </si>
  <si>
    <t xml:space="preserve"> AVENIDA JOSE WILKER ATOR 00605</t>
  </si>
  <si>
    <t>22/01/2025 00:00</t>
  </si>
  <si>
    <t>MILLENIUM DISTRIBUIDORA - CT-e</t>
  </si>
  <si>
    <t>Apresentar Solução (50%)</t>
  </si>
  <si>
    <t>Lyke - Treinamento Expede</t>
  </si>
  <si>
    <t>Jorge (consultor)</t>
  </si>
  <si>
    <t>(41) 3373-5432</t>
  </si>
  <si>
    <t>23/01/2025 00:00</t>
  </si>
  <si>
    <t>SORVETES KASCAO</t>
  </si>
  <si>
    <t>SORVETES SUPLES INDUSTRIA E COMERCIO LTDA</t>
  </si>
  <si>
    <t>(13) 35799-6001</t>
  </si>
  <si>
    <t>fiscal@kascao.com.br</t>
  </si>
  <si>
    <t xml:space="preserve"> AV PERSIO DE QUEIROS FILHO 395</t>
  </si>
  <si>
    <t>SAO VICENTE</t>
  </si>
  <si>
    <t>Mega Lux  -  Estoque futuro</t>
  </si>
  <si>
    <t xml:space="preserve">Karoline </t>
  </si>
  <si>
    <t>24/01/2025 00:00</t>
  </si>
  <si>
    <t>Wlad</t>
  </si>
  <si>
    <t>(19) 99100-1216</t>
  </si>
  <si>
    <t>Mta Panelas - Qualidade</t>
  </si>
  <si>
    <t>(46) 8822-9800</t>
  </si>
  <si>
    <t>SULTEX - Mde</t>
  </si>
  <si>
    <t>SULTEX IMPORTACAO E EXPORTACAO LTDA</t>
  </si>
  <si>
    <t>(47) 32687-8704</t>
  </si>
  <si>
    <t>eliane@conasscon.com</t>
  </si>
  <si>
    <t xml:space="preserve"> RODOVIA BR 101 S/N</t>
  </si>
  <si>
    <t>CAMBORIU</t>
  </si>
  <si>
    <t>27/01/2025 00:00</t>
  </si>
  <si>
    <t>A.A. DISTRIBUICAO E IMPORTACAO DE ARTIGOS DE DECORACAO LTDA</t>
  </si>
  <si>
    <t xml:space="preserve">Helena </t>
  </si>
  <si>
    <t>(43) 3032-5600</t>
  </si>
  <si>
    <t>diasadv@sercomtel.com.br</t>
  </si>
  <si>
    <t xml:space="preserve"> R RIO GRANDE DO NORTE 445</t>
  </si>
  <si>
    <t>LONDRINA</t>
  </si>
  <si>
    <t>PAROLIMP - Checkout  Horas Adicionais</t>
  </si>
  <si>
    <t>FU XING - Cloud</t>
  </si>
  <si>
    <t>FU XING COMERCIO IMPORTACAO E EXPORTACAO LTDA</t>
  </si>
  <si>
    <t>Luciana e Bruce</t>
  </si>
  <si>
    <t>(21) 25682-5682</t>
  </si>
  <si>
    <t>fuxingcomercio@gmail.com</t>
  </si>
  <si>
    <t xml:space="preserve"> AVENIDA JULIO DE SA BIERRENBACH ALM 65</t>
  </si>
  <si>
    <t>INGA - Cloud</t>
  </si>
  <si>
    <t>INGA</t>
  </si>
  <si>
    <t xml:space="preserve">Giordany </t>
  </si>
  <si>
    <t>(44) 99922-1990</t>
  </si>
  <si>
    <t>CELSO@INGAIMPORT.COM.BR</t>
  </si>
  <si>
    <t>Igaratiba - Guarani BI</t>
  </si>
  <si>
    <t xml:space="preserve">Jonas </t>
  </si>
  <si>
    <t>(19) 99188-4278</t>
  </si>
  <si>
    <t>Mta Panelas/Link de Pagamento/SSW/B2B</t>
  </si>
  <si>
    <t>João/Eduardo</t>
  </si>
  <si>
    <t xml:space="preserve">Arqplast - WMS </t>
  </si>
  <si>
    <t xml:space="preserve">Juliana </t>
  </si>
  <si>
    <t>Arqplast - B2B</t>
  </si>
  <si>
    <t>PAKIPLAST (Paki Toys &amp; Mercosur) - B2B</t>
  </si>
  <si>
    <t>PAKIPLAST (Paki Toys &amp; Mercosur) - WMS</t>
  </si>
  <si>
    <t>PAKIPLAST (Paki Toys &amp; Mercosur) - Custo</t>
  </si>
  <si>
    <t>PAKIPLAST (Paki Toys &amp; Mercosur) - Cloud</t>
  </si>
  <si>
    <t>RISCHIOTO - CNPJ</t>
  </si>
  <si>
    <t>Wladmilton</t>
  </si>
  <si>
    <t>DUARTES BRINQUEDOS (FIKA) - CNPJ</t>
  </si>
  <si>
    <t>Marcia</t>
  </si>
  <si>
    <t>(11) 9524-0100</t>
  </si>
  <si>
    <t>Univendas - CNPJ</t>
  </si>
  <si>
    <t>(11) 96446-0733</t>
  </si>
  <si>
    <t>Especial Cafés - Guarani BI</t>
  </si>
  <si>
    <t xml:space="preserve">Marcelo </t>
  </si>
  <si>
    <t>(16) 98821-5110</t>
  </si>
  <si>
    <t>Regimara - Guarani BI</t>
  </si>
  <si>
    <t>(19) 3466-2525</t>
  </si>
  <si>
    <t>10/02/2025 00:00</t>
  </si>
  <si>
    <t>Marilar - PDV Guarani</t>
  </si>
  <si>
    <t>Vanessa</t>
  </si>
  <si>
    <t>(11) 98192-8552</t>
  </si>
  <si>
    <t>13/02/2025 00:00</t>
  </si>
  <si>
    <t>PAROLAR - Integração RD Station</t>
  </si>
  <si>
    <t>Kassiara</t>
  </si>
  <si>
    <t>MILLENIUM DISTRIBUIDORA - inclusão de CNPJ</t>
  </si>
  <si>
    <t>QUALITY HOUSE</t>
  </si>
  <si>
    <t>Textil Regimara Ltda</t>
  </si>
  <si>
    <t xml:space="preserve">Dimas </t>
  </si>
  <si>
    <t>(19) 3450-1590</t>
  </si>
  <si>
    <t>jorge@textilregimara.com.br</t>
  </si>
  <si>
    <t xml:space="preserve"> RUA ANIBAL TANGANELLI 95</t>
  </si>
  <si>
    <t>NOVA ODESSA</t>
  </si>
  <si>
    <t>Iuri</t>
  </si>
  <si>
    <t>DAS'PLAST - BI</t>
  </si>
  <si>
    <t>DAS'PLAST INDUSTRIA E COMERCIO DE PLASTICO LTDA</t>
  </si>
  <si>
    <t>Eduardo</t>
  </si>
  <si>
    <t>(11) 4012-7271</t>
  </si>
  <si>
    <t>adm@dasplast.com.br</t>
  </si>
  <si>
    <t xml:space="preserve"> ROD MARGINAL DA RODOVIA DOM PEDRO I (PISTA NORTE) S/N</t>
  </si>
  <si>
    <t>BOM JESUS DOS PERDOES</t>
  </si>
  <si>
    <t>Embalavi - BI</t>
  </si>
  <si>
    <t>Macos</t>
  </si>
  <si>
    <t>(41) 3888-0050</t>
  </si>
  <si>
    <t>PAROLAR - Envio de Boleto whatsapp</t>
  </si>
  <si>
    <t xml:space="preserve">Fernanda </t>
  </si>
  <si>
    <t>Interponte - Proposta WEB - AFV</t>
  </si>
  <si>
    <t>Jorge</t>
  </si>
  <si>
    <t>(21) 2224-7616</t>
  </si>
  <si>
    <t>MILLENIUM DISTRIBUIDORA  - Koncili</t>
  </si>
  <si>
    <t>18/02/2025 00:00</t>
  </si>
  <si>
    <t>Univendas - Guarani BI</t>
  </si>
  <si>
    <t>Janaina</t>
  </si>
  <si>
    <t>19/02/2025 00:00</t>
  </si>
  <si>
    <t>ALUMINIO NACIONAL</t>
  </si>
  <si>
    <t>SULTEX - Cloud</t>
  </si>
  <si>
    <t>ATIVA ATACADO - Treinamento de compras</t>
  </si>
  <si>
    <t>Luis</t>
  </si>
  <si>
    <t>(16) 98832-4224</t>
  </si>
  <si>
    <t>Universal Quimica - Mapeamento e Reimplantação</t>
  </si>
  <si>
    <t>UNIVERSAL QUIMICA INDUSTRIA E COMERCIO LTDA</t>
  </si>
  <si>
    <t>Igor</t>
  </si>
  <si>
    <t>(16) 3763-0033</t>
  </si>
  <si>
    <t>administracao@universalquimica.com.br</t>
  </si>
  <si>
    <t xml:space="preserve"> R LUIZ MARINCEK 35</t>
  </si>
  <si>
    <t>JARDINOPOLIS</t>
  </si>
  <si>
    <t>Lyke   - Telemarketing</t>
  </si>
  <si>
    <t>ERICA ZAGO</t>
  </si>
  <si>
    <t>23/04/2025</t>
  </si>
  <si>
    <t>01/04/2025</t>
  </si>
  <si>
    <t>COLORFLEX - Cloud</t>
  </si>
  <si>
    <t>COLORFLEX ESTAMPARIA LTDA</t>
  </si>
  <si>
    <t>(19) 34981-6791</t>
  </si>
  <si>
    <t>adm@colorflexestamparia.com.br</t>
  </si>
  <si>
    <t xml:space="preserve"> RUA ALEXANDRE BASSORA 1.070</t>
  </si>
  <si>
    <t>ALUMINIO NACIONAL - Horas Extra - WMS</t>
  </si>
  <si>
    <t>Daniellle</t>
  </si>
  <si>
    <t>27/02/2025 00:00</t>
  </si>
  <si>
    <t>DOLCE HOME - WMS</t>
  </si>
  <si>
    <t>DOLCE HOME COMERCIO DE UTILIDADES DOMESTICAS LTDA.</t>
  </si>
  <si>
    <t>Gabriel</t>
  </si>
  <si>
    <t xml:space="preserve"> R EMILIO GOELDI 111</t>
  </si>
  <si>
    <t>14/03/2025 00:00</t>
  </si>
  <si>
    <t>03/04/2025</t>
  </si>
  <si>
    <t>QUALITY HOUSE - Reciclagem</t>
  </si>
  <si>
    <t>12/03/2025 00:00</t>
  </si>
  <si>
    <t>UTIL UD -  CNPJ</t>
  </si>
  <si>
    <t xml:space="preserve">Elisabete </t>
  </si>
  <si>
    <t>ATIVA ATACADO - PCP</t>
  </si>
  <si>
    <t>SIPOM - CTe</t>
  </si>
  <si>
    <t>SIPOM GROUP LTDA</t>
  </si>
  <si>
    <t>(16) 3373-3133</t>
  </si>
  <si>
    <t>recepcao@mecanocontabil.com.br</t>
  </si>
  <si>
    <t xml:space="preserve"> RODOVIA ENGENHEIRO THALES DE LORENA PEIXOTO JUNIOR (SP 318) S/N</t>
  </si>
  <si>
    <t>GIFTUTIL</t>
  </si>
  <si>
    <t>GIFTUTIL COMERCIO E IMPORTACAO LTDA</t>
  </si>
  <si>
    <t>Maria Eduarda</t>
  </si>
  <si>
    <t>(11) 2068-5854</t>
  </si>
  <si>
    <t>contato@giftutil.com.br</t>
  </si>
  <si>
    <t xml:space="preserve"> RUA ABRAHAO CALUX 103</t>
  </si>
  <si>
    <t>Montebello - Inclusão de CNPJ</t>
  </si>
  <si>
    <t>(19) 99708-3799</t>
  </si>
  <si>
    <t>18/03/2025 00:00</t>
  </si>
  <si>
    <t>ATIVA ATACADO - RD Station</t>
  </si>
  <si>
    <t>Renan</t>
  </si>
  <si>
    <t>19/03/2025 00:00</t>
  </si>
  <si>
    <t>DUARTES BRINQUEDOS (FIKA)</t>
  </si>
  <si>
    <t>J C VACCARIN  - Boleto por APP</t>
  </si>
  <si>
    <t>J C VACCARIN &amp; VACCARIN LTDA</t>
  </si>
  <si>
    <t>Julia</t>
  </si>
  <si>
    <t>(45) 32241-2204</t>
  </si>
  <si>
    <t xml:space="preserve"> RUA ERECHIM 755</t>
  </si>
  <si>
    <t>CASCAVEL</t>
  </si>
  <si>
    <t>20/03/2025 00:00</t>
  </si>
  <si>
    <t>BRL Alimentos - Inclusão de CNPJ + CTE</t>
  </si>
  <si>
    <t>BRL ALIMENTOS LTDA</t>
  </si>
  <si>
    <t>(38) 9933-6602</t>
  </si>
  <si>
    <t>financeiro@casadaspolpas.com.br</t>
  </si>
  <si>
    <t xml:space="preserve"> RUA JURAMENTO 293</t>
  </si>
  <si>
    <t>MONTES CLAROS</t>
  </si>
  <si>
    <t>Paramount - Cloud</t>
  </si>
  <si>
    <t>26/03/2025 00:00</t>
  </si>
  <si>
    <t>KOZI PLAST - CNPJ</t>
  </si>
  <si>
    <t>KOZI PLAST INDUSTRIA E COMERCIO LTDA</t>
  </si>
  <si>
    <t>(19) 3893-4999</t>
  </si>
  <si>
    <t>contato@koziplast.com.br</t>
  </si>
  <si>
    <t xml:space="preserve"> RUA PRIMO ANGELO BERLOFA 101</t>
  </si>
  <si>
    <t>PEDREIRA</t>
  </si>
  <si>
    <t>Flora Nectar - Treinamento Estoque</t>
  </si>
  <si>
    <t>COLORFLEX - Treinamento AFV</t>
  </si>
  <si>
    <t>(19) 98712-6669</t>
  </si>
  <si>
    <t>ALUMINIO NACIONAL - Qualidade</t>
  </si>
  <si>
    <t>Daniela</t>
  </si>
  <si>
    <t>31/03/2025 00:00</t>
  </si>
  <si>
    <t>24/03/2025</t>
  </si>
  <si>
    <t>GP INOX - B2B</t>
  </si>
  <si>
    <t>GP INOX - COMERCIO DE UTILIDADES DOMESTICAS LTDA</t>
  </si>
  <si>
    <t>(43) 3322-4025</t>
  </si>
  <si>
    <t>prolar@grupoprolar.com.br</t>
  </si>
  <si>
    <t xml:space="preserve"> AVENIDA DEZ DE DEZEMBRO 6769</t>
  </si>
  <si>
    <t>01/04/2025 00:00</t>
  </si>
  <si>
    <t>SULTEX - Treinamento AFV</t>
  </si>
  <si>
    <t>Mta Panelas - AFB B2B</t>
  </si>
  <si>
    <t>08/04/2025 00:00</t>
  </si>
  <si>
    <t xml:space="preserve">ATIVA ATACADO  - Treinamento </t>
  </si>
  <si>
    <t>Maycon</t>
  </si>
  <si>
    <t>QUALYPLAS  - CNPJ</t>
  </si>
  <si>
    <t xml:space="preserve">Elizangela </t>
  </si>
  <si>
    <t>COLORFLEX - Contábil</t>
  </si>
  <si>
    <t>03/04/2025 00:00</t>
  </si>
  <si>
    <t>Plastcap - Reciclagem e Implantação</t>
  </si>
  <si>
    <t>(19) 99623-2473</t>
  </si>
  <si>
    <t>Universal Quimica - Integrador Tray</t>
  </si>
  <si>
    <t>Evelyn</t>
  </si>
  <si>
    <t>08/04/2025</t>
  </si>
  <si>
    <t>AKITEM UTILIDADES - Substituição de CNPJ</t>
  </si>
  <si>
    <t>LEME OLIVEIRA COMERCIO DE UTILIDADES LTDA</t>
  </si>
  <si>
    <t>Henrique</t>
  </si>
  <si>
    <t>(19) 8304-0091</t>
  </si>
  <si>
    <t>financeiro@akitembembarato.com</t>
  </si>
  <si>
    <t xml:space="preserve"> R CICA 201</t>
  </si>
  <si>
    <t xml:space="preserve">RIO HOME - Envio de Boleto Whatsapp </t>
  </si>
  <si>
    <t xml:space="preserve">ALUMINIO NACIONAL - Inventário </t>
  </si>
  <si>
    <t xml:space="preserve">CARDOSO BRINQUEDO - Link de Pagamento </t>
  </si>
  <si>
    <t>CARDOSO INDUSTRIA E COMERCIO DE PLASTICOS LTDA</t>
  </si>
  <si>
    <t>Renato</t>
  </si>
  <si>
    <t>(11) 98432-0025</t>
  </si>
  <si>
    <t>renato.masiero@cardosotoys.com.br</t>
  </si>
  <si>
    <t xml:space="preserve"> AV MATASHIRO YAMAGUIHI 278</t>
  </si>
  <si>
    <t>10/04/2025 00:00</t>
  </si>
  <si>
    <t>Pupi Imports - MDF-E e CT-E</t>
  </si>
  <si>
    <t>PUPI IMPORTS IMPORTACAO E COMERCIO LTDA</t>
  </si>
  <si>
    <t xml:space="preserve"> AVENIDA CARLOS HUMBERTO TERNES 1415</t>
  </si>
  <si>
    <t>Plásticos Mb - Treinamento AFV - Integrador</t>
  </si>
  <si>
    <t>Ederaldo/Lucilene</t>
  </si>
  <si>
    <t>(11) 99247-5223</t>
  </si>
  <si>
    <t>14/04/2025 00:00</t>
  </si>
  <si>
    <t>Maitê</t>
  </si>
  <si>
    <t>16/04/2025 00:00</t>
  </si>
  <si>
    <t>Marilar - CNPJ</t>
  </si>
  <si>
    <t>17/04/2025 00:00</t>
  </si>
  <si>
    <t>COLORFLEX - Compras</t>
  </si>
  <si>
    <t>23/04/2025 00:00</t>
  </si>
  <si>
    <t>DUTE - CNPJ - Implantação Estoque futuro</t>
  </si>
  <si>
    <t>DUTE IMPORTADORA E EXPORTADORA LTDA</t>
  </si>
  <si>
    <t>(11) 3451-3709</t>
  </si>
  <si>
    <t>comercialsp@dutebrasil.com.br</t>
  </si>
  <si>
    <t xml:space="preserve"> RODOVIA BR 280 7199</t>
  </si>
  <si>
    <t>GUARAMIRIM</t>
  </si>
  <si>
    <t>Duda</t>
  </si>
  <si>
    <t>30/04/2025 00:00</t>
  </si>
  <si>
    <t>walter</t>
  </si>
  <si>
    <t>Embalavi E-commerce</t>
  </si>
  <si>
    <t>Evandro</t>
  </si>
  <si>
    <t>LIRA DISTRIBUIDORA - PDV</t>
  </si>
  <si>
    <t>(16) 3116-5299</t>
  </si>
  <si>
    <t>05/05/2025 00:00</t>
  </si>
  <si>
    <t>GIFTUTIL - Add-on Multiloja</t>
  </si>
  <si>
    <t>Eduarda</t>
  </si>
  <si>
    <t>06/05/2025 00:00</t>
  </si>
  <si>
    <t>06/05/2025</t>
  </si>
  <si>
    <t>07/05/2025 00:00</t>
  </si>
  <si>
    <t xml:space="preserve">Plásticos Mb - Loja B2B </t>
  </si>
  <si>
    <t>08/05/2025 00:00</t>
  </si>
  <si>
    <t>Vitazza - CRM</t>
  </si>
  <si>
    <t xml:space="preserve">Guilherme </t>
  </si>
  <si>
    <t>(11) 4743-3053</t>
  </si>
  <si>
    <t>09/05/2025 00:00</t>
  </si>
  <si>
    <t>Plásticos Mb - Proposta WEB</t>
  </si>
  <si>
    <t xml:space="preserve">Victor </t>
  </si>
  <si>
    <t>Chahin - Alteração E-commerce</t>
  </si>
  <si>
    <t xml:space="preserve">Chahin </t>
  </si>
  <si>
    <t>(11) 2675-1375</t>
  </si>
  <si>
    <t>12/05/2025 00:00</t>
  </si>
  <si>
    <t>12/05/2025</t>
  </si>
  <si>
    <t>ALUMINIO NACIONAL- Treinamento processos PCP</t>
  </si>
  <si>
    <t>14/05/2025 00:00</t>
  </si>
  <si>
    <t>14/05/2025</t>
  </si>
  <si>
    <t xml:space="preserve">COLORFLEX - Mapeamento Almoxarifado </t>
  </si>
  <si>
    <t>15/05/2025 00:00</t>
  </si>
  <si>
    <t>ATIVA ATACADO - compras, almoxarifado e recebiment</t>
  </si>
  <si>
    <t>FACINATO - Alinhamento Estratégico: Próximos Passo</t>
  </si>
  <si>
    <t>FACINATO COMERCIO, IMPORTACAO E EXPORTACAO LTDA</t>
  </si>
  <si>
    <t>Emerson</t>
  </si>
  <si>
    <t>(11) 32976-0951</t>
  </si>
  <si>
    <t>sucont@terra.com.br</t>
  </si>
  <si>
    <t xml:space="preserve"> RUA VALENTIM MAGALHAES 347</t>
  </si>
  <si>
    <t>21/05/2025 00:00</t>
  </si>
  <si>
    <t>QFESTA - Link de pagamento</t>
  </si>
  <si>
    <t>14/07/2025</t>
  </si>
  <si>
    <t>MOKFA IMPORT - Expedição</t>
  </si>
  <si>
    <t>MOKFA IMPORT LTDA</t>
  </si>
  <si>
    <t>(48) 3447-6367</t>
  </si>
  <si>
    <t>diego@mokfaimport.com</t>
  </si>
  <si>
    <t xml:space="preserve"> RODOVIA ARCHIMEDES NASPOLINI 2500</t>
  </si>
  <si>
    <t>CRICIUMA</t>
  </si>
  <si>
    <t>16/05/2025 00:00</t>
  </si>
  <si>
    <t>YOSS COMERCIAL - Alinhamento Estratégico: Próximos</t>
  </si>
  <si>
    <t>YOSS COMERCIAL IMPORTADORA E EXPORTADORA LTDA</t>
  </si>
  <si>
    <t xml:space="preserve">Fernando </t>
  </si>
  <si>
    <t>(11) 33132-2021</t>
  </si>
  <si>
    <t>vitoria@yoss.com.br</t>
  </si>
  <si>
    <t xml:space="preserve"> RUA VENEZA 162</t>
  </si>
  <si>
    <t>Wellmix - Proposta WEB</t>
  </si>
  <si>
    <t>Everton</t>
  </si>
  <si>
    <t>19/05/2025</t>
  </si>
  <si>
    <t>19/05/2025 00:00</t>
  </si>
  <si>
    <t>NIX HOUSE - Estoque Futuro</t>
  </si>
  <si>
    <t>WEBRING IMPORT LTDA</t>
  </si>
  <si>
    <t>Nazeeh</t>
  </si>
  <si>
    <t>(11) 1111-1111</t>
  </si>
  <si>
    <t>grupo.evolucao@terra.com.br</t>
  </si>
  <si>
    <t xml:space="preserve"> AVENIDA SEN QUEIROS 279</t>
  </si>
  <si>
    <t>TERRA BOA ESPECIARIAS  - Routeasy</t>
  </si>
  <si>
    <t>Alxandre</t>
  </si>
  <si>
    <t>28/07/2025</t>
  </si>
  <si>
    <t>CULTURAMA - Guarani BI</t>
  </si>
  <si>
    <t>CULTURAMA LTDA</t>
  </si>
  <si>
    <t>(54) 30273-8275</t>
  </si>
  <si>
    <t>recebimento@culturama.com.br</t>
  </si>
  <si>
    <t xml:space="preserve"> RUA TRONCA 2660</t>
  </si>
  <si>
    <t>03/06/2025</t>
  </si>
  <si>
    <t>Humberto</t>
  </si>
  <si>
    <t>Scotti - Cloud</t>
  </si>
  <si>
    <t>20/05/2025</t>
  </si>
  <si>
    <t>20/05/2025 00:00</t>
  </si>
  <si>
    <t>MUNDI EPS treinamento</t>
  </si>
  <si>
    <t>Leonardo</t>
  </si>
  <si>
    <t>Arcaplast - Novo CD</t>
  </si>
  <si>
    <t>22/05/2025 00:00</t>
  </si>
  <si>
    <t>Univendas - Horas WMS</t>
  </si>
  <si>
    <t>Scotti - Neocredit</t>
  </si>
  <si>
    <t>Charles</t>
  </si>
  <si>
    <t>Mta Panelas - Treinamento Custos</t>
  </si>
  <si>
    <t>27/05/2025 00:00</t>
  </si>
  <si>
    <t>Arcaplast - Guarani B2B</t>
  </si>
  <si>
    <t>Univendas - Boleto wapp</t>
  </si>
  <si>
    <t>Bruna</t>
  </si>
  <si>
    <t>(11) 95061-6526</t>
  </si>
  <si>
    <t>28/05/2025 00:00</t>
  </si>
  <si>
    <t>ATIVA ATACADO - Treinamento A pagar e receber</t>
  </si>
  <si>
    <t>Mayco</t>
  </si>
  <si>
    <t>29/05/2025 00:00</t>
  </si>
  <si>
    <t>Master Ud   - Manifestação Destinatário</t>
  </si>
  <si>
    <t>(67) 99209-2648</t>
  </si>
  <si>
    <t>04/06/2025</t>
  </si>
  <si>
    <t>QFESTA - TLK</t>
  </si>
  <si>
    <t>21987697145</t>
  </si>
  <si>
    <t>04/06/2025 00:00</t>
  </si>
  <si>
    <t>Flora Nectar - AFV - Reimplantação</t>
  </si>
  <si>
    <t>Roger</t>
  </si>
  <si>
    <t>05/06/2025 00:00</t>
  </si>
  <si>
    <t>Full Fit - B2B</t>
  </si>
  <si>
    <t>(11) 3577-0555</t>
  </si>
  <si>
    <t>Plásticos MB - Proposta WEB</t>
  </si>
  <si>
    <t xml:space="preserve">Rayssa </t>
  </si>
  <si>
    <t>06/06/2025 00:00</t>
  </si>
  <si>
    <t>CULTURAMA  - CNPJ</t>
  </si>
  <si>
    <t xml:space="preserve">Vinicus </t>
  </si>
  <si>
    <t>10/06/2025 00:00</t>
  </si>
  <si>
    <t xml:space="preserve">DUTE - Checkout </t>
  </si>
  <si>
    <t>GUstavo</t>
  </si>
  <si>
    <t>12/06/2025 00:00</t>
  </si>
  <si>
    <t>PAROLAR- Envio de Boleto por Whatsapp</t>
  </si>
  <si>
    <t xml:space="preserve">Camila </t>
  </si>
  <si>
    <t>13/06/2025 00:00</t>
  </si>
  <si>
    <t>QUALYPLAS - envio de boleto por whatsapp</t>
  </si>
  <si>
    <t xml:space="preserve">Raissa </t>
  </si>
  <si>
    <t>INGA - Routeazy</t>
  </si>
  <si>
    <t>ZINCO METAL - Envio de Boleto por Whatsapp</t>
  </si>
  <si>
    <t>ZINCO METAL COMERCIO LTDA</t>
  </si>
  <si>
    <t>Priscila</t>
  </si>
  <si>
    <t>(11) 66061-4506</t>
  </si>
  <si>
    <t>suely.alonso@terra.com.br</t>
  </si>
  <si>
    <t xml:space="preserve"> RUA DO ORFANATO 549</t>
  </si>
  <si>
    <t>Dvidros - envio de boleto por Whatsapp</t>
  </si>
  <si>
    <t>Zezé</t>
  </si>
  <si>
    <t>(31) 98860-5879</t>
  </si>
  <si>
    <t>16/06/2025 00:00</t>
  </si>
  <si>
    <t>FWB - Envio de Boleto Whatsapp</t>
  </si>
  <si>
    <t>Aline</t>
  </si>
  <si>
    <t>Interponte - Envio de Boleto Whatsapp</t>
  </si>
  <si>
    <t>Dismarina  - Envio de Boleto por Whatsapp</t>
  </si>
  <si>
    <t>Nice</t>
  </si>
  <si>
    <t>(65) 3661-2571</t>
  </si>
  <si>
    <t>Ndi Importação - Envio de Boleto Whatsapp</t>
  </si>
  <si>
    <t>KEITA - envio de Boleto Whatsapp</t>
  </si>
  <si>
    <t xml:space="preserve">Andressa </t>
  </si>
  <si>
    <t>(11) 99979-7484</t>
  </si>
  <si>
    <t>Plásticos MB - Segregação AFV</t>
  </si>
  <si>
    <t>Victor</t>
  </si>
  <si>
    <t>18/06/2025 00:00</t>
  </si>
  <si>
    <t xml:space="preserve">Plásticos MB - Consultoria </t>
  </si>
  <si>
    <t>MILLENIUM DISTRIBUIDORA - Koncili</t>
  </si>
  <si>
    <t>17/06/2025 00:00</t>
  </si>
  <si>
    <t>24/06/2025 00:00</t>
  </si>
  <si>
    <t>ALUMINIO NACIONAL - Envio de Boleto por Whatsapp</t>
  </si>
  <si>
    <t>Aliança Importadora - Saldo de horas</t>
  </si>
  <si>
    <t>(48) 98455-2099</t>
  </si>
  <si>
    <t>SUTT IMPORTADORA - Saldo de horas</t>
  </si>
  <si>
    <t>Jack</t>
  </si>
  <si>
    <t>Pupi Imports - Inclusão de Empresas</t>
  </si>
  <si>
    <t>25/06/2025 00:00</t>
  </si>
  <si>
    <t>UTIL UD - Telemarketing</t>
  </si>
  <si>
    <t>03/07/2025</t>
  </si>
  <si>
    <t xml:space="preserve">Wellmix - Treinamento equipe de vendas </t>
  </si>
  <si>
    <t>Pupi Imports - Multiloja</t>
  </si>
  <si>
    <t>RUVOLO - Koncili</t>
  </si>
  <si>
    <t>Pablo</t>
  </si>
  <si>
    <t>GP INOX Telemarketing</t>
  </si>
  <si>
    <t>03/07/2025 00:00</t>
  </si>
  <si>
    <t xml:space="preserve">Koisas de Kozinha - Processos fiscais </t>
  </si>
  <si>
    <t xml:space="preserve">Mariana </t>
  </si>
  <si>
    <t>07/07/2025 00:00</t>
  </si>
  <si>
    <t>KOZI PLAST - Treinamento PCP</t>
  </si>
  <si>
    <t>DUS - CNPJ</t>
  </si>
  <si>
    <t>Melissa</t>
  </si>
  <si>
    <t>(24) 3336-1437 / (24) 3336-1437</t>
  </si>
  <si>
    <t>08/07/2025 00:00</t>
  </si>
  <si>
    <t>Helena</t>
  </si>
  <si>
    <t>DUS - Módulo Contábil</t>
  </si>
  <si>
    <t xml:space="preserve">Melissa </t>
  </si>
  <si>
    <t>21/07/2025</t>
  </si>
  <si>
    <t>RISCHIOTO - Interlipost</t>
  </si>
  <si>
    <t>11/07/2025 00:00</t>
  </si>
  <si>
    <t>INGA - Interlipost</t>
  </si>
  <si>
    <t>27/07/2025</t>
  </si>
  <si>
    <t>PAROLAR - Guarani Expede</t>
  </si>
  <si>
    <t>SORVETES KASCAO - Qualidade</t>
  </si>
  <si>
    <t>16/07/2025 00:00</t>
  </si>
  <si>
    <t>14/07/2025 00:00</t>
  </si>
  <si>
    <t>QUALYPLAS - Financeiro - Fiscal - Compras</t>
  </si>
  <si>
    <t>YOSS COMERCIAL - Reciclagem</t>
  </si>
  <si>
    <t>Fernando</t>
  </si>
  <si>
    <t>17/07/2025 00:00</t>
  </si>
  <si>
    <t>PAROLAR - CNPJ</t>
  </si>
  <si>
    <t xml:space="preserve">Marcia </t>
  </si>
  <si>
    <t>23/07/2025 00:00</t>
  </si>
  <si>
    <t>Dislar - treinamento</t>
  </si>
  <si>
    <t>Cleison</t>
  </si>
  <si>
    <t>(11) 99976-5402</t>
  </si>
  <si>
    <t>24/07/2025 00:00</t>
  </si>
  <si>
    <t xml:space="preserve">Regimara - Visita Técnica </t>
  </si>
  <si>
    <t>Jéssica</t>
  </si>
  <si>
    <t>PAROLAR - Estoque Futuro</t>
  </si>
  <si>
    <t>Ndi Importação - Cloud</t>
  </si>
  <si>
    <t>30/07/2025 00:00</t>
  </si>
  <si>
    <t>Plasduran - Link de pagamento</t>
  </si>
  <si>
    <t>08/08/2025</t>
  </si>
  <si>
    <t>01/08/2025 00:00</t>
  </si>
  <si>
    <t xml:space="preserve">INGA - Treinamento </t>
  </si>
  <si>
    <t>04/08/2025 00:00</t>
  </si>
  <si>
    <t>FAZZIO - Treinamento</t>
  </si>
  <si>
    <t>DAS'PLAST - Link de Pagamento</t>
  </si>
  <si>
    <t>MILLENIUM DISTRIBUIDORA - Lexos e CNPJ</t>
  </si>
  <si>
    <t>07/08/2025 00:00</t>
  </si>
  <si>
    <t>INGA - Link de Pagamento</t>
  </si>
  <si>
    <t>Celsinho</t>
  </si>
  <si>
    <t>ALUMINIO NACIONAL - B2B</t>
  </si>
  <si>
    <t>PAROLIMP - Link de Pagamento</t>
  </si>
  <si>
    <t>08/08/2025 00:00</t>
  </si>
  <si>
    <t>KOZI PLAST - PCP</t>
  </si>
  <si>
    <t>SULTEX  - CIAP - Ativo Imobilizado</t>
  </si>
  <si>
    <t xml:space="preserve">DCARTE - Módulo Iara </t>
  </si>
  <si>
    <t>DCARTE IMPORTACAO E EXPORTACAO LTDA</t>
  </si>
  <si>
    <t>Vivi</t>
  </si>
  <si>
    <t>(21) 3075-1089</t>
  </si>
  <si>
    <t>dcarte.importacao@dcarte.com.br</t>
  </si>
  <si>
    <t xml:space="preserve"> ESTRADA NOGUEIRAS 1052</t>
  </si>
  <si>
    <t>13/08/2025 00:00</t>
  </si>
  <si>
    <t xml:space="preserve">Aliança Importadora  - Link de Pagamento </t>
  </si>
  <si>
    <t>Univendas - Envio de Boleto por Whatsapp</t>
  </si>
  <si>
    <t>Guilherme</t>
  </si>
  <si>
    <t>15/08/2025 00:00</t>
  </si>
  <si>
    <t xml:space="preserve">RUVOLO  - CNPJ </t>
  </si>
  <si>
    <t>ELMO ATACADO - B2B</t>
  </si>
  <si>
    <t>(47) 99994-9301</t>
  </si>
  <si>
    <t>MARCAMIX - Interlipost</t>
  </si>
  <si>
    <t>Ismael</t>
  </si>
  <si>
    <t>(11) 4527-1355</t>
  </si>
  <si>
    <t>14/08/2025 00:00</t>
  </si>
  <si>
    <t>Belmount Indústria - Link de Pagamento</t>
  </si>
  <si>
    <t>José Roberto</t>
  </si>
  <si>
    <t>(19) 3491-5905</t>
  </si>
  <si>
    <t>contato@belmount.com.br</t>
  </si>
  <si>
    <t>20/08/2025 00:00</t>
  </si>
  <si>
    <t>Comercial Bela Vista - Link de Pagamento</t>
  </si>
  <si>
    <t>Dislar - Saldo de Horas</t>
  </si>
  <si>
    <t>TERRA BOA ESPECIARIAS - Treinamento de Custo</t>
  </si>
  <si>
    <t>21/08/2025 00:00</t>
  </si>
  <si>
    <t>Mta Panelas - Industrialização em terceiro</t>
  </si>
  <si>
    <t>Tiago</t>
  </si>
  <si>
    <t>Mta Panelas - Link de Pagamento</t>
  </si>
  <si>
    <t>DAS'PLAST - Treinamento PCP</t>
  </si>
  <si>
    <t xml:space="preserve">Nuno </t>
  </si>
  <si>
    <t>NIX HOUSE - Link de Pagamento</t>
  </si>
  <si>
    <t>Nassib</t>
  </si>
  <si>
    <t>Marilar - Integrador E-commerce</t>
  </si>
  <si>
    <t xml:space="preserve">ClassHome -  WMS </t>
  </si>
  <si>
    <t>Luiz Gustavo</t>
  </si>
  <si>
    <t>(47) 9929-4433</t>
  </si>
  <si>
    <t>contasapagar@classhome.com.br</t>
  </si>
  <si>
    <t>26/08/2025 00:00</t>
  </si>
  <si>
    <t>Lyke - Reimplantação AFV</t>
  </si>
  <si>
    <t>Embalavi - Concil</t>
  </si>
  <si>
    <t>29/08/2025 00:00</t>
  </si>
  <si>
    <t>RIO HOME - CNPJ</t>
  </si>
  <si>
    <t>01/09/2025 00:00</t>
  </si>
  <si>
    <t>GIFTUTIL - Estoque Futuro</t>
  </si>
  <si>
    <t>Marilar PDV Guarani</t>
  </si>
  <si>
    <t>03/09/2025 00:00</t>
  </si>
  <si>
    <t>Chahin - Saldo de horas</t>
  </si>
  <si>
    <t>QUALITY HOUSE - Treinamento</t>
  </si>
  <si>
    <t>08/09/2025 00:00</t>
  </si>
  <si>
    <t>Dvidros  - MDF-e</t>
  </si>
  <si>
    <t>Preciza Import - MDFe</t>
  </si>
  <si>
    <t>NIX HOUSE - COMEX</t>
  </si>
  <si>
    <t>SUTT IMPORTADORA - Compras</t>
  </si>
  <si>
    <t>06/10/2025</t>
  </si>
  <si>
    <t>FAZZIO - expedição</t>
  </si>
  <si>
    <t>CULTURAMA - Treinamento Contábil</t>
  </si>
  <si>
    <t>12/09/2025 00:00</t>
  </si>
  <si>
    <t>Paramount - Treinamento WMS</t>
  </si>
  <si>
    <t xml:space="preserve">Marcelha </t>
  </si>
  <si>
    <t>Wellmix - Margem AFV</t>
  </si>
  <si>
    <t>Mta Panelas - CNPJ</t>
  </si>
  <si>
    <t xml:space="preserve">Eduardo </t>
  </si>
  <si>
    <t>BRL Alimentos - Treinamento Comercial</t>
  </si>
  <si>
    <t>Renata</t>
  </si>
  <si>
    <t>(38) 9911-2410</t>
  </si>
  <si>
    <t>18/09/2025 00:00</t>
  </si>
  <si>
    <t>C.R.I (Gnex) - Cloud</t>
  </si>
  <si>
    <t>(16) 99721-7323</t>
  </si>
  <si>
    <t>Universal Quimica - XML</t>
  </si>
  <si>
    <t>KEITA - WMS</t>
  </si>
  <si>
    <t>DAS'PLAST - Treinamento Financeiro</t>
  </si>
  <si>
    <t>Neto</t>
  </si>
  <si>
    <t>19/09/2025 00:00</t>
  </si>
  <si>
    <t>ALUMINIO NACIONAL - Koncili</t>
  </si>
  <si>
    <t>FAZZIO - Saldo de horas SUP-129417</t>
  </si>
  <si>
    <t>COLORFLEX - CIAP</t>
  </si>
  <si>
    <t>25/09/2025 00:00</t>
  </si>
  <si>
    <t>Universal Quimica - Reimplantação</t>
  </si>
  <si>
    <t>TERRA BOA ESPECIARIAS</t>
  </si>
  <si>
    <t>29/09/2025 00:00</t>
  </si>
  <si>
    <t>01/10/2025</t>
  </si>
  <si>
    <t>Full Fit - Iara</t>
  </si>
  <si>
    <t>01/10/2025 00:00</t>
  </si>
  <si>
    <t>FAZZIO - Expedição</t>
  </si>
  <si>
    <t>MYPA  - CRM</t>
  </si>
  <si>
    <t>MYPA COMERCIO DE ARTIGOS DE ARMARINHO LTDA</t>
  </si>
  <si>
    <t>Willian</t>
  </si>
  <si>
    <t>(81) 21233-0008</t>
  </si>
  <si>
    <t xml:space="preserve"> AVENIDA GOVERNADOR ERALDO GUEIROS LEITE 220</t>
  </si>
  <si>
    <t>ABREU E LIMA</t>
  </si>
  <si>
    <t>PE</t>
  </si>
  <si>
    <t>02/10/2025 00:00</t>
  </si>
  <si>
    <t xml:space="preserve">Emerson </t>
  </si>
  <si>
    <t>03/10/2025 00:00</t>
  </si>
  <si>
    <t>Precisa Import - Envio de boleto por Whatsapp</t>
  </si>
  <si>
    <t>(11) 97296-1489</t>
  </si>
  <si>
    <t>AKITEM UTILIDADES - WMS</t>
  </si>
  <si>
    <t>Antonio</t>
  </si>
  <si>
    <t>20/10/2025</t>
  </si>
  <si>
    <t>10/12/2025</t>
  </si>
  <si>
    <t>VIA LAR - UTILIDADES DOMESTICAS LTDA</t>
  </si>
  <si>
    <t xml:space="preserve">Wilson </t>
  </si>
  <si>
    <t>(11) 2100-3030</t>
  </si>
  <si>
    <t>financeiro@vialarutilidades.com.br</t>
  </si>
  <si>
    <t>Regimara - Saldo de Horas</t>
  </si>
  <si>
    <t>06/10/2025 00:00</t>
  </si>
  <si>
    <t xml:space="preserve">Melissa, quer criar um site de vendas com função de retirar na loja. </t>
  </si>
  <si>
    <t>Passei as opções que temos integrações porém como quer uma funcionalidade especifica</t>
  </si>
  <si>
    <t>21922850000117</t>
  </si>
  <si>
    <t>Melissa - DUS</t>
  </si>
  <si>
    <t>R$ 3360</t>
  </si>
  <si>
    <t>R$ 712.8</t>
  </si>
  <si>
    <t>10:32:23</t>
  </si>
  <si>
    <t>ATIVA ATACADO - MDF-e</t>
  </si>
  <si>
    <t>Diva</t>
  </si>
  <si>
    <t>10/10/2025 00:00</t>
  </si>
  <si>
    <t>Jd Imports CNPJ</t>
  </si>
  <si>
    <t>Everaldo</t>
  </si>
  <si>
    <t>(35) 9961-3586</t>
  </si>
  <si>
    <t>Mares Comercio Importacao - Envio de Boleto por Whatsapp</t>
  </si>
  <si>
    <t>Ana</t>
  </si>
  <si>
    <t>(41) 9521-4843</t>
  </si>
  <si>
    <t>lizhuang2506@gmail.com</t>
  </si>
  <si>
    <t>17/10/2025 00:00</t>
  </si>
  <si>
    <t>Pupi Imports - Link B2B</t>
  </si>
  <si>
    <t>20/10/2025 00:00</t>
  </si>
  <si>
    <t>Pupi Imports - Loja B2B</t>
  </si>
  <si>
    <t>Fogo Azul - Markup</t>
  </si>
  <si>
    <t>Gatti</t>
  </si>
  <si>
    <t>Q´Festa - Link de Pagamento</t>
  </si>
  <si>
    <t>Millany</t>
  </si>
  <si>
    <t>MULTIPRESENTES PRESENTES E BRINQUEDOS LTDA</t>
  </si>
  <si>
    <t xml:space="preserve">Rogério </t>
  </si>
  <si>
    <t>(18) 3323-7688</t>
  </si>
  <si>
    <t>GP INOX - Estoque Futuro</t>
  </si>
  <si>
    <t>21/10/2025 00:00</t>
  </si>
  <si>
    <t>05.02 estão concluindo a negociação com a Lexos</t>
  </si>
  <si>
    <t>GYN ATACADO LTDA - Integrador E-commerce</t>
  </si>
  <si>
    <t>Cicero</t>
  </si>
  <si>
    <t>(62) 3626-7957</t>
  </si>
  <si>
    <t>elianevelosonobrega@outlook.com</t>
  </si>
  <si>
    <t>Master Ud - Cloud</t>
  </si>
  <si>
    <t>22/10/2025 00:00</t>
  </si>
  <si>
    <t>Arcaplast - Boleto Whatsapp</t>
  </si>
  <si>
    <t xml:space="preserve">Dierson </t>
  </si>
  <si>
    <t>DOLCE HOME - Integrador</t>
  </si>
  <si>
    <t>27/10/2025 00:00</t>
  </si>
  <si>
    <t>SUTT IMPORTADORA  - Checkout</t>
  </si>
  <si>
    <t>GYN ATACADO LTDA - Cloud</t>
  </si>
  <si>
    <t>DAS'PLAST - PCP</t>
  </si>
  <si>
    <t>Nuno</t>
  </si>
  <si>
    <t>29/10/2025 00:00</t>
  </si>
  <si>
    <t>DOLCE HOME - B2B</t>
  </si>
  <si>
    <t>Univendas - Cloud</t>
  </si>
  <si>
    <t>(11) 98404-7252</t>
  </si>
  <si>
    <t>28/10/2025 00:00</t>
  </si>
  <si>
    <t>VITORIA CORTINAS - Coletor</t>
  </si>
  <si>
    <t>Raul Simionato</t>
  </si>
  <si>
    <t>(35) 3445-2869 / (35) 3421-5032</t>
  </si>
  <si>
    <t>contabilidade@habitusconsultoria.com.br</t>
  </si>
  <si>
    <t>06/11/2025</t>
  </si>
  <si>
    <t>MYPA - Integrador ecommerce e CNPJ</t>
  </si>
  <si>
    <t>Precisa Import - preposto</t>
  </si>
  <si>
    <t>07/11/2025 00:00</t>
  </si>
  <si>
    <t>NIX HOUSE</t>
  </si>
  <si>
    <t>QUALYPLAS - PCP</t>
  </si>
  <si>
    <t>QUALYPLAS - MDE</t>
  </si>
  <si>
    <t>11/11/2025</t>
  </si>
  <si>
    <t>QUALYPLAS - Contabil</t>
  </si>
  <si>
    <t>Pupi Imports - WMS</t>
  </si>
  <si>
    <t>13/11/2025 00:00</t>
  </si>
  <si>
    <t>SULTEX - Xmodal</t>
  </si>
  <si>
    <t>18/11/2025 00:00</t>
  </si>
  <si>
    <t>Rafinha Alimentos - Interlipost</t>
  </si>
  <si>
    <t xml:space="preserve">Raul </t>
  </si>
  <si>
    <t>(11) 91713-4690</t>
  </si>
  <si>
    <t>financeiro.fiscal@rafinhaalimentos.com.br</t>
  </si>
  <si>
    <t>COLORFLEX - AFV</t>
  </si>
  <si>
    <t>25/11/2025 00:00</t>
  </si>
  <si>
    <t>NANOX TECNOLOGIA S/A - BI</t>
  </si>
  <si>
    <t>Carina</t>
  </si>
  <si>
    <t>(16) 3371-2426</t>
  </si>
  <si>
    <t>financeiro@nanox.com.br</t>
  </si>
  <si>
    <t>27/11/2025 00:00</t>
  </si>
  <si>
    <t>05/01/2026</t>
  </si>
  <si>
    <t>DOLCE HOME - CNPJ</t>
  </si>
  <si>
    <t>GYN ATACADO - Inventário</t>
  </si>
  <si>
    <t>28/11/2025 00:00</t>
  </si>
  <si>
    <t>PAROLAR - Checkout</t>
  </si>
  <si>
    <t>DAS'PLAST - Treinamento</t>
  </si>
  <si>
    <t>DCARTE - WMS</t>
  </si>
  <si>
    <t>COLORFLEX - XModal</t>
  </si>
  <si>
    <t>MUNDI EPS - CNPJ</t>
  </si>
  <si>
    <t>08/12/2025 00:00</t>
  </si>
  <si>
    <t>Wellmix - Mudança de Banco</t>
  </si>
  <si>
    <t>Luiz</t>
  </si>
  <si>
    <t>11/12/2025 00:00</t>
  </si>
  <si>
    <t>17/12/2025 00:00</t>
  </si>
  <si>
    <t>16/12/2025 00:00</t>
  </si>
  <si>
    <t>23/12/2025</t>
  </si>
  <si>
    <t>Chahin - Alteração Empresa Integrador</t>
  </si>
  <si>
    <t>19/12/2025 00:00</t>
  </si>
  <si>
    <t>18/12/2025 00:00</t>
  </si>
  <si>
    <t>GYN ATACADO LTDA - B2B</t>
  </si>
  <si>
    <t>06/01/2026 00:00</t>
  </si>
  <si>
    <t>GYN ATACADO LTDA - BI</t>
  </si>
  <si>
    <t>09:57, 30/01/2026 Rayssa Karapeticov - Comercial - Guarani Sistemas: Bom dia, Elaine!</t>
  </si>
  <si>
    <t>Espero que esteja tudo bem com você.</t>
  </si>
  <si>
    <t>No dia 06/01 encaminhei a proposta para inclusão de CNPJ. Caso já tenha alguma previsão para início do uso dessa empresa</t>
  </si>
  <si>
    <t>Vou dar baixa na proposta por enquanto e</t>
  </si>
  <si>
    <t>Atenciosamente</t>
  </si>
  <si>
    <t>14:44</t>
  </si>
  <si>
    <t>14:45</t>
  </si>
  <si>
    <t>Elaine</t>
  </si>
  <si>
    <t>R$ 12351</t>
  </si>
  <si>
    <t>R$ 0</t>
  </si>
  <si>
    <t>12:13:37</t>
  </si>
  <si>
    <t>Textil Regimara - BI</t>
  </si>
  <si>
    <t>07/01/2026 00:00</t>
  </si>
  <si>
    <t>08/01/2026</t>
  </si>
  <si>
    <t xml:space="preserve">11:53, 12/01/2026 Rayssa Karapeticov - Comercial - Guarani Sistemas: Bom dia Divino, tudo bem? </t>
  </si>
  <si>
    <t>POsso seguir ?</t>
  </si>
  <si>
    <t>09:33</t>
  </si>
  <si>
    <t>Sobre a questão do Estoque futuro</t>
  </si>
  <si>
    <t>09:56</t>
  </si>
  <si>
    <t>No dia 09/01 encaminhei a proposta para iniciarmos as configurações do estoque futuro. Caso já tenha alguma previsão para início do uso dessa função</t>
  </si>
  <si>
    <t>10:09</t>
  </si>
  <si>
    <t>Dvidros - Estoque Futuro</t>
  </si>
  <si>
    <t>06302372000159</t>
  </si>
  <si>
    <t>R$ 5040</t>
  </si>
  <si>
    <t>09/01/2026</t>
  </si>
  <si>
    <t>JUliana avaliou as soluções que temos integração de ecommerce e  estão negociando com a Lexos.</t>
  </si>
  <si>
    <t>enviei proposta comercial para o integrador"</t>
  </si>
  <si>
    <t>R$ 16200</t>
  </si>
  <si>
    <t>8</t>
  </si>
  <si>
    <t xml:space="preserve">Adeir, e o novo gerente de operações na Univendas e pediu um treinamento de WMS pro Munhoz, enviei proposta comercial para analisem porem o diretor está fora do Pais, então só na proxima semana          </t>
  </si>
  <si>
    <t>05.02 - Gustavo pediu para procura-lo na feira"</t>
  </si>
  <si>
    <t>Adeir</t>
  </si>
  <si>
    <t>R$ 3000</t>
  </si>
  <si>
    <t>29</t>
  </si>
  <si>
    <t>entrou em contato querendo informações do módulo de ativo imobilizado, expliquei como funcinava e que a Ingá precisaria contratar. Ele disse que já faz pela contabilidade mas se tivesse liberado para eles iria cadastrar os notebooks para controle interno</t>
  </si>
  <si>
    <t>INGA - Ativo Imobilizado</t>
  </si>
  <si>
    <t>Negociando saldo de horas do projeto de COntabil</t>
  </si>
  <si>
    <t>CULTURAMA - Horas Contabil</t>
  </si>
  <si>
    <t>16/01/2026 00:00</t>
  </si>
  <si>
    <t>NIX HOUSE - estoque futuro</t>
  </si>
  <si>
    <t>RIO HOME - Link de Pagamento</t>
  </si>
  <si>
    <t>Contato: Charles</t>
  </si>
  <si>
    <t>1) Como esta a sua relação com a Guarani Sistemas</t>
  </si>
  <si>
    <t xml:space="preserve">R: Falou sobre a liberação dos ajustes para reforma tributária e que foi perceptível a redução nos erros de atualização. </t>
  </si>
  <si>
    <t>Estarão na Abup visitando nos dias 03 e 04 e combinamos de tomar um café lá.</t>
  </si>
  <si>
    <t>2) Para 2026</t>
  </si>
  <si>
    <t>Falei com o Charles decidiram mudar a estratégia da empresa em questão de vendas e comercialização de produtos</t>
  </si>
  <si>
    <t>E estão focando em prestação de serviços. "</t>
  </si>
  <si>
    <t>CHARLES</t>
  </si>
  <si>
    <t>(48) 9853-4548</t>
  </si>
  <si>
    <t>elton@scottidistribuidora.com.br</t>
  </si>
  <si>
    <t>Upselling e Crosselling</t>
  </si>
  <si>
    <t>Acompanhamento (100%)</t>
  </si>
  <si>
    <t>27/01 estava em reunião disse que me retorna</t>
  </si>
  <si>
    <t>29//01 - não tive nenhum retorno"</t>
  </si>
  <si>
    <t>(11) 3195-8233 / (11) 4527-1355</t>
  </si>
  <si>
    <t>controladoria@marcamix.com.br</t>
  </si>
  <si>
    <t>Liguei para o Gustavo não atendeu</t>
  </si>
  <si>
    <t>27/0 1 - encerrando tentativas com o Gustavo e o Marcos"</t>
  </si>
  <si>
    <t>Millenium Distribuidora</t>
  </si>
  <si>
    <t>Ivanildo</t>
  </si>
  <si>
    <t>(44) 9105-1973</t>
  </si>
  <si>
    <t>IVANILDO@DMILLENIUM.COM.BR</t>
  </si>
  <si>
    <t>Novos Clientes (0%)</t>
  </si>
  <si>
    <t>19/01/2026 00:00</t>
  </si>
  <si>
    <t>EMBALAVI - SUL DISTRIBUIDORA DE EMBALAGENS LTDA.</t>
  </si>
  <si>
    <t>(54) 3462-4066 / (54) 3462-4000 / (41) 3253-4900</t>
  </si>
  <si>
    <t>embalavisul@embalavisul.com.br</t>
  </si>
  <si>
    <t>DISLAR CENTRAL DE PRODUTOS PARA O LAR LTDA.</t>
  </si>
  <si>
    <t>Paulinho</t>
  </si>
  <si>
    <t>(11) 3686-1403</t>
  </si>
  <si>
    <t>financeiro@assepeme.com.br</t>
  </si>
  <si>
    <t>SULTEXTIL S/A INDUSTRIA DE TECIDOS</t>
  </si>
  <si>
    <t>(19) 3498-1679</t>
  </si>
  <si>
    <t>ARCA PLAST INDUSTRIA E COMERCIO DE PLASTICOS LTDA</t>
  </si>
  <si>
    <t>(85) 3082-0505</t>
  </si>
  <si>
    <t>legalizacoes.04@conectacontabil.com</t>
  </si>
  <si>
    <t>Cliente entrou em contato pedindo inclusão de 2 CNPJs, proposta comercial enviada</t>
  </si>
  <si>
    <t>22/01 negocio fechado</t>
  </si>
  <si>
    <t>18628799000120</t>
  </si>
  <si>
    <t>Moises</t>
  </si>
  <si>
    <t>R$ 5275.18</t>
  </si>
  <si>
    <t>09:18:59</t>
  </si>
  <si>
    <t>22/01/2026</t>
  </si>
  <si>
    <t>12-02 Proposta enviada do Comex</t>
  </si>
  <si>
    <t>NIX HOUSE  - Comex</t>
  </si>
  <si>
    <t>17/02/2026</t>
  </si>
  <si>
    <t>29.01 - Fizemos uma reunião onde levantei vários pontos que o cliente quer automatizar para 2026 dos módulos que temos o cliente tem interesse em seguir com Interlipost, Bi e ainda faremos uma reunião técnica de WMS que irar gerar uma revisão nos processos agendado para segunda dia 02/02</t>
  </si>
  <si>
    <t>MARES  - Interlipost</t>
  </si>
  <si>
    <t xml:space="preserve">Carlos </t>
  </si>
  <si>
    <t>KEITA  -Horas WMS</t>
  </si>
  <si>
    <t>Contato: Wheber</t>
  </si>
  <si>
    <t>R: Falei como o Wheber</t>
  </si>
  <si>
    <t>R:  Esse ano e sem projetos para 2026"</t>
  </si>
  <si>
    <t>Wheber</t>
  </si>
  <si>
    <t>(11) 2081-5317 / (11) 2081-5537 / (11) 2081-5537</t>
  </si>
  <si>
    <t>ti@zeinimport.com.br</t>
  </si>
  <si>
    <t xml:space="preserve">11:23, 21/01/2026 Rayssa Karapeticov - Comercial - Guarani Sistemas: Bom dia Wesley, tudo bem? </t>
  </si>
  <si>
    <t>É a Rayssa da Guarani Sistemas</t>
  </si>
  <si>
    <t>Quando puder me avisa para te retornar</t>
  </si>
  <si>
    <t>11:24</t>
  </si>
  <si>
    <t>11:25</t>
  </si>
  <si>
    <t>11:26</t>
  </si>
  <si>
    <t>Perfeito</t>
  </si>
  <si>
    <t>21/01 - Welsey pediu para entrar em contato com um funcionário dele</t>
  </si>
  <si>
    <t>29/01 - sem retorno dele</t>
  </si>
  <si>
    <t>Weckud</t>
  </si>
  <si>
    <t>20353768000156</t>
  </si>
  <si>
    <t>(11) 94706-0791</t>
  </si>
  <si>
    <t>WESLEY@WECKUD.COM.BR</t>
  </si>
  <si>
    <t>Contato: Leonardo</t>
  </si>
  <si>
    <t>R: Falei com o Leonardo não tem nada a relatar.</t>
  </si>
  <si>
    <t>R: Disse que agora em 2026 vai voltar a faturar. E caso precise de algum suporte entra em contato"</t>
  </si>
  <si>
    <t>(35) 3531-6382 / (35) 3539-8200 / (35) 3531-6382</t>
  </si>
  <si>
    <t>juridico@contss.com.br</t>
  </si>
  <si>
    <t>22/01 - 2° tentativa de contato</t>
  </si>
  <si>
    <t>27/01 - 3° tentativa de contato com o Alexandre</t>
  </si>
  <si>
    <t>10303813000104</t>
  </si>
  <si>
    <t>alexandre@shockimport.com.br</t>
  </si>
  <si>
    <t>10:25:49</t>
  </si>
  <si>
    <t xml:space="preserve">Em contato como Carlos estão buscando automatizar processos e melhor a performance da equipe. </t>
  </si>
  <si>
    <t xml:space="preserve">20/01 - Em contato como Carlos estão buscando automatizar processos e melhor a performance da equipe. </t>
  </si>
  <si>
    <t>Pediu para apresentar todos os serviços integrados e osmodulos que não possuem no Guarani</t>
  </si>
  <si>
    <t>falamos de um por um e pediu para enviar o materia dos serviços que mais atende a necessidade deles</t>
  </si>
  <si>
    <t>Lexos - Natalia da Lexos irá agendar como cliente</t>
  </si>
  <si>
    <t>Neocredit - vai conhecer o serviço como alternativa para o Serasa</t>
  </si>
  <si>
    <t>Power BI  - Agendar apresentção</t>
  </si>
  <si>
    <t xml:space="preserve">CRM Rd Station - Vai entrar em contato com a RD para conhecer </t>
  </si>
  <si>
    <t>Interlipost - video enviado de cotação de frete</t>
  </si>
  <si>
    <t>E passou vários pontos de WMS que trataremos em uma reunião com o Munhoz no dia 02/02</t>
  </si>
  <si>
    <t>E passou vários pontos de WMS que trataremos em uma reunião com o Munhoz no dia 02/02"</t>
  </si>
  <si>
    <t>23/01 - Falei com o Rafael</t>
  </si>
  <si>
    <t>Disse que se precisar de algo entra em contato comigo"</t>
  </si>
  <si>
    <t>financeiro@infinitehome.com.br</t>
  </si>
  <si>
    <t>Contato: Evandro</t>
  </si>
  <si>
    <t>R: Nesse inicio de ano estamos focado 100% na reforma tributário e até resolver esse problema não focaremos em nenhum outro assunto. Estamos recebendo todo auxilio necessário do suporte para atender esta demanda . Não temo nenhum queixa em relação ao guarani sistemas.</t>
  </si>
  <si>
    <t>após o assunto reforma tributária ser resolvido. Podemos conversa logo após o carnaval</t>
  </si>
  <si>
    <t>RBO DISTRIBUIDORA LTDA</t>
  </si>
  <si>
    <t>23085291000163</t>
  </si>
  <si>
    <t>(15) 9620-5853</t>
  </si>
  <si>
    <t>Oportunidade</t>
  </si>
  <si>
    <t>20/01/2026 00:00</t>
  </si>
  <si>
    <t>Falei com o Junior (já responsável pela Regimara e QHouse)</t>
  </si>
  <si>
    <t>Estão construindo um novo galpão que vão implementar o WMS e atualziei a proposta do BI com a condição comercial atualizada</t>
  </si>
  <si>
    <t>Falou que esta muito satisfeito com o Guarani"</t>
  </si>
  <si>
    <t>Dimas</t>
  </si>
  <si>
    <t>(19) 99291-6644</t>
  </si>
  <si>
    <t>ADM@QUALITYHOUSEUD.COM.BR</t>
  </si>
  <si>
    <t>TOP MAIS FERRAMENTARIA E COMERCIO DE UTILIDADES LTDA</t>
  </si>
  <si>
    <t>Jucenia</t>
  </si>
  <si>
    <t>(16) 9212-8925 / (16) 3371-5426</t>
  </si>
  <si>
    <t>topmaisferramentaria@gmail.com</t>
  </si>
  <si>
    <t>YIN'S BRASIL COMERCIO INTERNACIONAL LTDA</t>
  </si>
  <si>
    <t>(21) 3656-4239</t>
  </si>
  <si>
    <t>RAPHAEL.GAMA@YINSBRASIL.COM.BR</t>
  </si>
  <si>
    <t>RIO DE OURO - WINCY BRASIL COMERCIO DE ARTIGOS PARA PRESENTES LTDA</t>
  </si>
  <si>
    <t>Yang Jun</t>
  </si>
  <si>
    <t>(21) 3221-5757</t>
  </si>
  <si>
    <t>contasapagar@riodeouro.com.br</t>
  </si>
  <si>
    <t>SM SUPERMARCAS - VISION PR DISTRIBUIDORA LTDA</t>
  </si>
  <si>
    <t>mauricio</t>
  </si>
  <si>
    <t>(43) 3033-8000 / (43) 3033-8024</t>
  </si>
  <si>
    <t>marcantecontabilidade@gmail.com</t>
  </si>
  <si>
    <t xml:space="preserve">(20/01/2026) em contato com Rone ! </t>
  </si>
  <si>
    <t>Status de Satisfação: Muito Alto (ERP + Força de Vendas).</t>
  </si>
  <si>
    <t>Projeção do Cliente: Expansão de 35% para 2026.</t>
  </si>
  <si>
    <t>Ponto de Atenção: Implantação do PCP pausada por decisão do cliente.</t>
  </si>
  <si>
    <t>Planejamento PCP: Retomada das pendências e ajustes prevista para 2026.</t>
  </si>
  <si>
    <t xml:space="preserve">Rone pediu para falar com Rogério sobre solução B2B </t>
  </si>
  <si>
    <t>11458315000101</t>
  </si>
  <si>
    <t>Rone Alves</t>
  </si>
  <si>
    <t>Ligação (50%)</t>
  </si>
  <si>
    <t>12:12:02</t>
  </si>
  <si>
    <t xml:space="preserve">(21/01/2026) em contato com Bruno  ! </t>
  </si>
  <si>
    <t xml:space="preserve">Status de Satisfação: Alto  dentro das suas atividades diárias </t>
  </si>
  <si>
    <t xml:space="preserve">Projeção do Cliente: Bruno informou que está criando estratégias comerciais e desenvolvendo novos produtos para buscar um resultado melhor em suas vendas </t>
  </si>
  <si>
    <t xml:space="preserve">Ponto de Atenção: nada relatado </t>
  </si>
  <si>
    <t xml:space="preserve">Planejamento : enviar informações sobre B2B e percentual de crescimento dos clientes que hoje usam </t>
  </si>
  <si>
    <t>Estou em contato com Aradia para alimentar mais informações "</t>
  </si>
  <si>
    <t>nelci</t>
  </si>
  <si>
    <t>(19) 3478-8200 / (19) 3406-2511</t>
  </si>
  <si>
    <t>toplineud@toplineud.com.br</t>
  </si>
  <si>
    <t>TAMOIO BOAS IMPRESSOES IMPORTACAO E EXPORTACAO LTDA</t>
  </si>
  <si>
    <t>Michael</t>
  </si>
  <si>
    <t>(12) 3907-3000</t>
  </si>
  <si>
    <t>compras@tamoionet.com.br</t>
  </si>
  <si>
    <t>NANOX TECNOLOGIA S/A</t>
  </si>
  <si>
    <t>(16) 3411-9980 / (16) 3411-9980</t>
  </si>
  <si>
    <t>Via Lar - Utilidades Domesticas Ltda</t>
  </si>
  <si>
    <t>Wilson</t>
  </si>
  <si>
    <t>(11) 2100-3030 / (11) 2100-3030</t>
  </si>
  <si>
    <t>UNY GIFT COMERCIO IMPORTACAO E EXPORTACAO LTDA.</t>
  </si>
  <si>
    <t>LI Ying</t>
  </si>
  <si>
    <t>(11) 97183-0079</t>
  </si>
  <si>
    <t>LI@UNYGIFT.COM.BR</t>
  </si>
  <si>
    <t>NEDO - CASAPRATIL COMERCIO DE ENCARTELADOS LTDA</t>
  </si>
  <si>
    <t>43204189000147</t>
  </si>
  <si>
    <t>14:13:16</t>
  </si>
  <si>
    <t>Comercial bela Vista - Alex Fonseca Vieira</t>
  </si>
  <si>
    <t>KAREN</t>
  </si>
  <si>
    <t>(11) 4184-9150</t>
  </si>
  <si>
    <t>crservcontabil@globo.com</t>
  </si>
  <si>
    <t>Daniel</t>
  </si>
  <si>
    <t>(14) 99693-0353</t>
  </si>
  <si>
    <t>financeiro@adimportacao.com.br</t>
  </si>
  <si>
    <t>21/01/2026 00:00</t>
  </si>
  <si>
    <t>PLASUTIL-INDUSTRIA E COMERCIO DE PLASTICOS LTDA</t>
  </si>
  <si>
    <t>Edson</t>
  </si>
  <si>
    <t>(14) 4009-4844/ (14) 4009-4922</t>
  </si>
  <si>
    <t>sac@plasutil.com.br</t>
  </si>
  <si>
    <t>22/01/2026 00:00</t>
  </si>
  <si>
    <t>27/01 - Vitor Neto Plasnorthon 11 97632-7042 - não atendeu</t>
  </si>
  <si>
    <t>Plasnorthon Sul Industrial Ltda</t>
  </si>
  <si>
    <t>Vitor</t>
  </si>
  <si>
    <t>(11) 8484-9999</t>
  </si>
  <si>
    <t>vitor@plasnorthon.com.br</t>
  </si>
  <si>
    <t xml:space="preserve">27/01 - Contato com a Yara - ela estara na feira da Abcasa </t>
  </si>
  <si>
    <t>Passou alguns pontos</t>
  </si>
  <si>
    <t>Porém</t>
  </si>
  <si>
    <t>Atualizações emergenciais para correções dayzero</t>
  </si>
  <si>
    <t>Falou que no porte da Guarani e principalmente para Plasduran isso nao pode acontecer</t>
  </si>
  <si>
    <t>Alem disso são muitos chamados abertos semanalmente</t>
  </si>
  <si>
    <t>Disse que esta tudo OK</t>
  </si>
  <si>
    <t>PLASDURAN INDUSTRIA E COMERCIO DE PLASTICOS LTDA</t>
  </si>
  <si>
    <t>56712607000159</t>
  </si>
  <si>
    <t>(11) 3195-3502</t>
  </si>
  <si>
    <t>financeiro@plasduran.com.br</t>
  </si>
  <si>
    <t xml:space="preserve">27/01 Janaina - Esta bem insatisfeita com o atendimento do suporte, quando liguei hoje, inclusive estava com dificuldade para entrada na nota d eimportação e reclamou do pouco caso do suporte, que não atende ligações e mandaram link que ela não conseguia abrir para dar seguir o passo a passo </t>
  </si>
  <si>
    <t>UNIVENDAS - GN COMERCIAL DE UTILIDADES DOMESTICAS LTDA</t>
  </si>
  <si>
    <t>(11) 99627-6823</t>
  </si>
  <si>
    <t>GUSTAVO@UNIVENDAS.COM.BR</t>
  </si>
  <si>
    <t>NIPO CENTER IMPORT LTDA</t>
  </si>
  <si>
    <t>(11) 2091-1992/ (11) 2092-2728</t>
  </si>
  <si>
    <t>contabil.zambeze@uol.com.br</t>
  </si>
  <si>
    <t xml:space="preserve">Negocição realizada com o Fernando em o Mario </t>
  </si>
  <si>
    <t>GP INOX - Guarani BI</t>
  </si>
  <si>
    <t>27/01 cliente entrou em contato porque esta com o servidor desatualizado e gostaria de ir para  nuvem, enviei uma proposta comercial</t>
  </si>
  <si>
    <t>05.02 custo alto"</t>
  </si>
  <si>
    <t>Roni</t>
  </si>
  <si>
    <t>R$ 1600</t>
  </si>
  <si>
    <t>R$ 2295.19</t>
  </si>
  <si>
    <t>9</t>
  </si>
  <si>
    <t>Pupi Imports - Horas WMS</t>
  </si>
  <si>
    <t>28/01/2026 00:00</t>
  </si>
  <si>
    <t>Fizemos uma reunião onde levantei vários pontos que o cliente quer automatizar para 2026 dos módulos que temos o cliente tem interesse em seguir com Interlipost, Bi e ainda faremos uma reunião técnica de WMS que irar gerar uma revisão nos processos agendado para segunda dia 02/02</t>
  </si>
  <si>
    <t>Mares - BI</t>
  </si>
  <si>
    <t>29/01/2026 00:00</t>
  </si>
  <si>
    <t xml:space="preserve">No dia 20/01 fiz umareunião com o Carlos, e ele me passou alguns pontos que quere melhorar/implementar/automatizar no processo de WMS deles </t>
  </si>
  <si>
    <t>11.02 - Proposta enviada para visita do consultor para 5 dias"</t>
  </si>
  <si>
    <t>R$ 8400</t>
  </si>
  <si>
    <t>21</t>
  </si>
  <si>
    <t>04/02/2026</t>
  </si>
  <si>
    <t>02/02 - Cliente contratou um Comprador para a empresa, é um processo novo e querem implentar lá</t>
  </si>
  <si>
    <t>Destoa forma precisa de um treinamento para implamentar esse processo na empresa</t>
  </si>
  <si>
    <t>horas: 8 horas"</t>
  </si>
  <si>
    <t>R$ 1512</t>
  </si>
  <si>
    <t>16:39, 04/02/2026 Rayssa Karapeticov - Comercial - Guarani Sistemas: Boa tarde, Rodnei. Tudo bem?</t>
  </si>
  <si>
    <t xml:space="preserve">É a Rayssa da Guarani Sistemas </t>
  </si>
  <si>
    <t>Recebeu o email com a proposta?</t>
  </si>
  <si>
    <t>17:42</t>
  </si>
  <si>
    <t>Tudo bem?</t>
  </si>
  <si>
    <t>17:45</t>
  </si>
  <si>
    <t>Para que eu possa entender o que estão analisando?</t>
  </si>
  <si>
    <t>17:46</t>
  </si>
  <si>
    <t>17:51</t>
  </si>
  <si>
    <t>17:53</t>
  </si>
  <si>
    <t>17:58</t>
  </si>
  <si>
    <t>Só para alinhar expectativas: a proposta que enviamos não é um “produto de prateleira”</t>
  </si>
  <si>
    <t>Sobre os pontos que você comentou:</t>
  </si>
  <si>
    <t>* Código: nos responsabilizamos pelo código para que o produto não perca qualidade e nem performance</t>
  </si>
  <si>
    <t>* Integrações: já trabalhamos com integrações via API/ERP e isso costuma ser um dos principais ganhos do B2B.</t>
  </si>
  <si>
    <t>* Custo: a diferença normalmente está no médio prazo</t>
  </si>
  <si>
    <t>18:00</t>
  </si>
  <si>
    <t>18:03</t>
  </si>
  <si>
    <t>13.02 vão retomar o assunto após a Abrin"</t>
  </si>
  <si>
    <t>Rodnei</t>
  </si>
  <si>
    <t>R$ 13100</t>
  </si>
  <si>
    <t>R$ 1900</t>
  </si>
  <si>
    <t>17</t>
  </si>
  <si>
    <t xml:space="preserve">12.02 - Fernando tirou algumas duvidas sobre o WMS do cliente, mas na reuião ficou nitido que eles gostaria de seguir sozinho. </t>
  </si>
  <si>
    <t>Vou mandar proposta para consultoria e implantação"</t>
  </si>
  <si>
    <t>(11) 4549-8631</t>
  </si>
  <si>
    <t>03.02 - Apresentação do BI agendada para 05/02 as 10h</t>
  </si>
  <si>
    <t>05.02 - negociaremos na feira"</t>
  </si>
  <si>
    <t>R$ 8100</t>
  </si>
  <si>
    <t>R$ 1080</t>
  </si>
  <si>
    <t>16</t>
  </si>
  <si>
    <t>Cliente vai retornar a usar o AFV no showrom</t>
  </si>
  <si>
    <t>Negociaremos as horas no final do projeto "</t>
  </si>
  <si>
    <t>Alexaxandre</t>
  </si>
  <si>
    <t>(11) 3227-4492 / (11) 3227-4400</t>
  </si>
  <si>
    <t>R$ 575</t>
  </si>
  <si>
    <t>6</t>
  </si>
  <si>
    <t>03/02/2026 00:00</t>
  </si>
  <si>
    <t>11-02 Video do Comex enviado</t>
  </si>
  <si>
    <t>MARES - Comex</t>
  </si>
  <si>
    <t xml:space="preserve">11.02 - Falei com o Rogério na feria da Abcasa, e voltamos a falar da solução do B2B e expliquei que nossa condição comercial está excelente. </t>
  </si>
  <si>
    <t>Atualizei a proposta comercial</t>
  </si>
  <si>
    <t>49119936000125</t>
  </si>
  <si>
    <t>Rogério</t>
  </si>
  <si>
    <t>R$ 1700</t>
  </si>
  <si>
    <t>09:57:35</t>
  </si>
  <si>
    <t>18/02/2026</t>
  </si>
  <si>
    <t xml:space="preserve">11-02 - Falei cm a Larissa e estão estudando os CRMs do mercado, passei nossas integrações, e enviei o material do RD Station. </t>
  </si>
  <si>
    <t>Vai entrar em contato com a plataforma para conhecer o CRM deles"</t>
  </si>
  <si>
    <t>11- 02 Falei com a Carina, eles querem implantar CRM na Parolar, passei o material para integração e proposta comercial para analise</t>
  </si>
  <si>
    <t>04/02/2026 00:00</t>
  </si>
  <si>
    <t>11.02 - Realizamos uma visita no cliente na sexta feira</t>
  </si>
  <si>
    <t>Estão com um novo CEO - Eduardo</t>
  </si>
  <si>
    <t>Apresentamos o Guarani ERP</t>
  </si>
  <si>
    <t>Na reunião foi apresentando o BI"</t>
  </si>
  <si>
    <t>Universal Quimica - Treinamento e CNPJ</t>
  </si>
  <si>
    <t>32494222000102</t>
  </si>
  <si>
    <t>R$ 9000</t>
  </si>
  <si>
    <t>60</t>
  </si>
  <si>
    <t>TREINAMENTO, ADICIONAIS</t>
  </si>
  <si>
    <t>Na Reunião falamos sobre o Cloud"</t>
  </si>
  <si>
    <t>R$ 3150.4</t>
  </si>
  <si>
    <t>Apresentação do site B2B para Dute e proposta enviada</t>
  </si>
  <si>
    <t>Patrick</t>
  </si>
  <si>
    <t>Apresentação do Comex enviado</t>
  </si>
  <si>
    <t>Univendas - Comex</t>
  </si>
  <si>
    <t>INGA - Qualidade</t>
  </si>
  <si>
    <t>17.02 Solicitação levantada em visita do Fábio e o Fernando</t>
  </si>
  <si>
    <t>18.02 Interesse em reativar o BI</t>
  </si>
  <si>
    <t>(19) 19346-6252</t>
  </si>
  <si>
    <t>Contato principal</t>
  </si>
  <si>
    <t>qtde</t>
  </si>
  <si>
    <t>nazeeh.saadi@webring.com.br</t>
  </si>
  <si>
    <t>Melissa, quer criar um site de vendas com função de retirar na loja. 
Passei as opções que temos integrações porém como quer uma funcionalidade especifica, nao são todos as plataformas que integramos que tem essa função</t>
  </si>
  <si>
    <t>DUS - Ecommerce</t>
  </si>
  <si>
    <t>(24) 3336-1437</t>
  </si>
  <si>
    <t>09:57, 30/01/2026 Rayssa Karapeticov - Comercial - Guarani Sistemas: Bom dia, Elaine!
Espero que esteja tudo bem com você.
No dia 06/01 encaminhei a proposta para inclusão de CNPJ. Caso já tenha alguma previsão para início do uso dessa empresa, peço que considere a agenda dos consultores, já que atualmente estamos com uma média de 20 dias para início dos projetos.
Vou dar baixa na proposta por enquanto e, quando houver interesse, pode me chamar. Apenas reforço a importância de considerar o tempo de atendimento para que possamos organizar da melhor forma possível.
Atenciosamente,
14:44, 30/01/2026 Elaine Goncalves - Rischioto: Boa tarde Rayssa
14:44, 30/01/2026 Elaine Goncalves - Rischioto: tudo bem?
14:44, 30/01/2026 Elaine Goncalves - Rischioto: desculpa demorar te dar retorno, mas é que estava sem retorno do Agnaldo tambem
14:44, 30/01/2026 Elaine Goncalves - Rischioto: nao vamos seguir com a proposta, obrigada
14:45, 30/01/2026 Rayssa Karapeticov - Comercial - Guarani Sistemas: tudo otimo!
14:45, 30/01/2026 Rayssa Karapeticov - Comercial - Guarani Sistemas: agradeço o retorno</t>
  </si>
  <si>
    <t>JUliana avaliou as soluções que temos integração de ecommerce e  estão negociando com a Lexos.
enviei proposta comercial para o integrador</t>
  </si>
  <si>
    <t>QUALYPLAS - Lexos</t>
  </si>
  <si>
    <t>Adeir, e o novo gerente de operações na Univendas e pediu um treinamento de WMS pro Munhoz, enviei proposta comercial para analisem porem o diretor está fora do Pais, então só na proxima semana          
05.02 - Gustavo pediu para procura-lo na feira</t>
  </si>
  <si>
    <t>Univendas - Treinamento</t>
  </si>
  <si>
    <t>09/02/2026</t>
  </si>
  <si>
    <t xml:space="preserve">Contato: Charles
1) Como esta a sua relação com a Guarani Sistemas, em relação a usabilidade, atendimento e qualidade dos produtos?
R: Falou sobre a liberação dos ajustes para reforma tributária e que foi perceptível a redução nos erros de atualização. 
Estarão na Abup visitando nos dias 03 e 04 e combinamos de tomar um café lá.
2) Para 2026, Como podemos ajudá-lo?
Falei com o Charles decidiram mudar a estratégia da empresa em questão de vendas e comercialização de produtos, pararam de importar e estão focados no atendimento e distribuição de produtos nacionais, como a Havaianas. 
E estão focando em prestação de serviços. </t>
  </si>
  <si>
    <t>SCOTTI DISTRIBUIDORA</t>
  </si>
  <si>
    <t>27/01 estava em reunião disse que me retorna
29//01 - não tive nenhum retorno</t>
  </si>
  <si>
    <t>Marcamix Comercial Importadora</t>
  </si>
  <si>
    <t>Liguei para o Gustavo não atendeu
27/0 1 - encerrando tentativas com o Gustavo e o Marcos</t>
  </si>
  <si>
    <t>FAZZIO MADEIRAS COMERCIAL LTDA</t>
  </si>
  <si>
    <t>Cliente entrou em contato pedindo inclusão de 2 CNPJs, proposta comercial enviada
22/01 negocio fechado, agaurdando termo aditivo</t>
  </si>
  <si>
    <t>12-02 Proposta enviada do Comex
18.03 Tinhamos um,a reunião hoje, mas o cliente desmarcou
25.03 - Bom dia Emerson, tudo bem?
Sobre as pendencias que falamos ontem:
- Alinhamento suporte: agendado reunião com o gerente Max, segunda as 09h - Reunião realizada; as pendencias estão sendo tratadas pelo time 
- Licenças Cloud: O Banco de dados da Facinato será migrado para um novo servidor, desta forma o Romolo estará alinhando essa solicitação com você. - Reunião com o Romulo agendada. 
- Upgrade Cloud: Esta demanda esta com o Paulo, ele esta avaliando a necessidade juntamente com a equipe técnica, acredito que até o final do mÊs ele te posiciona a real necessidade; - Paulo já esta em contato 
- Proposta BI: Estou enviando a proposta atualizada com a condição comercial do referente ao mês de março; - Pendente Facinato
- Comex: Aguardo avaliação e retorno sobre a viabilidade do módulo; - Pendente Facinato</t>
  </si>
  <si>
    <t>25/03/2026</t>
  </si>
  <si>
    <t>16/02/2026</t>
  </si>
  <si>
    <t>29.01 - Fizemos uma reunião onde levantei vários pontos que o cliente quer automatizar para 2026 dos módulos que temos o cliente tem interesse em seguir com Interlipost, Bi e ainda faremos uma reunião técnica de WMS que irar gerar uma revisão nos processos agendado para segunda dia 02/02
23-02 Boa tarde Carlos, tudo bem? 
NO dia 20/01 fizemos uma reunião para levantar algumas questões que estão tendo ai na Mares e em conversa te passei algumas soluções, como integrações com TMS, Guarani BI, serviçoes de integrações e a consultoria para avançar com duvidas e dificuldades de WMS. 
Pode me passar  como quer avançar com essas demandas e se tem interesse?
25.03 entrei em contato com o Carlos para saber como vamos avançar com os modulos que estão estudando</t>
  </si>
  <si>
    <t>Contato: Wheber
1) Como esta a sua relação com a Guarani Sistemas, em relação a usabilidade, atendimento e qualidade dos produtos?
R: Falei como o Wheber, informou que a ferramenta esta rodando perfeitamente sem nenhuma intercorrência
2) Para 2026, Como podemos ajudá-lo?
R:  Esse ano e sem projetos para 2026</t>
  </si>
  <si>
    <t>11:23, 21/01/2026 Rayssa Karapeticov - Comercial - Guarani Sistemas: Bom dia Wesley, tudo bem? 
É a Rayssa da Guarani Sistemas, te liguei ai para conversar com você, para ouvir um feedback seu do Guarani 
Quando puder me avisa para te retornar
11:24, 21/01/2026 Wesley - Weck: Bom dia!! estou bem e vc?
11:24, 21/01/2026 Wesley - Weck: acho que o certo seria minha equipe falar.
11:25, 21/01/2026 Wesley - Weck: estamos em reuniao gerencial depois coloco esse assunto
11:26, 21/01/2026 Rayssa Karapeticov - Comercial - Guarani Sistemas: Tudo otimo!
Perfeito, fico no aguardo ai me passa quem seria a melhor pessoa para conversar
21/01 - Welsey pediu para entrar em contato com um funcionário dele, cobre o contato novamente da pessoa
29/01 - sem retorno dele, como estão em vespera de feira, vou deixar para tentar na feira</t>
  </si>
  <si>
    <t>Wesley</t>
  </si>
  <si>
    <t>Contato: Leonardo
1) Como esta a sua relação com a Guarani Sistemas, em relação a usabilidade, atendimento e qualidade dos produtos?
R: Falei com o Leonardo não tem nada a relatar.
2) Para 2026, Como podemos ajudá-lo?
R: Disse que agora em 2026 vai voltar a faturar. E caso precise de algum suporte entra em contato</t>
  </si>
  <si>
    <t>SIID SISTEMA DE INOVACAO E INTEGRACAO EM DISTRIBUICAO LTDA</t>
  </si>
  <si>
    <t xml:space="preserve">22/01 - 2° tentativa de contato
27/01 - 3° tentativa de contato com o Alexandre, </t>
  </si>
  <si>
    <t>(11) 94104-3121</t>
  </si>
  <si>
    <t>Em contato como Carlos estão buscando automatizar processos e melhor a performance da equipe. 
20/01 - Em contato como Carlos estão buscando automatizar processos e melhor a performance da equipe. 
Pediu para apresentar todos os serviços integrados e osmodulos que não possuem no Guarani
falamos de um por um e pediu para enviar o materia dos serviços que mais atende a necessidade deles
Lexos - Natalia da Lexos irá agendar como cliente
Neocredit - vai conhecer o serviço como alternativa para o Serasa
Power BI  - Agendar apresentção
CRM Rd Station - Vai entrar em contato com a RD para conhecer 
Interlipost - video enviado de cotação de frete
E passou vários pontos de WMS que trataremos em uma reunião com o Munhoz no dia 02/02
Pediu para apresentar todos os serviços integrados e osmodulos que não possuem no Guarani
falamos de um por um e pediu para enviar o materia dos serviços que mais atende a necessidade deles
Lexos - Natalia da Lexos irá agendar como cliente
Neocredit - vai conhecer o serviço como alternativa para o Serasa
Power BI  - Agendar apresentção
CRM Rd Station - Vai entrar em contato com a RD para conhecer 
Interlipost - video enviado de cotação de frete
E passou vários pontos de WMS que trataremos em uma reunião com o Munhoz no dia 02/02</t>
  </si>
  <si>
    <t>MARES COMERCIO IMPORTACAO LTDA</t>
  </si>
  <si>
    <t>22/01 - 2° tentativa de contato
23/01 - Falei com o Rafael, atualmente só ele usa o ERP para uns processos internos, já que esta mais focado em vendas online.
Disse que se precisar de algo entra em contato comigo</t>
  </si>
  <si>
    <t>23/01/2026</t>
  </si>
  <si>
    <t>Contato: Evandro
1) Como esta a sua relação com a Guarani Sistemas, em relação a usabilidade, atendimento e qualidade dos produtos?
R: Nesse inicio de ano estamos focado 100% na reforma tributário e até resolver esse problema não focaremos em nenhum outro assunto. Estamos recebendo todo auxilio necessário do suporte para atender esta demanda . Não temo nenhum queixa em relação ao guarani sistemas.
2) Para 2026, Como podemos ajudá-lo?
após o assunto reforma tributária ser resolvido. Podemos conversa logo após o carnaval, para falar sobre pontes de melhorias de estrutura que pretendemos fazer internamente são: checkout, melhorar uso da equipe no guarani (treinamento).</t>
  </si>
  <si>
    <t>Falei com o Junior (já responsável pela Regimara e QHouse)
Estão construindo um novo galpão que vão implementar o WMS e atualziei a proposta do BI com a condição comercial atualizada
Falou que esta muito satisfeito com o Guarani</t>
  </si>
  <si>
    <t>QHOUSE COMERCIO E IMPORTADORA DE UTILIDADES DOMESTICAS LTDA</t>
  </si>
  <si>
    <t xml:space="preserve">(20/01/2026) em contato com Rone ! 
Status de Satisfação: Muito Alto (ERP + Força de Vendas).
Projeção do Cliente: Expansão de 35% para 2026.
Ponto de Atenção: Implantação do PCP pausada por decisão do cliente.
Planejamento PCP: Retomada das pendências e ajustes prevista para 2026.
Rone pediu para falar com Rogério sobre solução B2B , estou buscando contato </t>
  </si>
  <si>
    <t>(19) 3471-4760 / (19) 3406-9920</t>
  </si>
  <si>
    <t xml:space="preserve">(21/01/2026) em contato com Bruno  ! 
Status de Satisfação: Alto  dentro das suas atividades diárias , também pediu para falar com a colaboradora Aradia para ver se ah algo que possamos melhorar para melhor atende-los (estou em contato com Aradia)
Projeção do Cliente: Bruno informou que está criando estratégias comerciais e desenvolvendo novos produtos para buscar um resultado melhor em suas vendas , não informou um percentual de crescimento ! sugeri nossa ferramenta de B2B 
Ponto de Atenção: nada relatado 
Planejamento : enviar informações sobre B2B e percentual de crescimento dos clientes que hoje usam 
Estou em contato com Aradia para alimentar mais informações </t>
  </si>
  <si>
    <t>TOP LINE UD INDUSTRIA E COMERCIO DE PLASTICO LTDA</t>
  </si>
  <si>
    <t>Contato: Evandro
1) Como esta a sua relação com a Guarani Sistemas, em relação a usabilidade, atendimento e qualidade dos produtos?
2) Para 2026, Como podemos ajudá-lo?</t>
  </si>
  <si>
    <t>KASCAO - SORVETES SUPLES INDUSTRIA E COMERCIO LTDA</t>
  </si>
  <si>
    <t>(13) 3579-9600 / (13) 3579-9601</t>
  </si>
  <si>
    <t>27/01 - Contato com a Yara - ela estara na feira da Abcasa 
Passou alguns pontos, em geral esta tudo OK, conseguiram ajustar toda parte da nova tributação nova, e inclusive fez indicação de um Cliente que já fechou (Importadora Talismã)
Porém,Tiveram vários problemas com atualizações
Atualizações emergenciais para correções dayzero
Falou que no porte da Guarani e principalmente para Plasduran isso nao pode acontecer
Alem disso são muitos chamados abertos semanalmente, para correções pontuais. Esta com o sentimento de que estão testando mais o sistema que o QA do Guarani
Disse que esta tudo OK, conseguiram ajustar toda parte da nova tributação nova, e inclusive fez indicação de um Cliente que já fechou (Importadora Talismã)</t>
  </si>
  <si>
    <t>Toninho</t>
  </si>
  <si>
    <t>27/01 cliente entrou em contato porque esta com o servidor desatualizado e gostaria de ir para  nuvem, enviei uma proposta comercial
05.02 custo alto</t>
  </si>
  <si>
    <t>27/01/2026 00:00</t>
  </si>
  <si>
    <t>Fizemos uma reunião onde levantei vários pontos que o cliente quer automatizar para 2026 dos módulos que temos o cliente tem interesse em seguir com Interlipost, Bi e ainda faremos uma reunião técnica de WMS que irar gerar uma revisão nos processos agendado para segunda dia 02/02
23-02 - Boa tarde Carlos, tudo bem? 
NO dia 20/01 fizemos uma reunião para levantar algumas questões que estão tendo ai na Mares e em conversa te passei algumas soluções, como integrações com TMS, Guarani BI, serviçoes de integrações e a consultoria para avançar com duvidas e dificuldades de WMS. 
Pode me passar  como quer avançar com essas demandas e se tem interesse?
25.03 entrei em contato com o Carlos para saber como vamos avançar com os modulos que estão estudando</t>
  </si>
  <si>
    <t>No dia 20/01 fiz umareunião com o Carlos, e ele me passou alguns pontos que quere melhorar/implementar/automatizar no processo de WMS deles 
11.02 - Proposta enviada para visita do consultor para 5 dias
25.03 - entrei em contato com o Carlos para saber como vamos avançar com os modulos que estão estudando</t>
  </si>
  <si>
    <t>02/02 - Cliente contratou um Comprador para a empresa, é um processo novo e querem implentar lá
Destoa forma precisa de um treinamento para implamentar esse processo na empresa, juntamente com o novo funcionário
horas: 8 horas</t>
  </si>
  <si>
    <t>16:39, 04/02/2026 Rayssa Karapeticov - Comercial - Guarani Sistemas: Boa tarde, Rodnei. Tudo bem?
É a Rayssa da Guarani Sistemas 
Recebeu o email com a proposta?
17:42, 04/02/2026 +55 11 99105-0353: Boa tarde! 
Tudo bem?
17:42, 04/02/2026 +55 11 99105-0353: Recebemos sim, estamos analisando
17:45, 04/02/2026 Rayssa Karapeticov - Comercial - Guarani Sistemas: Tudo certinho!
Para que eu possa entender o que estão analisando?
17:46, 04/02/2026 +55 11 99105-0353: Custos, plataforma e etc…
17:51, 04/02/2026 Rayssa Karapeticov - Comercial - Guarani Sistemas: Quais outros serviços estão avaliando?
17:53, 04/02/2026 +55 11 99105-0353: Facilidade em ter o cod na mão, produto de prateleira, integrações
17:58, 04/02/2026 Rayssa Karapeticov - Comercial - Guarani Sistemas: Perfeito, faz todo sentido analisar esses pontos 
Só para alinhar expectativas: a proposta que enviamos não é um “produto de prateleira”, justamente porque o B2B costuma exigir regras comerciais, integrações e fluxos específicos de cada operação.
Sobre os pontos que você comentou:
* Código: nos responsabilizamos pelo código para que o produto não perca qualidade e nem performance, é assim vocês tem garantia de funcionamento do sistema contratado. 
* Integrações: já trabalhamos com integrações via API/ERP e isso costuma ser um dos principais ganhos do B2B.
* Custo: a diferença normalmente está no médio prazo, quando o site passa a operar do jeito que o time comercial realmente precisa.
18:00, 04/02/2026 Rayssa Karapeticov - Comercial - Guarani Sistemas: Quando você trata de um serviço de prateleira, você muitas vezes encontra dificuldade para parametrizar diferentes condições de vendas e negociações por clientes.
18:03, 04/02/2026 +55 11 99105-0353: Verdade
13.02 vão retomar o assunto após a Abrin</t>
  </si>
  <si>
    <t>17/03/2026</t>
  </si>
  <si>
    <t>03.02 - Apresentação do BI agendada para 05/02 as 10h
05.02 - negociaremos na feira</t>
  </si>
  <si>
    <t xml:space="preserve">Cliente vai retornar a usar o AFV no showrom
Negociaremos as horas no final do projeto </t>
  </si>
  <si>
    <t>11.02 - Falei com o Rogério na feria da Abcasa, e voltamos a falar da solução do B2B e expliquei que nossa condição comercial está excelente. 
Atualizei a proposta comercial, e enviei para analise
25.03 - acabaram congelando o projeto para dar frente a outras demandas, mas ainda estão estudando serviços do mercado</t>
  </si>
  <si>
    <t xml:space="preserve">11-02 - Falei cm a Larissa e estão estudando os CRMs do mercado, passei nossas integrações, e enviei o material do RD Station. 
Vai entrar em contato com a plataforma para conhecer o CRM deles
31.03 tentei vários contatos para avaçar e não consigo retorno. </t>
  </si>
  <si>
    <t>31/03/2026</t>
  </si>
  <si>
    <t>11.02 - Realizamos uma visita no cliente na sexta feira
Estão com um novo CEO - Eduardo
Apresentamos o Guarani ERP, focado nas necessidades do cliente, além de axuliar em algumas duvidas de usuário
Na reunião foi apresentando o BI</t>
  </si>
  <si>
    <t>11.02 - Realizamos uma visita no cliente na sexta feira
Estão com um novo CEO - Eduardo
Apresentamos o Guarani ERP, focado nas necessidades do cliente, além de axuliar em algumas duvidas de usuário</t>
  </si>
  <si>
    <t>11.02 - Realizamos uma visita no cliente na sexta feira
Estão com um novo CEO - Eduardo
Apresentamos o Guarani ERP, focado nas necessidades do cliente, além de axuliar em algumas duvidas de usuário
Na Reunião falamos sobre o Cloud</t>
  </si>
  <si>
    <t>Apresentação do site B2B para Dute e proposta enviada
1803 - B2b ainda estamos vendo - Retorno Gustavo</t>
  </si>
  <si>
    <t>13/03/2026</t>
  </si>
  <si>
    <t xml:space="preserve">19.02 Estão em alta temporada, vão analisar e me retornar </t>
  </si>
  <si>
    <t>20.02 - Apresentação realizada 
18/03 - previsão de fechamento  á partir do dia 01/04,
31.03 - avançaremos na quinta, porque o diretor está retornando para o Brasil</t>
  </si>
  <si>
    <t xml:space="preserve">Kawany </t>
  </si>
  <si>
    <t>14/04/2026</t>
  </si>
  <si>
    <t>, BI</t>
  </si>
  <si>
    <t>20-02 Nathalia solitiou mais detalhes do modulo de envio de boleto por whatsapp
Proposta enviada e negociando</t>
  </si>
  <si>
    <t>Nathalia</t>
  </si>
  <si>
    <t>(14) 9173-6009 / (14) 3203-0222</t>
  </si>
  <si>
    <t>20.02 Junior entrou em contato pedindo material do B2B e vai verificar uma  data com a equipe de MKT pois estão querendo entrar com essa solição substituinddo equipe de vendas
18.03 Realizei a apresentação do B2B para equipe da Sultex, dentro do que estão buscando faz sentido, enviei proposta comercial para dar andamento na negociação
24.03 Bom dia Junior, tudo bem?
Sobre o B2B pessoal te retornou com alguma duvida ou alguma questão da plataforma?
31.03 Boa tarde Junior, tudo bem? 
Consegue me posicionar o status do projeto do B2B?
07.04 Estão avaliando a ferramenta e esta com a diretoria
O processo dentro da Sultex são bem demorados, mas esta em pauta, e acharam a proposta enviada dentro do orçamento</t>
  </si>
  <si>
    <t>18/03/2026</t>
  </si>
  <si>
    <t>07/04/2026</t>
  </si>
  <si>
    <t>20-02 Estou iniciando as vendas nos ecoomercer e estão com média de 200 pedidos, pediu uma proposta para integrar o Guarani com a Tray
São 2 bancos separados Embalavi e Embalave</t>
  </si>
  <si>
    <t>25.02  - Estão em degustação do link B2B
18.03 Eu já pedi internamente lá pra ele.. Só que.. essa semana eles estão em uma feira lá no Rio Grande do Sul</t>
  </si>
  <si>
    <t>03/03/2026</t>
  </si>
  <si>
    <t>25/02/2026 00:00</t>
  </si>
  <si>
    <t>Danelle</t>
  </si>
  <si>
    <t>PAROLAR - Comex</t>
  </si>
  <si>
    <t>27/02/2026 00:00</t>
  </si>
  <si>
    <t>INNOVO COMERCIO DE PRESENTES E BRINQUEDOS LTDA</t>
  </si>
  <si>
    <t>Maysa</t>
  </si>
  <si>
    <t>03/03/2026 00:00</t>
  </si>
  <si>
    <t>18.03 - Achou o investimento alto mas vai avaliar melhor a proposta, e o Decio provavelmente vai entrar em contato com o Fabio</t>
  </si>
  <si>
    <t>04/03/2026 00:00</t>
  </si>
  <si>
    <t xml:space="preserve">06.04 Aguardando Allison retornar de férias para seguir com o projeto na proxima semana </t>
  </si>
  <si>
    <t>09/03/2026 00:00</t>
  </si>
  <si>
    <t>11/03/2026 00:00</t>
  </si>
  <si>
    <t>13/03/2026 00:00</t>
  </si>
  <si>
    <t>17/03/2026 00:00</t>
  </si>
  <si>
    <t xml:space="preserve">19.03 Falamos ontem sobre alguma pendencias e algumas demandas que estão na empresa
Pediu para atualizar a proposta do BI e mandei com as condições comerciais atualizadas </t>
  </si>
  <si>
    <t>19/03/2026 00:00</t>
  </si>
  <si>
    <t xml:space="preserve">19.03 - Falei com o Cleison e precisam implantar a parte de custo dentro do ERP, porque hoje fazem tudo por planilha e na cabeça do Paulo, então precisam trazer para dentro do sistema. </t>
  </si>
  <si>
    <t xml:space="preserve">23.03 Cliente pretende dar inicio da implantação do módulo para o segundo sempres, mas já queor os valores para entrar no orçamento </t>
  </si>
  <si>
    <t>23/03/2026 00:00</t>
  </si>
  <si>
    <t>2403 -  aguardando termo aditivo 
31.03 - fase de assinatura de contrato</t>
  </si>
  <si>
    <t>24/03/2026 00:00</t>
  </si>
  <si>
    <t>27.03 Cliente retormou contato para fechar negociação do BI
Detalhamento enviado aguardando termo aditivo</t>
  </si>
  <si>
    <t>27/03/2026 00:00</t>
  </si>
  <si>
    <t xml:space="preserve">27.03 Cliente entrou em contato solicitando a inclusão de outra empresa. 
Desta forma foi enviado a proposta comercial </t>
  </si>
  <si>
    <t>31.03 cliente pediu desconto para o Paulo, estamos negociando a proposta</t>
  </si>
  <si>
    <t xml:space="preserve">31.01 Realizei a apresentação do Guarani Power B2B, cliente solicitou uma negociação, abatimento da  implantação pelo módulo contábil que não funcionou na empresa
Passei a analise para o Paulo avaliar o que podemos fazer </t>
  </si>
  <si>
    <t>31/03/2026 00:00</t>
  </si>
  <si>
    <t>01/04/2026 00:00</t>
  </si>
  <si>
    <t>14.04 - negociando modulo com o Carlos</t>
  </si>
  <si>
    <t>14/04/2026 00:00</t>
  </si>
  <si>
    <t>14.04 Em contato com o Nuno para negociação do BI</t>
  </si>
  <si>
    <t>DAS'PLAST</t>
  </si>
  <si>
    <t>14.04 Em contato com o Nuno para apresentação do Contabil</t>
  </si>
  <si>
    <t>DAS'PLAST - Contábil</t>
  </si>
  <si>
    <t>15/04/2026 00:00</t>
  </si>
  <si>
    <t>Bruno</t>
  </si>
  <si>
    <t xml:space="preserve">Falei hoje com o Gomes consultor Totvs da empresa Oyshi e o mesmo que agendar uma reunião técnica de alinhamento para integrar o AFV com Protheus.
19-01; Após nossa reunião na sexta-feira para alinhar sobre a integração, o Gomes ficou de providências uma agenda com o Rodrigo para fechar a negociação.
22/01 - Cobrei novamente o Evandro para ele me posicionar se conseguiu falar com o Rodrigo para avançar com o contrato e fechamento e assim dar sequencias no projeto. Ele falou que estava envolvido em tarefas adicionais e isso atrasou a conversa que vai ocorrer na próxima semana.
26/02 Fiz FUP com o Evandro hoje perguntando uma posição, no aguardo. Já falei com a Isabella diretor comercial, e até agora nada de retorno.
12/03 Fiz FUP com o Evandro e ele falou que a decisão para seguir ou não vai ser tomada na próxima sexta-feira 13/03.
23/03 Falei com a Isabella a mesma me avisou que semana que vem vai </t>
  </si>
  <si>
    <t>02/03/2026</t>
  </si>
  <si>
    <t>AFV, BI</t>
  </si>
  <si>
    <t>11:51, 06/01/2026 Junior Lopes: lá Wilkerson, bom dia
11:51, 06/01/2026 Junior Lopes: Um Feliz 2026 para vc e toda equipe 🙏🙏
11:51, 06/01/2026 Junior Lopes: Me recebe aí para discutirmos sobre a proposta comercial?
15:32, 23/01/2026 Junior Lopes: Olá Wilkerson, boa tarde
13:34, 27/01/2026 Wilkerson Plasbrin: Ola
13:34, 27/01/2026 Wilkerson Plasbrin: Estou analisando a proposta sina
13:34, 27/01/2026 Wilkerson Plasbrin: Ainda
13:35, 27/01/2026 Wilkerson Plasbrin: Creio que em fevereiro te contato sobre uma negociação
13:36, 27/01/2026 Junior Lopes: Olá meu amigo! Ótimo 
Veja o que precisa para fecharmos! Nossa solução vai ajudar muito em seus processos 
Te aguardo 👊
14:25, 27/01/2026 Wilkerson Plasbrin: Pode deixar
14:25, 27/01/2026 Wilkerson Plasbrin: Vamos avaliar
08:53, 24/02/2026 Junior Lopes: Olá Wilkerson, bom dia , Td bem ?
08:54, 24/02/2026 Junior Lopes: Vamos agendar um bate papo para próxima semana ? 
Se sim vou até você !</t>
  </si>
  <si>
    <t xml:space="preserve">cliente não assinou contrato </t>
  </si>
  <si>
    <t>Realizei hoje, 12/12/2025, a apresentação do AFV para os gerentes comerciais e atualizei a proposta com os valores de licença do APP. O próximo passo será negociar a proposta, o que deve ocorrer somente na primeira quinzena de janeiro.
05.02 Iniciaram a importação agora,previsão permace para março
18.03 tinham previsão para iniciar as importações, mas ainda não deu certo, retomar o contato daqui 3 meses</t>
  </si>
  <si>
    <t>Falei com a Kelly hoje que me passou as informações que faltava para formular a proposta. Agora e falar com o Fernando e montar a proposta e apresentar.
23/01 Falei com a Kelly em 19/01, e ela avisou que estava de férias e que retorno essa semana , e que só vai conseguir analisar a proposta na semana do dia 26/01, quando retornarei o contato.
07/02 Fiz FUP com a Kelly e perguntei se ela vai ou não seguir com o projeto, não retornou ainda.
12/03 12/03 Fiz FUP com a Kelly e a mesma esta analisando a proposta. Como esta semana ela tá fazendo compra de natal, vai conseguir parar e ver a proposta amanhã 13/03.
20/03 Cobrando a Kelly para ir para o fechamento.</t>
  </si>
  <si>
    <t>Falei com a Kelly hoje que me passou as informações que faltava para formular a proposta. Agora e falar com o Fernando e montar a proposta e apresentar.
13/01/2026 - Apresentar proposta
23/01 Falei com a Kelly em 19/01, e ela avisou que estava de férias e que retorno essa semana , e que só vai conseguir analisar a proposta na semana do dia 26/01, quando retornarei o contato.
07/02 Fiz FUP com a Kelly e perguntei se ela vai ou não seguir com o projeto, não retornou ainda.
12/03 12/03 Fiz FUP com a Kelly e a mesma esta analisando a proposta. Como esta semana ela tá fazendo compra de natal, vai conseguir parar e ver a proposta amanhã 13/03.
20/03 Cobrando a Kelly para ir para o fechamento.</t>
  </si>
  <si>
    <t>Em conversa com o Valter ficou combinado de falar no dia 19/01, pois ele esta em viagem.
23/01 Fiz contato com o Walter hoje para cobrar ele nossa agenda para a próxima semana.
11/03 Fiz FUP com Valter, ele tem resistência em aceitar a proposta devido aos valores.
20/03 Após tentativas de negociar não evoluiu porque o preço ficou fora do que o cliente gostaria de investir.</t>
  </si>
  <si>
    <t>27/03/2026</t>
  </si>
  <si>
    <t>ERP, PCP</t>
  </si>
  <si>
    <t>Lead entrou em contato no Whatsapp Business do Damián.
(21/01/2026) 09:14, 21/01/2026 Junior Lopes: Olá Dário ! Bom dia , Td bem ?
09:30, 21/01/2026 Chavetas: Bom dia Júnior, td bem ? Estou a analisar as diversas empresas que tive contato, os prós e contras, porém com calma, para fazer algo que realmente atenda a necessidades.
(21/01/2026) além do material que enviei para Dário , sugeri a ele uma visita comercial para apresentar nossas soluções 
(29/01/2026) Estou alinhando com Dário mais uma rodada de apresentação ! ele esta indeciso em algumas opções concorrentes 
(02/03/2026) em contato com Dário 
Esta em analise com alguns ERPs, porem nada com previsão imediata devido a outras prioridades ! estou descartando e manterei contato via WhatsApp</t>
  </si>
  <si>
    <t>(02/03/2026) em contato com Dário 
Esta em analise com alguns ERPs, porem nada com previsão imediata devido a outras prioridades ! estou descartando e manterei contato via WhatsApp</t>
  </si>
  <si>
    <t>Liberado em degustação por 7 dias e depois efetivar vendas .
Liberado a degustação em 12/01.
19/01: Cobrei o Mario pra saber se esta tudo ok. E se iremos seguir ou não com a contratação.
23/01 - Em conversa com o Mario, o suporte ainda esta configurando e após vai treinar e assim vou conseguir contabilizar os 7 dias de degustação e fechar o negocio.
26/02 Não avançou.</t>
  </si>
  <si>
    <t xml:space="preserve">Falei com o Robson hoje , questionando sobre a proposta e se tem alguma dúvida.
23/01 - Fiz FUPs hoje com o Robson :
R: Bom dia Paulo, fiz umas considerações na proposta e farei uma reunia com os diretores para apresentação, na sequência quero marcar uma reunião com vocês para conversarmos.
Eu espero te posicionar na próxima terça-feira.
26/02 Alinhar com o Fernando a sequência dos itens que será abordados. E qual item já foi entregue e horas consumidas!
12/03 O projeto já iniciou e o combinado é que vai cobrar conforme entrega de etapas.
12/03 O projeto já iniciou e o combinado é que vai cobrar conforme entrega de etapas.
20/03 Após alinhamento foi criado pela implantação 10 etapas no projeto, para o acompanhamento e posterior fechamento de horas.  </t>
  </si>
  <si>
    <t>R$ 58.000,00</t>
  </si>
  <si>
    <t>Cobrei o André hoje aguardando o retorno sobre a evolução do projeto.
19/01 Fiz FUP com o Andre ele me posicionou que o presidente esta afastado por motivos de saúde e que como ele que decide, só na volta dele para avança. A previsão e que ele retorne na semana do dia 26/1.
07/02 Fiz fup hoje com o André e aguardo a posição dele se a diretoria retornou e se vamos seguir ou não com o projeto.
27/02 Por falta de retorno por parte do cliente, estou declinando a proposta.</t>
  </si>
  <si>
    <t>Falei Com Omar hoje 12/01 e ele falou que retorna de viagem dia 15/01 e é para procurá-lo.
23/01 Fiz FUP hoje como o Omar, para avançar com uma agenda na quinta ou sexta da semana do dia 26/01. Aguardando o retorno do cleinte.
09/02/26 Fiz fup e ele acabou fechando com um sistema pequeno.</t>
  </si>
  <si>
    <t>Fernando , esta de féria e só vamos conseguir realizar o bate-papo após o seu retorno. O previsto é no dia 16/01/2026.
23/01 Fiz FUP hoje com o Fernando para agendar uma reunião na semana que vem , na quarta ou quinta.
05/02 Fiz FUP hoje com o Fernando, e ele cancelou a nossa reunião das 10h. Fiz uma nova agenda para o dia 11/02 às 15h!
12/03  Fiz FUP com o Fernando afim de saber se ele vai querer continuar ou nao.
12/03 Por falta de interesse estou declinando o lead. Após apresentar a solução o cliente esfriou e sumiu não dando retorno.
20/03 Fiz FUP e cobrei o Fernando se seguiremos ou não com o projeto.</t>
  </si>
  <si>
    <t>Cliente entrou em contato pedindo apresentação de nossas solução de AFV 
Reuão agendada para segunda as 14h
26-01 proposta está em analise pela diretoria 
29-01 Boa tarde, Tiago! Espero que esteja bem.
No dia 19/01 encaminhamos à sua equipe a proposta comercial da Guarani Sistemas, que contempla uma condição exclusiva para evolução tecnológica e automação da força de vendas.
Com o Guarani AFV, aliado à assistente virtual Iara e ao módulo de orçamento web, sua empresa terá:
Automação completa da equipe de vendas, com acompanhamento de objetivos e indicadores em tempo real;
Aumento de produtividade e faturamento, reduzindo rupturas no ponto de venda;
Dashboard inteligente para análise de desempenho e curva ABC de produtos;
Integração simplificada com o ERP, garantindo maior agilidade e menos retrabalho.
Além disso, oferecemos condições comerciais diferenciadas, incluindo implantação com mentoria especializada e mensalidade ajustada ao perfil da sua operação.
Diante de todos esses benefícios, gostaria de entender: o que falta para avançarmos juntos e garantir essas vantagens para sua equipe?
05.02Retornou que estão em analise pela diretoria previsão de retorno para proxima semana 
18.03 - Estão tratando internamento com o ERP, porque precisam entende rse o sistema atual terá capacidade de atender a necessidade deles para integrar com o AFV
15.04 09:24, 15/04/2026 Rayssa Karapeticov - Comercial - Guarani Sistemas: Oi Tiago, como você está.?
Na última troca, você comentou que eles devem manter o sistema atual por mais tempo, e eu fiquei de marcar uma reunião presencial para detalharmos a integração e forma de trabalho.
Queria entender contigo se ainda faz sentido seguirmos com esse alinhamento agora. Se sim, me indica por favor dois horários que funcionem para você</t>
  </si>
  <si>
    <t>Fernando, esta avaliando outros produtos e terei um retorno na próxima semana dia 15/01, que decide é a Luciana.
23/01 Fiz FUP hoje com o Fernando o mesmo ainda não respondeu, perguntei o que nos impede de seguir?
26/02 Fernando me procurou essa semana , pedido atualização de informações sobre o projeto. Hoje fiz novo FUP solicitando informações se seguiremos ou não com o projeto.
20/03 Fernando me passou que a proposta ainda continua na direção sem definição.</t>
  </si>
  <si>
    <t>Fiz contato hoje mais o cliente já não estava na empresa, vamos falar amanha 14/01
23/01 Fiz FUp hoje com a Jessica, para buscar agenda na proxima semana.
19/02 Fiz varias tentativa sem retorno e por isso declinei a proposta.</t>
  </si>
  <si>
    <t>Falei com a Kelly hoje que me passou as informações que faltava para formular a proposta. Agora e falar com o Fernando e montar a proposta e apresentar.
23/01 Falei com a Kelly em 19/01, e ela avisou que estava de férias e que retorno essa semana , e que só vai conseguir analisar a proposta na semana do dia 26/01, quando retornarei o contato.
07/02 Fiz FUP com a Kelly e perguntei se ela vai ou não seguir com o projeto, não retornou ainda.
12/03 12/03 Fiz FUP com a Kelly e a mesma esta analisando a proposta. Como esta semana ela tá fazendo compra de natal, vai conseguir parar e ver a proposta amanhã 13/03.
20/03 Cobrei a Kelly a evolução da negociação.</t>
  </si>
  <si>
    <t>(20/01/2026)  09:04, 20/01/2026 Junior Lopes: Olá Cláudio ! Bom dia
17:23, 27/01/2026 Claudio Teixeira: Boa tarde essa semana estou fora da empresa
17:23, 27/01/2026 Claudio Teixeira: Semana que vem falamos
17:32, 27/01/2026 Junior Lopes: Perfeito Claudio ! abraço 
09:06, 20/01/2026 Claudio Teixeira: Bom dia
09:07, 20/01/2026 Junior Lopes: Td bem ? Vc entrou em contato com a Guarani sistemas, gostaria de marcar um horário para batermos um papo e entender melhor suas necessidades
09:08, 20/01/2026 Junior Lopes: Qual melhor horário para você?
09:08, 20/01/2026 Claudio Teixeira: Pode ser às 11:30
09:10, 20/01/2026 Junior Lopes: Ótimo, vou Estar terminando uma apresentação! Pode ser que atrase uns 15 minutos para ligar
09:11, 20/01/2026 Claudio Teixeira: Ok
Perfeito Cláudio ! Abraço
Olá Cláudio! Como vai ?
Olá Cláudio Td bem ? 
Como não recebi seu retorno nos últimos dias, entendo que talvez não seja o melhor momento para seguirmos com projeto Guarani 
Para nao lotar seu WhatsApp de mensagens estou encerrando o contato! 
Caso suas prioridades mudem sigo a disposição 
Abraço</t>
  </si>
  <si>
    <t>Perfeito Cláudio ! Abraço
Olá Cláudio! Como vai ?
Olá Cláudio Td bem ? 
Como não recebi seu retorno nos últimos dias, entendo que talvez não seja o melhor momento para seguirmos com projeto Guarani 
Para nao lotar seu WhatsApp de mensagens estou encerrando o contato! 
Caso suas prioridades mudem sigo a disposição 
Abraço</t>
  </si>
  <si>
    <t>29/01 - retornar após o carnaval
18.03 - agendando um contato para negociação, sugeri hoje as 16:30
30.03 Boa tarde, Helena. Espero que esteja bem.
Conversamos anteriormente sobre o software de gestão da Guarani Sistemas, empresa consolidada e referência no mercado de utilidades e abastecimento de artigos para o lar.
Acreditamos que, com o potencial da sua empresa aliado à experiência da Guarani, seria possível alcançar resultados ainda mais expressivos. No entanto, após diversas tentativas de contato, não obtivemos retorno para avançar com esse projeto.
Diante disso, estamos encerrando nosso contato neste momento, entendendo que não há interesse da Purai Suvinirs em seguir com essa oportunidade de crescimento. Permaneço à disposição para retomar a conversa quando fizer sentido para vocês.
Atenciosamente,</t>
  </si>
  <si>
    <t>10/03/2026</t>
  </si>
  <si>
    <t>05/03/2026</t>
  </si>
  <si>
    <t>12/03/2026</t>
  </si>
  <si>
    <t>23/01 Fiz FUP hoje com o Junior e o mesmo mencionou que a diretoria achou o valor da mensalidade alta. falou que tem contrato fechado com a GETT com mensal de R$900,00.
Falar com o Fábio e negociar melhor essa questão.
20/03 Hoje foi aberto um ticket para acompanhar dar apoio nas configurações do comex para que o pessoal consiga usar.</t>
  </si>
  <si>
    <t>23/01 Fiz FUP com a Simone e o próximo asso e fazer a proposta.
A principal dor do cliente é centralizar a operação em um único sistema, garantindo maior fluidez nos processos, redução de falhas de integração e ganho de produtividade, principalmente nas áreas comercial, faturamento e backoffice.
06/02 Foi apresentado a proposta, que esta sob-analsie da diretoria.
26/02 Fiz FUP com a Simone para saber se vamos seguir ou não.
20/03 Estou cobrando a Simone se vamos seguir ou não.</t>
  </si>
  <si>
    <t xml:space="preserve">(27/01/2026) em contato com Thales , ficamos de falar por telefone as 11;30 horas do dia 27/01
(27/01/2026) Reunião de apresentação primeira Etapa AFV em 28/01/2026 as 14 horas 
(28/01/2026) apresentação do força de vendas na integra e vídeos do força de vendas 
cliente pediu para seguirmos com proposta comercial para ver se está dentro do sua previsão de investimento 
(19/02/2026) Thales achou valor acima para o momento </t>
  </si>
  <si>
    <t xml:space="preserve">(19/02/2026) Thales achou valor acima para o momento </t>
  </si>
  <si>
    <t>contato realizado com o Alexanre, sem sucesso. Deixei msg no zap para faalrmos amanha!
28/01 Fiz FUP hoje com o Alexandre, sem sucesso. Deixei novamente recado no whatsapp e e-mail!
12/03 Por falta de retorno e interesse estou declinando o lead foi feita diversas tentativa de comunicação sem sucesso.</t>
  </si>
  <si>
    <t>Fiz o primeiro contato com a Maria e agendamos amanhã às 14h.
28/01 Fiz FUP hoje com a maria sem sucesso. Liguei não atendeu , deixei recado no whats app e estou aguardando retorno.
28/01 Consegui fazer a apresentação institucional para a Maria. O próximo passo é enviar a proposta !
06/02 Fiz uma reunião onde apresentei a proposta. A Maria, foi bem objetiva e falou que o valor ficou bem acima dos demais concorrentes, mesmo assim ela vai ter uma reunião com a diretoria na próxima semana e me retorna se seguiremos ou não!
26/02 Fiz FUP com a Maria cobrando uma posição se seguiremos ou não.
27/02 Por falta de interação e retorno do cliente estou declinando a proposta.</t>
  </si>
  <si>
    <t>28/01 Apresentar o sistema B2B para Clevis o responsável de TI e Alessandro gerente de loja. 
05/02/2026 Fiz apresentação do produto e da proposta, agora negociado.
26/02 Fiz FUP com o CLEVIS, hoje cobrando a reunião para negociar!
10/03 Fiz reunião ontem com o Clevis e expliquei que o que e possível em relação a isenção da mensalidade é : 4 meses da assinatura ou qdo sistema em produção.
12/03 Negociando o fechamento reunião técnica para o dia 17/03 as 15h.
12/03 Fiz FUP hoje com o Clevis para firmar uma agenda de uma conversa técnica para terça feira dia 17/03 as 15h. Será feito nessa reunião um alinhamento de integração do nosso B2B com o JJsistema  . 
A proposta ficou em 13k e a mensalidade iniciar com com 4 meses da assinatura do contrato ou sistema em produção.
20/03 Esta na fase de coleta de documentação para assinar o contrato.</t>
  </si>
  <si>
    <t>R$ 0,00</t>
  </si>
  <si>
    <t xml:space="preserve">cliente declinou após recebimento da proposta comercial </t>
  </si>
  <si>
    <t>10:21, 09/03/2026 Junior Lopes: Olá Breno ! Como vai ?
11:06, 09/03/2026 Breno Plasberg: Bom dia
11:07, 09/03/2026 Junior Lopes: tudo bem meu amigo ! sobre a sequencia do projeto, alguma novidade ?</t>
  </si>
  <si>
    <t xml:space="preserve">11:13, 13/02/2026 Artur Pino Pino Lar: Bom dia
11:13, 13/02/2026 Artur Pino Pino Lar: Tudo bem ?
11:13, 13/02/2026 Artur Pino Pino Lar: Optei em fechar com a Penso
11:13, 13/02/2026 Artur Pino Pino Lar: Nossa empresa de TI
11:14, 13/02/2026 Artur Pino Pino Lar: O valor , pelo pacote que temos ficou muito atrativo
11:14, 13/02/2026 Artur Pino Pino Lar: Próxima semana já vamos iniciar a carga de dados
11:14, 13/02/2026 Artur Pino Pino Lar: Mas …… obrigado !
11:16, 13/02/2026 Junior Lopes: Olá Artur , perfeito!  Vou comunicar o Fernando por aqui </t>
  </si>
  <si>
    <t>(09/03/2026) Não responde aos contatos para sequencia ! declinando oportunidade</t>
  </si>
  <si>
    <t xml:space="preserve">(30/01/2026) Sou Junior Lopes da Guarani sistemas
16:56, 30/01/2026 Junior Lopes: Td bem ?
17:01, 30/01/2026 Orlando: Tudo
17:08, 30/01/2026 Orlando: Descreve alguma coisa do seu sistema
17:29, 30/01/2026 Orlando: Qual o valor mensal?
Este valor mensal posso incluir quantas empresas?
16:49, 02/02/2026 Junior Lopes: Olá Orlando , tem interesse em dar continuidade no contato ?
Hj um investimento em um ERP Guarani controlando sua empresa de ponta a ponta desde a produção passando pelos módulos financeiro a pagar e receber, comercial, compras, Fiscal, logística/expedicao (WMS) e Força de vendas ! Fica dentro de uma expectativa entre (60 mil a 90 mil) de investimento em implantação e treinamentos !
A mensalidade é por usuário sendo R$ 280,00 do ERP e R$ 115,00 do AFV
Caso queira um orçamento mais preciso, podemos nos reunir para entender melhor suas necessidades
O que seria AFV?  (enviei =áudio explicando)
(11/02/2026) retornei contato com Orlando buscando continuidade no atendimento 
10:07, 19/02/2026 Orlando: Falamos mais tarde
10:08, 19/02/2026 Orlando: Estou viajando, melhor poderia me chamar na segunda feira?
10:17, 19/02/2026 Junior Lopes: Estou viajando, melhor poderia me chamar na segunda feira?
Sim ! Te chamo segunda-feira
(16/03/2026) em contato com Orlando ! acredito que não esta no momento certo ! Orlando um pouco confuso </t>
  </si>
  <si>
    <t xml:space="preserve">Orlando um pouco confuso ! não esta no momento certo </t>
  </si>
  <si>
    <t>09/03/2026</t>
  </si>
  <si>
    <t>17/02 Feito apresentação institucional e vídeos do ERP . 
10/03 Fiz FUP com o Henrique e ele recebeu a proposta e esta sobre analise. Temos um reunião de apresentação de WMS na sexta-feira proxima para ele conhecer este módulo e seguirmos.
20/03 Aguardando o Henrique se reunir com o time de ERP atual para decidir se vai trocar ou não o sistema.</t>
  </si>
  <si>
    <t>Solicita demo;90%;Dentro Perfil</t>
  </si>
  <si>
    <t>ERP, AFV, PDV, TREINAMENTO</t>
  </si>
  <si>
    <t>26/02 Foi feito FUP com o Wilson e ele optou pela concorrência devido a valor.</t>
  </si>
  <si>
    <t xml:space="preserve">07.04 cliente ainda imaturo para os processos </t>
  </si>
  <si>
    <t>09:28, 19/02/2026 Junior Lopes: OLá Ana, bom dia
09:44, 19/02/2026 Junior Lopes: Oi, Edenilson Tentei contato algumas vezes, mas não consegui falar com você. Imagino que sua rotina esteja corrida. Vou encerrar seu atendimento por aqui para não lotar sua caixa de entrada, mas sigo à disposição caso queira retomar o assunto no futuro</t>
  </si>
  <si>
    <t xml:space="preserve">03/03 Após diversas tentativa de FUP não tive retorno e por falta de interação estou declinando o lead. </t>
  </si>
  <si>
    <t>Rayssa, atendendo</t>
  </si>
  <si>
    <t>(11/02/2026) Contato feira ABcasa ! agendamos apresentação para sexta feira dia 20/02
10:05, 20/02/2026 Junior Lopes: Entendo ! Vamos organizar nova data
10:06, 20/02/2026 Junior Lopes: Segunda feira , é possível?
10:13, 20/02/2026 Fabio Oliveira Nina Enc: eu consigo te atender, mas vamos precisar remarcar um pouco mais para frente, eu quero muito te atender e realmente preciso, porem nesse momento ta dificil
(09/03/2026) buscando data para apresentação 
(14/04/2026) em contato com Fabio a fim de agendarmos apresentação 
09:58, 14/04/2026 Junior Lopes: Olá Fábio, bom dia
10:01, 14/04/2026 Fabio Oliveira Nina Enc: Bom dia meu amigo, tudo certo ?
10:02, 14/04/2026 Junior Lopes: Opa td certo 🙏
Vamos programar apresentação?
10:04, 14/04/2026 Fabio Oliveira Nina Enc: o meu amigo, esta semana nao vou ter como te atender, estamos organizando muita coisa na empresa, na quarta feira meu pai vai para china, mas acho que na outra semana a gente consegue, na quinta ou sexta da semana que vem
10:05, 14/04/2026 Junior Lopes: Perfeito Fábio ! Aí te chamo no começo da semana para alinharmos
10:05, 14/04/2026 Fabio Oliveira Nina Enc: combinado</t>
  </si>
  <si>
    <t>26/02 Fiz FUP com o Jader e ele tem uma ferramentaria. Entendi o processo e agora preciso falar com o Fernando, para ver se conseguirmos atender ele ou não. na sequência vou passar uma proposta. 
12/03 - Encerrei o lead por falta de retorno, futuramente se ele demonstrar interesse falamos.</t>
  </si>
  <si>
    <t xml:space="preserve"> Jader Silva</t>
  </si>
  <si>
    <t>(37) 3213-0306</t>
  </si>
  <si>
    <t>DIVINOPOLIS</t>
  </si>
  <si>
    <t>24/02/2026</t>
  </si>
  <si>
    <t>26/02 Fiz FUP hoje com o Antônio, sem sucesso. Após minhas ligações ele não atendeu , deixei recado no Whatsapp. 
27/02 Após diversas FUps sem sucesso e sem retorno do lead, estou declinando a oportunidade.</t>
  </si>
  <si>
    <t>27/02 Fiz diversos FUP sem retorno, por isso estou declinando o contato.</t>
  </si>
  <si>
    <t>ERP, PDV, AFV</t>
  </si>
  <si>
    <t xml:space="preserve">(11/02/2026) tentativa de ligação nao atendida 
17:03, 11/02/2026 Junior Lopes: Olá Gabriel , boa tarde
17:03, 11/02/2026 Junior Lopes: sou Junior Lopes da Guarani sistemas ! td bem ?
(19/02/2026) apresar de não ter resposta do cliente ! em pesquise verifiquei que LM é um deposito de bebidas que acaba fugindo do perfil </t>
  </si>
  <si>
    <t xml:space="preserve">(11/02/2026) tentativa de ligação não atendida 
16:48, 11/02/2026 Junior Lopes: Olá Kariello, boa tarde !
16:48, 11/02/2026 Junior Lopes: sou Junior Lopes da Guarani sistemas, tudo bem ?
(19/02/2026) buscando data para apresentação 
(23/02/2026) Vamos Agendar apresentação do força de vendas para amanhã ?
10 ou 14 horas ! O que fica melhor?
Vamos marca na primeira semana de março
Fechamento do mês é complicado
Sim ! Vamos deixar uma agenda para dia 4/03 quarta feira! Se sim já te envio um link do Meet
Ok
Apresentação Guarani (AFV) 
Quarta-feira, 4 de março · 10:00 – 11:30
Fuso horário: America/Sao_Paulo
Como participar do Google Meet
Link da videochamada: https://meet.google.com/dsp-gfgz-nyv
09:54, 04/03/2026 KARIELLO COELHO: Tive um imprevisto
09:54, 04/03/2026 KARIELLO COELHO: Teremos que remarcar
09:55, 04/03/2026 Junior Lopes: Td bem meu amigo , sem problemas
12:41, 04/03/2026 KARIELLO COELHO: Até sexta agora
12:42, 04/03/2026 Junior Lopes: 10 horas é um bom horário?
12:45, 04/03/2026 KARIELLO COELHO: 11h
12:46, 04/03/2026 Junior Lopes: Joia! Vou gerar um link
12:50, 04/03/2026 Junior Lopes: Apresentação Guarani AFV - CK Hospitalar
Sexta-feira, 6 de março · 11:00 – 12:15
Fuso horário: America/Sao_Paulo
Como participar do Google Meet
Link da videochamada: https://meet.google.com/zum-xcty-mab
(09/03/2026) Após Kariello desmarcar a reunião de apresentação , não respondeu mais aos contatos </t>
  </si>
  <si>
    <t>ck hospitalar - afv</t>
  </si>
  <si>
    <t xml:space="preserve">(09/03/2026) Após Kariello desmarcar a reunião de apresentação , não respondeu mais aos contatos </t>
  </si>
  <si>
    <t>04/03/2026</t>
  </si>
  <si>
    <t xml:space="preserve">cliente precisa que o força de vendas atenda em pronta entrega </t>
  </si>
  <si>
    <t>Conversa extraida do áudio enviado em 12/03/2026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t>
  </si>
  <si>
    <t xml:space="preserve">12.02 - é uma importadora de Ribeirão Preto e veio por indicação da Simone (QFestas) são do mesmo seguimento
Disse que já havia feito contato um tempo atrás mas na época achou muito caro, então não avançou
Esta retomando o contato agora e gostaria de receber uma proposta comercial antes, já que já conhece o sistema, já recebeu várias indicações de importadores, e representantes. 
18.03 - estou tentando contato, mas esta em feira 
30.03 Achou que não é o momento certo para avançar </t>
  </si>
  <si>
    <t>12.02 ligação realizada no dia 12.02 as 11:13, não atendeu. Enviei mensagem no whatsapp, para tentar um novo horario para ligação
13.02 Cliente é uma industria de copos de liquidificador estão sempre na ABUP e vieram por indicação da Arthi 
Usam um sistema interno - mas futuramente querem trocar o sistema, explicou que a principio querem conhecer nosso AFV, porque foi uma indicação e o sistema atual possui esse módulo mas libera muitas informações que eles não querem disponibilizar para os RCAs, porém não podem editar ou bloquear
Não enviar estoque 
Tabelas de preço - Explicou que possuem várias tabelas de preço por faixa de valor, informei que o sistema atende essa necessidade e quem podem ter uma unica tabela com uma regra comercial de desconto por faixar de valor amarrada ao pedido
Imagens de produtos - quer que o cliente tenha acesso a imagem do produto, expliquei que sim, e que pode gerar o catalogo em PDF para o cliente
Descrição - ficha técnica do produto e descrição do item
Uso de sistemas na feira - usar leitor de código de produto
Envio de orçamento - envio de cópia de orçamentos por PDF, link ou excel, e explicar funções em feira 
Isis vai verificar com a gerente uma data para apresentação do AFV
18.02 - apresentação agendada para amanhã 
18.03 Negociação finalizada, aguardando documentação para seguir com contrato
15.04 09:24, 15/04/2026 Rayssa Karapeticov - Comercial - Guarani Sistemas: Oi Isis, como você está.?
Na última troca, você comentou que eles devem manter o sistema atual por mais tempo, e eu fiquei de marcar uma reunião presencial para detalharmos a integração e forma de trabalho.
Queria entender contigo se ainda faz sentido seguirmos com esse alinhamento agora. Se sim, me indica por favor dois horários que funcionem para você.</t>
  </si>
  <si>
    <t xml:space="preserve">(03/03/2026) Visita apresentação 
(05/03/2026)  buscando fechamento </t>
  </si>
  <si>
    <t>(11) 91564-2482</t>
  </si>
  <si>
    <t>(20/02/2026) Buscando fechamento 
Conversa extraida do áudio enviado em 12/03/2026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t>
  </si>
  <si>
    <t>(19/02/2026) descartando por falta de interação 
09:44, 19/02/2026 Junior Lopes: Oi, Edenilson Tentei contato algumas vezes, mas não consegui falar com você. Imagino que sua rotina esteja corrida. Vou encerrar seu atendimento por aqui para não lotar sua caixa de entrada, mas sigo à disposição caso queira retomar o assunto no futuro</t>
  </si>
  <si>
    <t>19/02 Fiz FUP com o cliente e liguei para o Luis e ao entender o processo dele verifique que não atendemos. Pois ele quer que o vendedor no momento do pedido já emita a NF.</t>
  </si>
  <si>
    <t>26/02 Fiz FUP hoje com o Diego após varias tentativas de ligação ele não atendeu, envie e-mail para ver se consigo outro canal de conversa.
12/03 Diego optou por uma solução local e se não der certo retorna o contato.</t>
  </si>
  <si>
    <t xml:space="preserve">(19/02/2026) em contato com Andreia ! atualmente usa ERP Linx e busca ferramenta de força de vendas 
estamos alinhando data de apresentação 
(09/03/2026) Após envio da proposta comercial Andréa não respondeu mais ! dois pontos de atenção com relacçao ao seu ramo de atividade , por ser um fabrica de roupas e ERP Linx </t>
  </si>
  <si>
    <t xml:space="preserve">investimento alto </t>
  </si>
  <si>
    <t>19.02 devido o feriado de carnaval estã retornando hoje.
Combinamos de falar amanhã 20/02 as 09h</t>
  </si>
  <si>
    <t>ERP, PCP, AFV</t>
  </si>
  <si>
    <t>(19/02/2026) ligação não atendida ! na sequencia envio de mensagem 
(19/02/2026) em contato com Carolla , a empresa é uma loja de doces , fora do perfil 
08:56, 19/02/2026 Junior Lopes: OLá Carolla, bom dia !
08:56, 19/02/2026 Junior Lopes: sou Junior Lopes da Guarani sistemas td bem ?
08:57, 19/02/2026 Junior Lopes: estou retornando um contato que você fez conosco</t>
  </si>
  <si>
    <t>26/02 Fiz FUP com Alessandro e combinamos de falar na segunda-feira as 9h
12/03 Fiz FUP com o Alessandro e combinamos uma apresentação amanhã as 8h 
20/03 Fiz FUP com o Alessandro para saber se ele vai seguir ou não.
20/03 Cliente achou o preço muito alto para investir agora.</t>
  </si>
  <si>
    <t xml:space="preserve">Alessandro </t>
  </si>
  <si>
    <t>16/03/2026</t>
  </si>
  <si>
    <t>26/02 Fiz FUP com a Fernanda e ela não atendeu, deixei recado para falarmos.
02/02 Fiz FUP e cliente falou que vai analisar</t>
  </si>
  <si>
    <t>esta atrás de parceiria para revenda do sistema</t>
  </si>
  <si>
    <t>grupo alves consultoria empresarial</t>
  </si>
  <si>
    <t>Grupo Alves Consultoria Empresarial</t>
  </si>
  <si>
    <t>tayanxpmartins@hotmail.com</t>
  </si>
  <si>
    <t>Cliente é um representante da Oster e outras marcas, a ideia de negociação é do AFV, mas no dia sexta-feira, 20 de fevereiro de 2026
11:00 - 12:00 (BRT) - realizamos uma apresentação do AFv, durante a reunião pediu uma proposta do ERP também para avaliar uma possivel troca. 
Após a reunião fizemos uma segunda ruenião de apresentação da proposta comercial no dia 24/02
Após isso cliente ficou de me passar uma contra proposta para negociação, porém ele esta em feria no EUA, e ainda não retornoul
Falei com ele hoje 18/03 e ainda esta em feira e pediu para retornar na sexta oferecendo um login e senha. 
Vou retornar o contato na sexta para entender(provavelemente é do AFV) mas dar sequencia no atendimento
24.03 Estou marcando uma reunião presencial, porém essa semana esta em SC</t>
  </si>
  <si>
    <t>André Feldman</t>
  </si>
  <si>
    <t>andre@homebrands.com.br</t>
  </si>
  <si>
    <t xml:space="preserve">Cliente é um representante da Oster e outras marcas, a ideia de negociação é do AFV, mas no dia sexta-feira, 20 de fevereiro de 2026
11:00 - 12:00 (BRT) - realizamos uma apresentação do AFv, durante a reunião pediu uma proposta do ERP também para avaliar uma possivel troca. 
Após a reunião fizemos uma segunda ruenião de apresentação da proposta comercial no dia 24/02
Após isso cliente ficou de me passar uma contra proposta para negociação, porém ele esta em feria no EUA, e ainda não retornoul
Falei com ele hoje 18/03 e ainda esta em feira e pediu para retornar na sexta oferecendo um login e senha. 
Vou retornar o contato na sexta para entender(provavelemente é do AFV) mas dar sequencia no atendimento
24.03 Estou marcando uma reunião presencial, porém essa semana esta em SC. </t>
  </si>
  <si>
    <t xml:space="preserve">Andre </t>
  </si>
  <si>
    <t>12:26, 24/02/2026 Junior Lopes: lá Valdir, bom dia
12:26, 24/02/2026 Junior Lopes: aqui é Junior Lopes da Guarani sistemas tudo bem ?
12:39, 24/02/2026 +55 19 99218-9262: Boa tarde.
Tudo bem e você?
Estou em um pregão eletrônico,  assim que acabar te chamo
13:02, 25/02/2026 +55 19 99218-9262: Preciso de um erp que controle 2 cnpj.
Tenha:
Controle de O.S. com emissão de produto junto.
Atualização com marketplace hoje, ML, Amazon, Shopee e Magazine Luiza.
Controle de contratos 
Ecomerce.
Vendas por WhatsApp, Instagram, etc.
Quando fazer venda na loja física, podendo colocar produtos das duas empresas e depois fazer as nfe de acordo com os produtos adequados.
13:02, 25/02/2026 Junior Lopes: Olá Valdir , boa tarde
13:03, 25/02/2026 Junior Lopes: Assim que finalizar meu almoço , verifico sua mensagem e te respondo
13:03, 25/02/2026 Junior Lopes: Um abraço
13:03, 25/02/2026 +55 19 99218-9262: Estou no médico tambem agora, kkkk
13:03, 25/02/2026 +55 19 99218-9262: No aguardo
14:02, 25/02/2026 Junior Lopes: Olá Valdir, td bem ? fiz uma analise sobre as necessidades que você solicitou
14:02, 25/02/2026 Junior Lopes: Para o cenário da Compuleme, que exige uma frente de caixa (PDV) para loja física e integração direta com redes sociais e marketplaces, informamos que a Guarani não é a solução ideal.
Embora sejamos fortes no controle de múltiplos CNPJs, O.S. e contratos, nosso sistema não opera com vendas de varejo físico ou integração de canais de atendimento (WhatsApp/Instagram). Preferimos ser transparentes para que vocês possam focar em uma ferramenta que já possua esse ecossistema de vendas integrado nativamente</t>
  </si>
  <si>
    <t>compuleme</t>
  </si>
  <si>
    <t>Compuleme</t>
  </si>
  <si>
    <t>valdir@compuleme.com.br</t>
  </si>
  <si>
    <t>Perfil da Empresa
Setor: Tecnologia e segurança
Atuação: Distribuidora e empresa de tecnologia
Marcas representadas: Motorola, 3M
Produtos e Serviços
Vendas de produtos:
Via rádio de segurança
Formato de vendas para clientes recorrentes
Indicação pelo próprio representante
Equipe interna de vendas com 10 pessoas
Locação de produtos
Serviços complementares (não especificados, mas mencionados)
Estrutura Comercial
Equipe de vendas: 10 pessoas
Canais de vendas:
Representantes
Indicações
Equipe interna
Necessidade Atual
Implementar uma solução que:
Crie indicadores de desempenho para a equipe de vendas
Disponibilize um CRM para gestão de clientes e processos</t>
  </si>
  <si>
    <t>trivale tecnologia</t>
  </si>
  <si>
    <t>dario@trivaletecnologia.com.br</t>
  </si>
  <si>
    <t>26/02 Fiz FUP com o Anderson e ele possui 3 lojas de roupa e esta fora do perfil.</t>
  </si>
  <si>
    <t>adriana brandão</t>
  </si>
  <si>
    <t>Anderson Brandão</t>
  </si>
  <si>
    <t>anderson.melro@hotmail.com</t>
  </si>
  <si>
    <t>26/02 Fiz FUP com a Leticia ela não pode atender pois estava saindo para buscar o filho na escola, ficamos de falar amanha.
12/03 Apos ligar e não ser atendido estou declinando a aliança.</t>
  </si>
  <si>
    <t>leticia - aliança</t>
  </si>
  <si>
    <t>(62) 99953-7500</t>
  </si>
  <si>
    <t>leticiarsouza1@gmail.com</t>
  </si>
  <si>
    <t>Solicita demo;Dentro Perfil;Fora Perfil</t>
  </si>
  <si>
    <t xml:space="preserve">(24/02/20260 Tentativa de ligação não atendia ! enviei mensagem a fim de contato com Geaze ! 
em busca sobre a empresa usando IA do Google :
A Infraloc é uma empresa especializada na locação e venda de móveis corporativos e equipamentos, com forte atuação no setor de construção civil, canteiros de obras e eventos. 
Informações de Contato e Localização
Endereço: R. José Miranda, 143 - Afogados, Recife - PE.
WhatsApp: (81) 98297-2897.
Site Oficial: infraloc.com.br. 
Principais Produtos e Serviços
A empresa oferece soluções completas para canteiros, escritórios e refeitórios, incluindo:
Móveis Corporativos: Mesas de reunião, mesas e cadeiras de escritório, armários roupeiros e estações de trabalho.
Equipamentos: Bebedouros industriais, cafeteiras expressas, impressoras a laser e máquinas para construção.
Estruturas para Eventos: Locação de toldos, mesas e cadeiras de PVC para festas e eventos em gera
(25/02/2026) cliente trabalha com locação de equipamento , é necessário controle e contrato de locação manutenção (Fora do perfil ) </t>
  </si>
  <si>
    <t>infraloc</t>
  </si>
  <si>
    <t>Infraloc</t>
  </si>
  <si>
    <t>geazemiranda@yahoo.com.br</t>
  </si>
  <si>
    <t xml:space="preserve">(25/02/2026) cliente trabalha com locação de equipamento , é necessário controle e contrato de locação manutenção (Fora do perfil ) </t>
  </si>
  <si>
    <t>centrolar</t>
  </si>
  <si>
    <t>Centrolar</t>
  </si>
  <si>
    <t>ubiratanrosania@gmail.com</t>
  </si>
  <si>
    <t>Instagram</t>
  </si>
  <si>
    <t>(24/02/2026) em contato com Daniel 
A empresa Vitta Estrutural está iniciando as operação, sua operação esta focada em recarga de extintores e revenda de produtos através de venda balcão e representante externo ! um ponto especifico é o controle de lote e validade dos extintores informando a data que está vencendo no ambiente do cliente 
Daniel solicitou uma previsão de investimento para seguirmos 
(25/02/2026) enviando previsão de investimento para analise do cliente e viabilidade  
10:50, 25/02/2026 Junior Lopes: valores na pagina 27 com resumo na pagina 28
10:53, 25/02/2026 Junior Lopes: perfeito ! ficamos a disposição para apresentação completa da solução
10:41, 09/03/2026 Junior Lopes: Olá Daniel, bom dia 
Sobre o projeto ERP Guarani ! Vamos da sequência meu amigo?
10:41, 09/03/2026 Junior Lopes: Olá Daniel, bom dia 
Sobre o projeto ERP Guarani ! Vamos da sequência meu amigo?
10:42, 09/03/2026 +55 67 9207-9099: Bom dia, agradeço por enquanto.,
10:45, 09/03/2026 Junior Lopes: Obrigado pelo retorno! Sucesso para vcs</t>
  </si>
  <si>
    <t>Vitta Estrutural</t>
  </si>
  <si>
    <t>dgruschel@hotmail.com</t>
  </si>
  <si>
    <t>10:41, 09/03/2026 Junior Lopes: Olá Daniel, bom dia 
Sobre o projeto ERP Guarani ! Vamos da sequência meu amigo?
10:42, 09/03/2026 +55 67 9207-9099: Bom dia, agradeço por enquanto.,
10:45, 09/03/2026 Junior Lopes: Obrigado pelo retorno! Sucesso para vcs</t>
  </si>
  <si>
    <t>26/02 Fiz FUP hoje com o Fábio ele não atendeu a ligação, deixei novo recado no Whatasapp.</t>
  </si>
  <si>
    <t>flavio storino</t>
  </si>
  <si>
    <t>Flávio Storino</t>
  </si>
  <si>
    <t>(19) 99667-2002</t>
  </si>
  <si>
    <t>flaviostorino@gmail.com</t>
  </si>
  <si>
    <t>Porto Ferreira</t>
  </si>
  <si>
    <t xml:space="preserve">Lucas </t>
  </si>
  <si>
    <t>contato@lucassecco.com.br</t>
  </si>
  <si>
    <t>11/03/2026</t>
  </si>
  <si>
    <t>sunred ind da confeccao ltda</t>
  </si>
  <si>
    <t>Sunred confecções</t>
  </si>
  <si>
    <t>atendimento@sunred.com.br</t>
  </si>
  <si>
    <t xml:space="preserve">25/02/2026) em contato com Rogério 
aoós tentativa de ligação nos falamos via WhatsApp conforme abaixo : 
15:40, 25/02/2026 Junior Lopes: Olá Rogério , boa tarde
15:40, 25/02/2026 Junior Lopes: Sou Junior Lopes da Guarani sistemas! Td bem ?
15:40, 25/02/2026 Teodoro Cosmeticos: Boa tarde Júnior
15:41, 25/02/2026 Teodoro Cosmeticos: Bem graças a Deus
15:41, 25/02/2026 Junior Lopes: Que bom
15:41, 25/02/2026 Junior Lopes: Estou retornando um contato que vc fez conosco, relacionado ao nosso software
através de um áudio pedi para me falar um pouco mais sonbre sua empresa e dores 
(25/02/2026) Agenda de apresentação AFV 
(12/03/2026) Rogério achou investimento alto para o momento  atual </t>
  </si>
  <si>
    <t>Teodoro cosméticos</t>
  </si>
  <si>
    <t>(14) 3541-6311</t>
  </si>
  <si>
    <t>agilassessoriacontabil@otmail.com</t>
  </si>
  <si>
    <t>PROMISSAO</t>
  </si>
  <si>
    <t xml:space="preserve">(12/03/2026) Rogério achou investimento alto para o momento  atual </t>
  </si>
  <si>
    <t xml:space="preserve">(26/02/2026) Tentativa de ligação não atendida 
09:13, 26/02/2026 Junior Lopes: Olá Junior, bom dia
09:13, 26/02/2026 Junior Lopes: aqui é Junior Lopes da Guarani sistemas, tudo bem ?
09:14, 26/02/2026 Junior Lopes: estou retornando um contato que você fez relacionado ao sistema Guarani
(26/02/2026) cliente não retorna aos contatos ! em breve pesquisa sobre a Revisão autopeças identifiquei que loja balcão ficando fora do perfil 
estou declinando </t>
  </si>
  <si>
    <t>revisao autopecas</t>
  </si>
  <si>
    <t>Revisao Autopeças</t>
  </si>
  <si>
    <t>(31) 8705-9607</t>
  </si>
  <si>
    <t>pratesctb@gmail.com</t>
  </si>
  <si>
    <t>CONTAGEM</t>
  </si>
  <si>
    <t>jlj transportes e locações</t>
  </si>
  <si>
    <t>Jlj transportes e locações</t>
  </si>
  <si>
    <t>jairocesar@jllcomserv.com.br</t>
  </si>
  <si>
    <t>26/02 Fiz Fiz FUP hoje com o Matheus e agendamos uma apresentação para quinta-feira dia 05/03 às 15h.
05/03 Fiz FUP com o Matheus e hoje temos uma apresentação as 15h par afalar de sistema. Ele tem uma distribuidora de alimentação animal. 
Tem 7 vendedores. já ancorei 50k de investimento
12/03 Fiz FUP hoje com o Matheus para saber se ele tem interesse em seguir 
20/03 Fiz contato com o Matues muitas vezes sem retorno e por falta de comunicação estou encerrado a oportunidade.</t>
  </si>
  <si>
    <t>Matheus</t>
  </si>
  <si>
    <t>(15) 3553-1307 / (15) 3553-1308</t>
  </si>
  <si>
    <t>matheusmarmodossantoslima@gmail.com</t>
  </si>
  <si>
    <t>RIBEIRAO BRANCO</t>
  </si>
  <si>
    <t>10/03 uilian me retornou avisou que vai manter a Mercos , devido a urgência que precisa referente a abertura da unidade São Paulo. Após essa necessidade ser atendida voltaremos a falar!</t>
  </si>
  <si>
    <t xml:space="preserve">uilian </t>
  </si>
  <si>
    <t>(44) 3045-3700</t>
  </si>
  <si>
    <t>uilian.gurjon@prats.com.br</t>
  </si>
  <si>
    <t>PARANAVAI</t>
  </si>
  <si>
    <t xml:space="preserve">Teodoro cosméticos - AFV  </t>
  </si>
  <si>
    <t xml:space="preserve">Teodoro cosméticos - Cloud </t>
  </si>
  <si>
    <t>Cristiana</t>
  </si>
  <si>
    <t>(49) 3665-3004</t>
  </si>
  <si>
    <t>IRACEMINHA</t>
  </si>
  <si>
    <t>ERP, AFV, ADICIONAIS, BI</t>
  </si>
  <si>
    <t>R$ 74.702,90</t>
  </si>
  <si>
    <t>R$ 12.216,08</t>
  </si>
  <si>
    <t xml:space="preserve">Encartelados Nina - Cloud </t>
  </si>
  <si>
    <t>Atavadão das Tripas - Cloud</t>
  </si>
  <si>
    <t>clean tech - cloud</t>
  </si>
  <si>
    <t>Clean tech - Cloud</t>
  </si>
  <si>
    <t>StarTools - Cloud</t>
  </si>
  <si>
    <t>27/02 Fiz apresentação do sistema e proposta para o cliente.
12/03 Fiz FUP hoje com Pamela para saber se seguiremos ou não.
20/03 Cobrando a Pamela para fazer o fechamento do projeto.</t>
  </si>
  <si>
    <t>Pamela</t>
  </si>
  <si>
    <t>26/02 Fiz FUP e agendei uma apresentação.
20/03 Buscando nova agenda com o Alexandre para o dia 27/03.</t>
  </si>
  <si>
    <t xml:space="preserve">Breno </t>
  </si>
  <si>
    <t>suporte.ti@kopermax.com.br</t>
  </si>
  <si>
    <t>02/03/2026 00:00</t>
  </si>
  <si>
    <t>19.03 Entrei em contato com a Karen, apresentação agendada para quarta as 9:30 
31.03 não tenho consultor disponivel para seguir com uma agenda com o cliente
07.04 - não tenho consultor disponivel para seguir com uma agenda com o cliente</t>
  </si>
  <si>
    <t>lojas veste 10</t>
  </si>
  <si>
    <t xml:space="preserve">KAREN STANGE </t>
  </si>
  <si>
    <t>(42) 3025-6309</t>
  </si>
  <si>
    <t>karen.stang@hotmail.com</t>
  </si>
  <si>
    <t>MAFRA</t>
  </si>
  <si>
    <t xml:space="preserve">17:05, 04/03/2026 Junior Lopes: Olá Marcelo ! Boa tarde
17:05, 04/03/2026 Junior Lopes: Junior da Guarani sistemas por aqui , Td bem ?
17:07, 04/03/2026 Junior Lopes: Estou retornando um contato que vc fez conosco ! Qual melhor horário para falarmos ?
17:14, 04/03/2026 Marcelo Plug Lar: opa blz.
17:14, 04/03/2026 Marcelo Plug Lar: joia junior
17:15, 04/03/2026 Junior Lopes: Td joia Marcelo
17:18, 04/03/2026 Marcelo Plug Lar: eu queria conhecer + sobre o sistema de vocês.
17:18, 04/03/2026 Marcelo Plug Lar: eu procuro algo básico
(09/03/2026) Buscando contato com Marcelo a fim de darmos sequencia 
(09/03/2026) Marcelo busca um software mais simples e com custo menor! </t>
  </si>
  <si>
    <t>Marcelo Camargo</t>
  </si>
  <si>
    <t>(19) 99623-4303</t>
  </si>
  <si>
    <t>marcelo@pluglar.com.br</t>
  </si>
  <si>
    <t>Rio Claro</t>
  </si>
  <si>
    <t xml:space="preserve">(09/03/2026) Marcelo busca um software mais simples e com custo menor! </t>
  </si>
  <si>
    <t>11/03 Foi feito a apresentação hoje do institucional e Guarani AFV.
Resumo:
Produtos : ERP + AFV + Televendas + MDe 
Opcionais: Comex, Cloud, CRM , B2B, HUB
Próximo passos: enviar uma proposta.
20/03 Fiz contato com o Ericson para saber se vamos seguir ou não.</t>
  </si>
  <si>
    <t>Ericson</t>
  </si>
  <si>
    <t>(43) 3056-3780</t>
  </si>
  <si>
    <t>escritorio@damiaoefilhos.com.br</t>
  </si>
  <si>
    <t>ARAPONGAS</t>
  </si>
  <si>
    <t>24.03 cliente enviou um documento de aderencia, porém a MArilia pediu uma reunião para falar sobre o documento e funcionalidades
15.04 Ficou fora da empresa esses 15 dias, acredita que hoje consegue avaliar todo material que mandei, retornar o contato na segunda</t>
  </si>
  <si>
    <t>Industria E Comercio Jolitex Ltda</t>
  </si>
  <si>
    <t>industria e comercio jolitex ltda</t>
  </si>
  <si>
    <t xml:space="preserve">(11) 3254-7100 </t>
  </si>
  <si>
    <t>atendimento@jolitex.com</t>
  </si>
  <si>
    <t>16:28, 06/03/2026 Valdinei vaeso: Entendi mas esta fora do que pretendo investir
16:28, 06/03/2026 Valdinei vaeso: Te agradeço
16:46, 06/03/2026 Junior Lopes: Qual é a sua ideia de investimento?
16:47, 06/03/2026 Valdinei vaeso: Não vou nem fazer proposta porque a proposta veio com valores altos de implementação e mentoria
16:47, 06/03/2026 Valdinei vaeso: Sistema parece intuitivo
16:47, 06/03/2026 Valdinei vaeso: E vi ontem e gostei
16:47, 06/03/2026 Valdinei vaeso: Preciso de força de vendas
16:56, 06/03/2026 Valdinei vaeso: Ok</t>
  </si>
  <si>
    <t>Vaeso Comercial Ltda</t>
  </si>
  <si>
    <t>(47) 9946-6330</t>
  </si>
  <si>
    <t>administrativo@qscontabilidade.com.br</t>
  </si>
  <si>
    <t>JOINVILLE</t>
  </si>
  <si>
    <t>06/03/2026</t>
  </si>
  <si>
    <t>(10/03/2026) Agenda para apresentação do ERP 12/03 
10:07, 14/04/2026 Luccas Globalmix: Bom dia meu amigo, tudo bem? 
Desculpe não te responder. Estou com alguns problemas de família e estive meio ausente. 
Analisamos sua proposta e infelizmente ficou muito acima do que estávamos planejando nesse momento. 
Desculpe a minha ignorância, mas não consegui compreender o motivo de um custo tão alto para a implementação de um ERP já existente. O custo que você me passou é basicamente o de desenvolver um novo sistema próprio. 
Infelizmente nessas condições é inviável para nós nesse momento. 
Agradeço pelo seu atendimento nas últimas semanas, foi extremamente atencioso. Espero que compreenda. 
Obrigado
10:15, 14/04/2026 Junior Lopes: Bom dia, Luccas, tudo bem?
Primeiro, espero que as coisas com sua família se resolvam da melhor forma possível. Fica tranquilo quanto ao retorno, eu entendo perfeitamente.
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
O que está incluso nesse investimento é justamente o que vai fazer o sistema “virar realidade” dentro da Globalmix:
– entendimento dos processos de vocês;
– parametrização do ERP para a realidade da empresa;
– construção/ajuste dos relatórios que vocês precisam;
– validação e homologação do funcionamento antes de ir para produção;
– integração com a Lisa Log;
– e, principalmente, treinamento da equipe e acompanhamento na virada, para que todo mundo use da forma correta e o projeto traga resultado.
Sem essa etapa de consultoria, o risco é ter um sistema bom, mas mal configurado ou pouco usado, o que acaba gerando retrabalho e perda de confiança na ferramenta – e é justamente isso que queremos evitar.
Dito isso, eu entendo totalmente a questão de orçamento. Se fizer sentido para você, eu posso:
1) rever o escopo para enxugar etapas e tentar adequar o investimento ao momento da Globalmix; ou
2) pensar em uma implantação por fases, começando pelo essencial (comercial + força de vendas + básico de estoque) e deixando integrações e aprofundamentos para uma segunda etapa.
Você se sentiria confortável em me dizer qual faixa de investimento vocês tinham planejado, para eu ver o que é possível ajustar com transparência?</t>
  </si>
  <si>
    <t>Crx Comercio, Importacao E Exportacao Ltda</t>
  </si>
  <si>
    <t xml:space="preserve">GlobalMIx </t>
  </si>
  <si>
    <t>(11) 9999-9999</t>
  </si>
  <si>
    <t>contabilgrupocrx@gmail.com</t>
  </si>
  <si>
    <t>10:07, 14/04/2026 Luccas Globalmix: Bom dia meu amigo, tudo bem? 
Desculpe não te responder. Estou com alguns problemas de família e estive meio ausente. 
Analisamos sua proposta e infelizmente ficou muito acima do que estávamos planejando nesse momento. 
Desculpe a minha ignorância, mas não consegui compreender o motivo de um custo tão alto para a implementação de um ERP já existente. O custo que você me passou é basicamente o de desenvolver um novo sistema próprio. 
Infelizmente nessas condições é inviável para nós nesse momento. 
Agradeço pelo seu atendimento nas últimas semanas, foi extremamente atencioso. Espero que compreenda. 
Obrigado
10:15, 14/04/2026 Junior Lopes: Bom dia, Luccas, tudo bem?
Primeiro, espero que as coisas com sua família se resolvam da melhor forma possível. Fica tranquilo quanto ao retorno, eu entendo perfeitamente.
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
O que está incluso nesse investimento é justamente o que vai fazer o sistema “virar realidade” dentro da Globalmix:
– entendimento dos processos de vocês;
– parametrização do ERP para a realidade da empresa;
– construção/ajuste dos relatórios que vocês precisam;
– validação e homologação do funcionamento antes de ir para produção;
– integração com a Lisa Log;
– e, principalmente, treinamento da equipe e acompanhamento na virada, para que todo mundo use da forma correta e o projeto traga resultado.
Sem essa etapa de consultoria, o risco é ter um sistema bom, mas mal configurado ou pouco usado, o que acaba gerando retrabalho e perda de confiança na ferramenta – e é justamente isso que queremos evitar.
Dito isso, eu entendo totalmente a questão de orçamento. Se fizer sentido para você, eu posso:
1) rever o escopo para enxugar etapas e tentar adequar o investimento ao momento da Globalmix; ou
2) pensar em uma implantação por fases, começando pelo essencial (comercial + força de vendas + básico de estoque) e deixando integrações e aprofundamentos para uma segunda etapa.
Você se sentiria confortável em me dizer qual faixa de investimento vocês tinham planejado, para eu ver o que é possível ajustar com transparência?</t>
  </si>
  <si>
    <t>26/03/2026</t>
  </si>
  <si>
    <t>irmãos capuci</t>
  </si>
  <si>
    <t>Irmãos Capuci</t>
  </si>
  <si>
    <t>joaoliloc@gmail.com</t>
  </si>
  <si>
    <t>(10/03/2026) em contato com Fernando 
11:24, 11/03/2026 Junior Lopes: Olá Fernando! Td bem ? 
Você tem interesse sem seguir com informações sobre a solução Guarani sistemas?</t>
  </si>
  <si>
    <t>fcabrasil</t>
  </si>
  <si>
    <t>Fcabrasil</t>
  </si>
  <si>
    <t>fernando@fcabrasil.com.br</t>
  </si>
  <si>
    <t xml:space="preserve">) declinando por falta de interação por parte do cliente </t>
  </si>
  <si>
    <t>10/03 Fiz contato e não obtive retorno deixei recado.
11/03 Fiz FUP hoje com o Ridalvo Donizeti sem sucesso.
12/3 Fiz varias ligações sem sucesso. Por falta de retorno encerrei o lead,.</t>
  </si>
  <si>
    <t>danrib</t>
  </si>
  <si>
    <t>Ridalvo Donizeti</t>
  </si>
  <si>
    <t>ridalvo.rossi@brdbtasil.com.br</t>
  </si>
  <si>
    <t>18.03 proposta apresentada no dia de hoje 
24.03 - não atendeu</t>
  </si>
  <si>
    <t>Artur Decker</t>
  </si>
  <si>
    <t>(47) 99699-9700</t>
  </si>
  <si>
    <t>artur@assessoriadecker.com</t>
  </si>
  <si>
    <t>Blumenau</t>
  </si>
  <si>
    <t xml:space="preserve">(10/03/2026) Em contato com Maxwel 
(27/03/2026) após analise cliente fica fora do perfil ! estamparia de camisetas, canecas e brindes em geral </t>
  </si>
  <si>
    <t>terra brasil</t>
  </si>
  <si>
    <t>Terra Brasil</t>
  </si>
  <si>
    <t>max.vendas@terrabrasilbrindes.com.br</t>
  </si>
  <si>
    <t xml:space="preserve">(27/03/2026) após analise cliente fica fora do perfil ! estamparia de camisetas, canecas e brindes em geral </t>
  </si>
  <si>
    <t>farmacia boa sorte</t>
  </si>
  <si>
    <t>Farmacia Boa Sorte</t>
  </si>
  <si>
    <t>farmaboasorte@gmail.com</t>
  </si>
  <si>
    <t>15/03 Feio FUP da apresentação da proposta.
20/03 Fiz FUP hoje com o Sergio cobrando ele sobre a proposta WMS se seguiremos.
20/03 Sergio me passou que o investimento ficou alto para o momento e que nao vai seguir.</t>
  </si>
  <si>
    <t>Sergio cdp</t>
  </si>
  <si>
    <t>(38) 99831-2605</t>
  </si>
  <si>
    <t>sergio.cdp00@gmail.com</t>
  </si>
  <si>
    <t>Reunião realizada 08.04.2024 presencial no cliente</t>
  </si>
  <si>
    <t>3D</t>
  </si>
  <si>
    <t>tufano@maquimp.com.br</t>
  </si>
  <si>
    <t>09/04/2026</t>
  </si>
  <si>
    <t>08/04/2026</t>
  </si>
  <si>
    <t xml:space="preserve">(10/03/2026) em contato com Bruno 
(10/03/2026) cliente informa que já fechou projeto com a Mercos </t>
  </si>
  <si>
    <t>brota company</t>
  </si>
  <si>
    <t>(11) 94075-6696</t>
  </si>
  <si>
    <t>bruno.arouca@brotacompany.com.br</t>
  </si>
  <si>
    <t xml:space="preserve">(10/03/2026) cliente informa que já fechou projeto com a Mercos </t>
  </si>
  <si>
    <t>Falei com o Rodrigo, são umdistribuidor de autopeças de Bauru, vieram por inidicação da Ad&amp;Ad. 
Atualmente as vendas são por MKPlace e mercado livre, e possuem vendas internas telemarketing
Trabalha com a parte especial, falamos sobre financeiro, fiscal, estoque. e pedidos decompras 
Pediu uma estimativa de valores, porque atualmente é ele e um sócio, e precisa discutir com o Sócio para ver se vai avançar por causa do investimento, só que o sócio não esta essa semana 
Então combinamos de falar na proxima semana (23/03)</t>
  </si>
  <si>
    <t>4 distribuidora</t>
  </si>
  <si>
    <t>rodrigo</t>
  </si>
  <si>
    <t>(14) 99701-3009</t>
  </si>
  <si>
    <t>compras@s4distribuidora.com.br</t>
  </si>
  <si>
    <t>Bauru</t>
  </si>
  <si>
    <t>ERP, ADICIONAIS, CLOUD</t>
  </si>
  <si>
    <t>crx comercio, importacao e exportacao ltda</t>
  </si>
  <si>
    <t>Luccas Nassif</t>
  </si>
  <si>
    <t>(11) 98873-6515</t>
  </si>
  <si>
    <t>luccas.nassif@globalmix.com.br</t>
  </si>
  <si>
    <t xml:space="preserve">(11/03/2026) Agenda de apresentação para 17/03/2026
(30/03/2026) Alinhando visita presencial com Thiago </t>
  </si>
  <si>
    <t>Banana Toys Ltda</t>
  </si>
  <si>
    <t>(15) 3283-5196</t>
  </si>
  <si>
    <t>faturamento@bananatoys.com.br</t>
  </si>
  <si>
    <t>20/03/2026</t>
  </si>
  <si>
    <t>20/03 Cobrei o Everton sobre a posição sobre a proposta comercial e se seguiremos e se existe algum impedimento.</t>
  </si>
  <si>
    <t>EVERTON MARINI GAVIAO</t>
  </si>
  <si>
    <t>(17) 3342-1605</t>
  </si>
  <si>
    <t>comercialgaviao@bol.com.br</t>
  </si>
  <si>
    <t>BEBEDOURO</t>
  </si>
  <si>
    <t>12/03/2026 00:00</t>
  </si>
  <si>
    <t xml:space="preserve">(20/03/2026) contato com  Ramos a fim de seguirmos com negociações </t>
  </si>
  <si>
    <t>Euroquadros Industria Importacao E Exportacao Ltda</t>
  </si>
  <si>
    <t>(47) 3515-3000</t>
  </si>
  <si>
    <t>contabil@fratelliinox.com.br</t>
  </si>
  <si>
    <t>BARRA VELHA</t>
  </si>
  <si>
    <t>30.03 Lidi, boa tarde!
Vamos agendar quarta às 15h
Meu gerente de projetos que vai fazer, assim já consigo matar WMS, ERP, PDV, todo processo de estoque futuro e importação
07.04 2° parte da reunião ficou para sexta 10/04
13.04 apresentação realizada, proxima etapa apresentação da proposta, aguardar avaliação do Paulo quanto ao serviço de cloud</t>
  </si>
  <si>
    <t>Simao Distribuidora De Embalagens Descartaveis Ltda</t>
  </si>
  <si>
    <t>(24) 3325-7650</t>
  </si>
  <si>
    <t>legalizacao@mastermaxcontabilidade.com.br</t>
  </si>
  <si>
    <t>10/04/2026</t>
  </si>
  <si>
    <t>12/03 Fiz FUP com o Renan e ele avisou que a Vera esta em viagem retornando vamos agendar uma apresentação.
12/03 Fiz FUP com o cliente e marcamos reunião para dia 18/03 as 15h.
20/03 Conversei com o Renan para saber qual a nova data para fazer a apresentação.</t>
  </si>
  <si>
    <t>mundial importacao e exportacao ltda</t>
  </si>
  <si>
    <t xml:space="preserve">Vera Lucia </t>
  </si>
  <si>
    <t>(47) 3075-0552</t>
  </si>
  <si>
    <t>financeiro@mundialimpexp.com.br</t>
  </si>
  <si>
    <t>(16/03/2026) Agenda de apresentação para dia 17/03/2026</t>
  </si>
  <si>
    <t>brisa artes industria e comercio ltda</t>
  </si>
  <si>
    <t xml:space="preserve">Brisa Artes </t>
  </si>
  <si>
    <t>marcos@mairinckcontabil.com.br</t>
  </si>
  <si>
    <t xml:space="preserve">09:04, 13/03/2026 Junior Lopes: Olá Victor, bom dia
09:04, 13/03/2026 Junior Lopes: sou Junior Lopes da Guarani sistemas, td bem ?
09:05, 13/03/2026 Junior Lopes: estou retornando um contato que vc fez conosco relacionado ao nosso software de gestão Guarani sistemas
(13/03/2026) Aós tentativa de ligação e contato ! nenhuma respondida 
estou descartando a oportunidade pois o nome da empresa mencionado não existe e demais informações preenchidas sem dados concretos ! por informar que tem um faturamento abaixo de 200K mensal fica fora do nosso perfil </t>
  </si>
  <si>
    <t>nemoaprds</t>
  </si>
  <si>
    <t>Nemoaprds</t>
  </si>
  <si>
    <t>vitorborgessilva333@gmail.com</t>
  </si>
  <si>
    <t xml:space="preserve">(13/03/2026) Aós tentativa de ligação e contato ! nenhuma respondida 
estou descartando a oportunidade pois o nome da empresa mencionado não existe e demais informações preenchidas sem dados concretos ! por informar que tem um faturamento abaixo de 200K mensal fica fora do nosso perfil </t>
  </si>
  <si>
    <t>17/03 - Nova Maringa - Amazonia Sistemas
Empresa de vendas e locação de maquinas agricolas, procura um softaware onde possa acompanhar a svedas, criar promnoções/campanhas, realizar OS para manutenções das maquinas. 
Possui PDV 
Apresentação agendada para terça 24/03 as 15h
25/03 achou o valor de investimento alto</t>
  </si>
  <si>
    <t>soberana agrorural</t>
  </si>
  <si>
    <t>Giovani luiz Agrorural Ltda</t>
  </si>
  <si>
    <t>(66) 8101-6884</t>
  </si>
  <si>
    <t>soberanaagrorural@hotmail.com</t>
  </si>
  <si>
    <t>NOVA MARINGA</t>
  </si>
  <si>
    <t>24/03/2026</t>
  </si>
  <si>
    <t xml:space="preserve">(13/03/2026) em contato com Juraci a fim de retomar assunto sobre força de vendas 
(12/03/2026) em contato com Juraci, informou que vamos voltar a falar no final do ano ! devido a sua alta demanda de vendas nesse período inviabilizou o projeto nesse momento </t>
  </si>
  <si>
    <t xml:space="preserve">Gola Comercial </t>
  </si>
  <si>
    <t>cliente não tem mais tempo para mudança esse ano , ficará para final do ano 2026</t>
  </si>
  <si>
    <t>18.03 apresentação agendada para segunda 24/03
30.03 - como é uma empresa pequena de 1 ano, não consegue dar andamento agora 
mas vão estudar para o futuro</t>
  </si>
  <si>
    <t>Verti Flores E Plantas Permanentes Ltda</t>
  </si>
  <si>
    <t xml:space="preserve">(47) 9214-8117 </t>
  </si>
  <si>
    <t>societario@rmxcontabilidade.com.br</t>
  </si>
  <si>
    <t>23/03/2026</t>
  </si>
  <si>
    <t xml:space="preserve">(17/03/2026) em contato com Junior ! A Otmiza busca um software para gerenciamento de obras com controle de contratos e ordens de serviço </t>
  </si>
  <si>
    <t>otimiza</t>
  </si>
  <si>
    <t>Otimiza</t>
  </si>
  <si>
    <t>pelissari.otimiza@gmail.com</t>
  </si>
  <si>
    <t>19.03 Pediu uma estimativa de valor, e achou o investimento muito alto para o faturamento anual da empresa</t>
  </si>
  <si>
    <t>javeh</t>
  </si>
  <si>
    <t>Javeh</t>
  </si>
  <si>
    <t>atadeu7@gmail.com</t>
  </si>
  <si>
    <t xml:space="preserve">(17/03/2026) em contato com Diego ! a Biricutico é um deposito de bebidas com venda balcão para pessoa física </t>
  </si>
  <si>
    <t>biricutico</t>
  </si>
  <si>
    <t>Biricutico</t>
  </si>
  <si>
    <t>diegosart@gmail.com</t>
  </si>
  <si>
    <t xml:space="preserve">Falei com o Marcelo são uma distribuidora de descartaveis e estão buscando um software. 
30.03 - esta viajando, pediu retorno na proxima semana
Passei informações sobre a Guarani, e enviei nossa apresentação, hoje vão ter uma reunião interna para saber quais sistemas que vão 18/03 agendar uma apresentação 
30.03 - Falou que esta em viagem, pediu para retornar
07.03 - não estou tendo nenhum retorno </t>
  </si>
  <si>
    <t>Plus atacadista</t>
  </si>
  <si>
    <t>(62) 8318-2116/ (0000) 0000-0000</t>
  </si>
  <si>
    <t>diretor@staratacadista.com.br</t>
  </si>
  <si>
    <t>GOIANIA</t>
  </si>
  <si>
    <t>18/03 Liguei para o Tiago não atendeu. Deixei recado no whatsapp !
18/03 Tiago retorno por audio e falou que essa semana está ocupado e não consegue falar. Vai me retornar ate o fim da semana.
20/03 Após conversa com o Tiago ele avisou que essa semana esta inviável para falar que conversamos semana que vem.</t>
  </si>
  <si>
    <t>master consultorias em vedacoes industriais</t>
  </si>
  <si>
    <t>mastervedacoesind@gmail.com</t>
  </si>
  <si>
    <t>18/03 Liguei para o Dimitrius e ele estava viajando hoje, vai me retornar ainda esta semana.
18/03 Dimitrius retornou o áudio, avisou que vai me retornar assim que terminar a viagem que faz hoje.
20/03 Fiz uma conversa com Demétrius para entender o cenário dele e alinhamos que ele vai preencher o formulário e depois disso fazer uma apresentação.</t>
  </si>
  <si>
    <t>colonia hortifruti</t>
  </si>
  <si>
    <t>Dimitrius</t>
  </si>
  <si>
    <t>dimigrintzos@gmail.com</t>
  </si>
  <si>
    <t xml:space="preserve">14:10, 16/03/2026 Junior Lopes: Olá Rogerio, boa tarde ! 
(27/03/2026) após varias tentativas sem retorno do Rogério , declinando oportunidade
Sou Junior Lopes da Guarani sistemas
14:11, 16/03/2026 Junior Lopes: estou retornando um contato que vc fez conosco
12:18, 19/03/2026 Junior Lopes: OLá Rogério ! tudo Bem ?
12:19, 19/03/2026 Junior Lopes: tem interesse em dar continuidade ?
(06/04/2026) varias tentativas de contato sem retorno </t>
  </si>
  <si>
    <t>vivazhigienização</t>
  </si>
  <si>
    <t>Vivazhigienização</t>
  </si>
  <si>
    <t>progeriogomesxavier@gmail.comp</t>
  </si>
  <si>
    <t xml:space="preserve">cliente não responde aos contatos </t>
  </si>
  <si>
    <t>master</t>
  </si>
  <si>
    <t>Master</t>
  </si>
  <si>
    <t>anibalsmoura@gmail.com</t>
  </si>
  <si>
    <t>30.03 Tinhamos agendado uma apresentação na sexta-feira (27/03) porém o Vagner consultor da Guarani Cancelou e não avisaram o setor comercial. 
Ao passar a informação de ultima hora de cancelamento para o cliente, não consegui reverte o atendimento 
Cliente encerrou o contato com a Guarani Sistemas</t>
  </si>
  <si>
    <t>aalquimya</t>
  </si>
  <si>
    <t>(48) 99677-1211</t>
  </si>
  <si>
    <t>bruno@alquimya.com.br</t>
  </si>
  <si>
    <t>Florianópolis</t>
  </si>
  <si>
    <t>ERP, AFV, PCP</t>
  </si>
  <si>
    <t xml:space="preserve">(23/06/2026) em contato com Leandro , atualmente o perfil é uma padaria e uma fabrica de pequeno porte de pão de alho ! enviei uma estimativa de valores mas achou que para o momento esta muito acima  </t>
  </si>
  <si>
    <t>pão de alho</t>
  </si>
  <si>
    <t>Pão de alho</t>
  </si>
  <si>
    <t>therabyte_go@hotmail.com</t>
  </si>
  <si>
    <t xml:space="preserve"> (23/06/2026) em contato com Leandro , atualmente o perfil é uma padaria e uma fabrica de pequeno porte de pão de alho ! enviei uma estimativa de valores mas achou que para o momento esta muito acima  </t>
  </si>
  <si>
    <t>18/03 Liguei para o Celso e ele não atendeu deixei recado no zap.</t>
  </si>
  <si>
    <t>inovapet</t>
  </si>
  <si>
    <t>gerencia@inovapet.com.br</t>
  </si>
  <si>
    <t xml:space="preserve">Cliente entrou em contato pelo suporte pedindo contato comercial apra falar sobre software, tentie ligar e mandie msg mas ainda não me retornou 
31.03 - não atendeu, </t>
  </si>
  <si>
    <t>inovapet industria e comercio de embalagens ltda</t>
  </si>
  <si>
    <t>(21) 3451-9599</t>
  </si>
  <si>
    <t>inovapet.adm@gmail.com</t>
  </si>
  <si>
    <t>19.03 - CLiente estava em reunião, retornar o contato
20.03 cliente respondeu o formulário tentando agendar uma apresentação do ERp para o dia 31/03
30/03 - Fiz vários contato com o cliente para agendar uma apresentação e não tive retorno</t>
  </si>
  <si>
    <t>a2 tecnologia industrial</t>
  </si>
  <si>
    <t>Vinicius Primo</t>
  </si>
  <si>
    <t>(19) 99959-1568</t>
  </si>
  <si>
    <t>engenharia@a2industrial.com.br</t>
  </si>
  <si>
    <t xml:space="preserve">(27/03/2026) Flavio não responde aos contatos </t>
  </si>
  <si>
    <t>fm negocios</t>
  </si>
  <si>
    <t>FM Negocios</t>
  </si>
  <si>
    <t>fmsallas@gmail.com</t>
  </si>
  <si>
    <t xml:space="preserve">Flavio não responde aos contatos </t>
  </si>
  <si>
    <t>18/03 Fiz contato com o Itamar, sem retorno ate o momento.
20/03 Falei com o Itamar esta na unimed ficamos de falar na próxima semana.</t>
  </si>
  <si>
    <t>concreps</t>
  </si>
  <si>
    <t>Concreps</t>
  </si>
  <si>
    <t>itamarbuenoadv@gmail.com</t>
  </si>
  <si>
    <t>19.03 - Tentei contato por telefone, ligação por whatsapp e mensagem. 
20.03 Convite enviado para Quarta (25/03) as 15h
Segue o link também:
https://teams.microsoft.com/meet/25533981257135?p=HZgs0XbZOVQrxgr3rL
24/03Realizamos uma apresentação do ERP, mas como o cliente é logista pediu uma previsão de investimento e achou o valor acima</t>
  </si>
  <si>
    <t>Auto peças taurus</t>
  </si>
  <si>
    <t>gustavoandreh@yahoo.com.br</t>
  </si>
  <si>
    <t>11:55, 19/03/2026 Junior Lopes: Faz sentido para vocês ?
11:56, 19/03/2026 +55 35 9839-4949: Acredito que nao
12:02, 19/03/2026 +55 35 9839-4949: Distribuidor
12:02, 19/03/2026 +55 35 9839-4949: Frutas e legumes
12:03, 19/03/2026 Junior Lopes: E vc tem vendedores externos ?
12:09, 19/03/2026 +55 35 9839-4949: Somente 1</t>
  </si>
  <si>
    <t>grupo kimura</t>
  </si>
  <si>
    <t>Grupo Kimura</t>
  </si>
  <si>
    <t>veniltonsouza@hotmail.com</t>
  </si>
  <si>
    <t xml:space="preserve">Cliente de porte muito pequeno </t>
  </si>
  <si>
    <t xml:space="preserve">20.03 - Oi Raysa, bem e você?
Estou em viagem e só volto no final da próxima semana. 
Podemos deixar para o meu retorno?
23.03 esta em viagem e retorna no final da proxima semana, agendando contato
31.03 retomamos o contato hoje 
06.04 Eduardo pediu para entrar em contato com o Rafael, preciso entender o negócio deles. </t>
  </si>
  <si>
    <t>hidroar industria quimica</t>
  </si>
  <si>
    <t>Aquatrat</t>
  </si>
  <si>
    <t>eduardo@aquatrat.com.br</t>
  </si>
  <si>
    <t xml:space="preserve">20.03 não atendeu
Boa tarde Jairo, tudo bem?
Meu nome é Rayssa, sou da Guarani Sistemas, estou retornando seu contato interessado em software para a empresa VENTMAR Ventilação
podemos falar?
23.03 achou o investimento alto, é uma loja de bairro </t>
  </si>
  <si>
    <t>ventmar ventilacao</t>
  </si>
  <si>
    <t>VENTMAR Ventilacao</t>
  </si>
  <si>
    <t>jairodsm@gmail.com</t>
  </si>
  <si>
    <t xml:space="preserve">(27/03/2026) Após varias tentativas de contato com Afabio sem retorno ! estou declinando oportunidade </t>
  </si>
  <si>
    <t>vilela &amp; vilela ltda</t>
  </si>
  <si>
    <t>Vilela &amp; Vilela Ltda</t>
  </si>
  <si>
    <t>afabio2016@gmail.com</t>
  </si>
  <si>
    <t>Para</t>
  </si>
  <si>
    <t>Instagram;Fora Perfil;Perfil Indefinido</t>
  </si>
  <si>
    <t xml:space="preserve">Após varias tentativas de contato com Afabio sem retorno ! estou declinando oportunidade </t>
  </si>
  <si>
    <t xml:space="preserve">24.03 - não consegui contato
06.04 - telefone não atende
11:28, 31/03/2026 Rayssa Karapeticov - Comercial - Guarani Sistemas: Bom dia Lucas, como vai?
Meu nome é Rayssa, sou da Guarani Sistemas. 
Estou tentando contato com você para entender como as soluções da Guarani Sistemas podem atender a MaisMendes Distribuidora Materiais para construção
11:56, 06/04/2026 Rayssa Karapeticov - Comercial - Guarani Sistemas: Boa tarde Lucas, tudo bem? 
Meu nome é Rayssa, sou da Guarani Sistemas. 
Ainda faz sentido a procura de uma solução para sua empresa?
07.4 </t>
  </si>
  <si>
    <t>maismendes distribuidora materiais para construção</t>
  </si>
  <si>
    <t>MaisMendes Distribuidora Materiais para construção</t>
  </si>
  <si>
    <t>lucasmatheusmendes@outlook.com</t>
  </si>
  <si>
    <t xml:space="preserve">(23/03/2026) contato com Rafael 
(27/03/2026) Rafael não responde aos contato </t>
  </si>
  <si>
    <t>distribom</t>
  </si>
  <si>
    <t>DISTRIBOM</t>
  </si>
  <si>
    <t>rafaeldebossan@gmail.com</t>
  </si>
  <si>
    <t>VILA VELHA</t>
  </si>
  <si>
    <t>ES</t>
  </si>
  <si>
    <t xml:space="preserve">(27/03/2026) Rafael não responde aos contato </t>
  </si>
  <si>
    <t>Preciza Imports</t>
  </si>
  <si>
    <t xml:space="preserve">(31/03/2026) Reciclanorte  tem algumas particularidades que fogem do nosso ERP </t>
  </si>
  <si>
    <t>reciclanorte</t>
  </si>
  <si>
    <t xml:space="preserve">Mateus Ramos </t>
  </si>
  <si>
    <t>(38) 9968-0779</t>
  </si>
  <si>
    <t>reciclanorte2@gmail.com</t>
  </si>
  <si>
    <t>PONTO CHIQUE</t>
  </si>
  <si>
    <t>Contato;Fora Perfil</t>
  </si>
  <si>
    <t xml:space="preserve">GlobalMix - Cloud </t>
  </si>
  <si>
    <t>GlobalMix - B2B</t>
  </si>
  <si>
    <t>31.03 caixa postal: Bom dia Murilo, como vai?
Meu nome é Rayssa, sou da Guarani Sistemas. 
Estou tentando contato com você para entender como as soluções da Guarani Sistemas podem atender a JUNDCOAT
07.04 caixa postal</t>
  </si>
  <si>
    <t>jundcoat</t>
  </si>
  <si>
    <t>JUNDCOAT</t>
  </si>
  <si>
    <t>murilo@jundcoat.com.br</t>
  </si>
  <si>
    <t>Itupeva</t>
  </si>
  <si>
    <t xml:space="preserve">(26/03/2026) em contato com Joel </t>
  </si>
  <si>
    <t>indukraft industria e comercio de embalagens ltda</t>
  </si>
  <si>
    <t>indukraft</t>
  </si>
  <si>
    <t>joel@indukraft.com.br</t>
  </si>
  <si>
    <t>30.03 pediu uma apresentação e valores. 
Falei que preciso conhecer a empresa dele e entender a razão de procurar um novo software para empresa
Estavamos avançando com a conversa
01.04 - Não atendeu 
Boa tarde Milton, tudo bem?
Fez sentido para sua operação as informações que passei?
06.04 - não atende e não retorna contato</t>
  </si>
  <si>
    <t>b&amp;g comércio</t>
  </si>
  <si>
    <t>B&amp;G Comércio de Sinalização e Materiais de Construção</t>
  </si>
  <si>
    <t>milton-bernardo@uol.com.br</t>
  </si>
  <si>
    <t>Caieiras</t>
  </si>
  <si>
    <t>30.03 - lojista de material de construção</t>
  </si>
  <si>
    <t>leondilmo mat const ltda</t>
  </si>
  <si>
    <t>Leondilmo mat const ltda</t>
  </si>
  <si>
    <t>leondilmo@hotmail.com</t>
  </si>
  <si>
    <t xml:space="preserve">(30/03/2026) Alinhando visita presencial com Thiago </t>
  </si>
  <si>
    <t xml:space="preserve">Banana Toys - Cloud </t>
  </si>
  <si>
    <t xml:space="preserve">Util Ud - PCP / WMS </t>
  </si>
  <si>
    <t>30/03/2026 00:00</t>
  </si>
  <si>
    <t>19/03/2026</t>
  </si>
  <si>
    <t xml:space="preserve">Weck - Horas </t>
  </si>
  <si>
    <t xml:space="preserve">Claudio achou o valor muito acima para investimento </t>
  </si>
  <si>
    <t xml:space="preserve">Casabella Claudio Teixeira - Cloud </t>
  </si>
  <si>
    <t>31.03 - Caixa Postal - Bom dia Anderson, como vai?
Meu nome é Rayssa, sou da Guarani Sistemas. 
Estou tentando contato com você para entender como as soluções da Guarani Sistemas podem atender a Distribuidora Anderson Corrado
01.04 - caixa postal
07.04 encerrando por falta de retorno</t>
  </si>
  <si>
    <t>distribuidora anderson corrado</t>
  </si>
  <si>
    <t>Anderson Corrado</t>
  </si>
  <si>
    <t>andersoncorrado@gmail.com</t>
  </si>
  <si>
    <t xml:space="preserve">(31/03/2026) cliente de loja porte pequeno , fora do perfil </t>
  </si>
  <si>
    <t>nat art papelaria</t>
  </si>
  <si>
    <t>cricanicolete@gmail.com</t>
  </si>
  <si>
    <t>Sorocaba</t>
  </si>
  <si>
    <t xml:space="preserve">(31/03/2026) em contato com Fernando 
(06/04/2026) declinando por falta de retorno </t>
  </si>
  <si>
    <t>forte e limpo</t>
  </si>
  <si>
    <t>Forte e Limpo</t>
  </si>
  <si>
    <t>(73) 3027-3546</t>
  </si>
  <si>
    <t>forteelimpo@gmail.com</t>
  </si>
  <si>
    <t>ITABUNA</t>
  </si>
  <si>
    <t xml:space="preserve">(06/04/2026) declinando por falta de retorno </t>
  </si>
  <si>
    <t>31.03 é uma corretora e agentes de seguros, de planos de previdência complementar e de saúde.</t>
  </si>
  <si>
    <t>finance coop</t>
  </si>
  <si>
    <t>Finance coop LTDA</t>
  </si>
  <si>
    <t>(21) 9310-5614</t>
  </si>
  <si>
    <t>financecorporacao@gmail.com</t>
  </si>
  <si>
    <t xml:space="preserve">Baag - Cloud </t>
  </si>
  <si>
    <t>(75) 3021-7768</t>
  </si>
  <si>
    <t>Baag - Televendas</t>
  </si>
  <si>
    <t>26/03/2026 00:00</t>
  </si>
  <si>
    <t xml:space="preserve">(01/04/2026) Badux é uma auto elétrica que que faz manutenção e venda de peças no balcão (lojista)  </t>
  </si>
  <si>
    <t>badux auto eletrica pecas e servicos</t>
  </si>
  <si>
    <t>Badux auto eletrica</t>
  </si>
  <si>
    <t>(95) 9142-2588</t>
  </si>
  <si>
    <t>fabianoggsilva@hotmail.com</t>
  </si>
  <si>
    <t>BOA VISTA</t>
  </si>
  <si>
    <t>RR</t>
  </si>
  <si>
    <t xml:space="preserve">(07/04/2026) tentativas de contato sem sucesso , em analise sobre verifiquei que é um empresa de lavanderia ! fora do perfil </t>
  </si>
  <si>
    <t>lavanderia e tinturaria lavinorte ltda.</t>
  </si>
  <si>
    <t>Ciape Distribuidora De Peças</t>
  </si>
  <si>
    <t>rodrigo@lavinorte.com.br</t>
  </si>
  <si>
    <t>06.04 Liguei, pediu para chamar no whatsapp
Boa tarde Leandro, tudo bem?
Meu nome é Rayssa, sou da Guarani Sistemas. 
Acabei de te liga rpara entender sua necessidade quanton as soluções da Guarani Sistemas. 
Como posso te ajudar?</t>
  </si>
  <si>
    <t>tecalhas ind. com. ferragens em geral</t>
  </si>
  <si>
    <t>Tecalhas</t>
  </si>
  <si>
    <t>(32) 3551-6365</t>
  </si>
  <si>
    <t>contato@realcontabilidadevrb.com.br</t>
  </si>
  <si>
    <t>VISCONDE DO RIO BRANCO</t>
  </si>
  <si>
    <t>Sem contato com a persona principal</t>
  </si>
  <si>
    <t xml:space="preserve">(06/04/2026) em contato com Thamires 
(06/04/2026) Thamires não responde a ligação e e mensagens ! estou descartando o lead , falta muita informação como a razão social do cliente, endereço , CNPJ ! impossível fazer  uma pesquisa sobre o cliente </t>
  </si>
  <si>
    <t>eletro+</t>
  </si>
  <si>
    <t>Eletro+</t>
  </si>
  <si>
    <t>thamirestelleseriscado@hotmail.com</t>
  </si>
  <si>
    <t xml:space="preserve">(06/04/2026) Thamires não responde a ligação e e mensagens ! estou descartando o lead , falta muita informação como a razão social do cliente, endereço , CNPJ ! impossível fazer  uma pesquisa sobre o cliente </t>
  </si>
  <si>
    <t>06.04 - telefone errado</t>
  </si>
  <si>
    <t>pra mim mesmo</t>
  </si>
  <si>
    <t>t.marcio@hotmail.com</t>
  </si>
  <si>
    <t xml:space="preserve">(06/04/2026) Coelhos identificado como fora do perfil , executa trabalhos de automação de portaria e vendas de computadores para cliente pessoa física </t>
  </si>
  <si>
    <t>coelhos automacao</t>
  </si>
  <si>
    <t>Coelhos Automação</t>
  </si>
  <si>
    <t>vilmar@coelhosautomacao.com.br</t>
  </si>
  <si>
    <t xml:space="preserve">baag - bi </t>
  </si>
  <si>
    <t xml:space="preserve">Baag - BI </t>
  </si>
  <si>
    <t>helpdesk@bahiagrafica.com.br</t>
  </si>
  <si>
    <t>08/04/2026 00:00</t>
  </si>
  <si>
    <t xml:space="preserve">(09/04/2026) Prospecção , buscando contato para conexão e apresentação das soluções ERP e Força de vendas </t>
  </si>
  <si>
    <t>eduardo marino coelho</t>
  </si>
  <si>
    <t>EDUARDO MARINO COELHO</t>
  </si>
  <si>
    <t>(09/04/2026) Em contato com Jaison (TI) 
09:49, 09/04/2026 Junior Lopes: Olá Jaison ! Bom dia meu amigo ! 
Junior da Guarani sistemas por aqui
09:49, 09/04/2026 Junior Lopes: Há um tempo fizemos uma apresentação da solução de força de vendas para a Unitermi e fiquei curioso para saber como vocês estão hoje com esse tipo de solução.
Estão utilizando alguma ferramenta atualmente?
Vejo que ainda podemos ajudar bastante na organização dos pedidos, acompanhamento da equipe de vendas em campo e melhoria dos resultados. Se fizer sentido, posso agendar uma conversa rápida para entendermos o momento de vocês e mostrar como podemos apoiar.
Contato com Danieli (Comercial)
09:51, 09/04/2026 Junior Lopes: Olá Danieli , bom dia 
Junior da Guarani sistemas por aqui ! Td bem ?
09:52, 09/04/2026 Junior Lopes: Alguns meses atrás apresentei nossa solução de força de vendas para a Unitermi e fiquei pensando em como está hoje o processo comercial de vocês: pedidos, roteiros, acompanhamento da equipe externa etc.
Vocês já estão com alguma solução implantada ou ainda avaliam opções?
10:12, 09/04/2026 Unitermi Danieli: Jaison Unitermi TI
10:12, 09/04/2026 Unitermi Danieli: Bom dia
10:12, 09/04/2026 Unitermi Danieli: Favor contatar o responsável da Ti
10:12, 09/04/2026 Unitermi Danieli: Obrigada</t>
  </si>
  <si>
    <t>unitermi</t>
  </si>
  <si>
    <t xml:space="preserve">Unitermi indústria </t>
  </si>
  <si>
    <t>sup.comercial@unitermi.com.br</t>
  </si>
  <si>
    <t>PAULO LOPES</t>
  </si>
  <si>
    <t>(09/04/2026) em contato com Daniel 
10:38, 09/04/2026 Junior Lopes: Olá Daniel ! Bom dia , Júnior Lopes da Guarani sistemas por aqui
10:38, 09/04/2026 Junior Lopes: Algum tempo atrás apresentei nossa solução de força de vendas para Martiplast e fiquei pensando em como está o processo comercial de vocês ?
10:38, 09/04/2026 Junior Lopes: Que tal rever nossas soluções?</t>
  </si>
  <si>
    <t>Martiplast Industria E Comercio De Plasticos Ltda</t>
  </si>
  <si>
    <t>martiplast industria e comercio de plasticos ltda</t>
  </si>
  <si>
    <t>(54) 2101-9090</t>
  </si>
  <si>
    <t>diego.borges@martiplast.com.br</t>
  </si>
  <si>
    <t>10.04 Liguei ficou na caixa postal 
Bom dia Vidal, tudo bem?
meu nome é Rayssa, sou da Guarani Sistemas. 
Tentei contato com você para falarmos das soluções de software para sua empresa. 
Qual melhor horario para te retornar?</t>
  </si>
  <si>
    <t>vidal</t>
  </si>
  <si>
    <t>Vidal</t>
  </si>
  <si>
    <t>g.vidal0220@gmail.com</t>
  </si>
  <si>
    <t xml:space="preserve">(10/04/2026) Buscando contato com Belmar </t>
  </si>
  <si>
    <t>metalurgica valentini ltda</t>
  </si>
  <si>
    <t>METALÚRGICA VALENTINI LTDA</t>
  </si>
  <si>
    <t>(54) 3321-5204 / (54) 3321-5204</t>
  </si>
  <si>
    <t>metalvalentini@gmail.com</t>
  </si>
  <si>
    <t xml:space="preserve">tentativas de contato sem retorno  do Sr. Belmar </t>
  </si>
  <si>
    <t xml:space="preserve">(10/04/2026) em contato com Danyllo buscando agenda para um bate papo </t>
  </si>
  <si>
    <t>camelo distribuidora</t>
  </si>
  <si>
    <t>Camelo distribuidora</t>
  </si>
  <si>
    <t>danyllogac@hotmail.com</t>
  </si>
  <si>
    <t>compec auto pecas</t>
  </si>
  <si>
    <t>Cleber vieira teles</t>
  </si>
  <si>
    <t>(15) 9800-0087</t>
  </si>
  <si>
    <t>vieira_teles@hotmail.com</t>
  </si>
  <si>
    <t>PORTO FELIZ</t>
  </si>
  <si>
    <t xml:space="preserve">Todos os dados preenchidos:
empresa: Grupo Marcamix 
name: Ismael Ramos 
cargo: Analista de Sistemas 
whatsapp: 11960590527 
email: suporte@marcamix.com.br </t>
  </si>
  <si>
    <t>marca mix (comex)</t>
  </si>
  <si>
    <t>Ismael Ramos</t>
  </si>
  <si>
    <t>suporte@marcamix.com.br</t>
  </si>
  <si>
    <t>comex</t>
  </si>
  <si>
    <t>magazine raissa</t>
  </si>
  <si>
    <t>Romulo</t>
  </si>
  <si>
    <t>romulomelo2009@gmai.com</t>
  </si>
  <si>
    <t>jh navegação e logística ltda</t>
  </si>
  <si>
    <t>JH Navegação e Logística Ltda</t>
  </si>
  <si>
    <t>hayliebarbosa1@gmail.com</t>
  </si>
  <si>
    <t>marlim azul turismo</t>
  </si>
  <si>
    <t>Marlim Azul Turismo</t>
  </si>
  <si>
    <t>heber@marlimazulturismo.com.br</t>
  </si>
  <si>
    <t>Serra ES</t>
  </si>
  <si>
    <t xml:space="preserve">empresa fora do perfil </t>
  </si>
  <si>
    <t>10.04 - Caixa postal 
Bom dia Claudio , como vai?
Meu nome é Rayssa, sou da Guarani Sistemas. 
Tentei contato com você para falarmos de sua necessidade de implantação de um novo software para sua empresa.
Qual melhor horario para te retornar?</t>
  </si>
  <si>
    <t>mercado do bairro</t>
  </si>
  <si>
    <t>Mercado do bairro</t>
  </si>
  <si>
    <t>mercadobairro11@gmail.com</t>
  </si>
  <si>
    <t>mercado</t>
  </si>
  <si>
    <t xml:space="preserve">(10/04/2026) em contato com Guri a fim de entender melhor suas necessidades </t>
  </si>
  <si>
    <t>guri cervejaria</t>
  </si>
  <si>
    <t>Guri cervejaria</t>
  </si>
  <si>
    <t>cervejariaguri@hotmail.com</t>
  </si>
  <si>
    <t xml:space="preserve">Guri cervejaria é basicamente um bar e entretenimento com quadras de futebol, fora do perfil </t>
  </si>
  <si>
    <t>up</t>
  </si>
  <si>
    <t>UP</t>
  </si>
  <si>
    <t>psainforpsa@gmail.com</t>
  </si>
  <si>
    <t>Aracariguama</t>
  </si>
  <si>
    <t>raryplast industria e comercio ltda</t>
  </si>
  <si>
    <t xml:space="preserve">Aucione Lima da Silva </t>
  </si>
  <si>
    <t>(11) 94035-6615</t>
  </si>
  <si>
    <t>contato@raryplast.com.br</t>
  </si>
  <si>
    <t>Tatuí</t>
  </si>
  <si>
    <t>embalageral distribuidora</t>
  </si>
  <si>
    <t>Adovanio</t>
  </si>
  <si>
    <t>cptavaresrepresenta@gmail.com</t>
  </si>
  <si>
    <t xml:space="preserve">(10/04/2026) Buscando contato com Andrea </t>
  </si>
  <si>
    <t>Gerente Produção</t>
  </si>
  <si>
    <t>(47) 99633-0990</t>
  </si>
  <si>
    <t>gerenteproducaosimas@gmail.com</t>
  </si>
  <si>
    <t>Itajaí</t>
  </si>
  <si>
    <t>cks importadora</t>
  </si>
  <si>
    <t>Silvia</t>
  </si>
  <si>
    <t>Green Flower Comercio, Importacao E Exportacao Ltda</t>
  </si>
  <si>
    <t>pracaza</t>
  </si>
  <si>
    <t>Santorini Atacadista Ltda</t>
  </si>
  <si>
    <t>malinha plus size</t>
  </si>
  <si>
    <t>(11) 8284-9672</t>
  </si>
  <si>
    <t>maluciarezende@gmail.com</t>
  </si>
  <si>
    <t>Mabel Comercio De Importados Ltda</t>
  </si>
  <si>
    <t>mabel</t>
  </si>
  <si>
    <t xml:space="preserve">(11) 3315-0052 </t>
  </si>
  <si>
    <t>deptofiscal@mabelimport.com.br</t>
  </si>
  <si>
    <t>SOROCABA</t>
  </si>
  <si>
    <t>U4 Home Artigos Domesticos Ltda</t>
  </si>
  <si>
    <t>u4 group</t>
  </si>
  <si>
    <t>(13) 3303-9200</t>
  </si>
  <si>
    <t>financeiro@u4home.com.br</t>
  </si>
  <si>
    <t>ITANHAEM</t>
  </si>
  <si>
    <t>Ns Iguacu Eletronicos Ltda</t>
  </si>
  <si>
    <t>weisc@uol.com.br</t>
  </si>
  <si>
    <t>Etilux Importacao E Distribuicao De Artigos De Cutelaria Ltda</t>
  </si>
  <si>
    <t>etilux</t>
  </si>
  <si>
    <t xml:space="preserve">(11) 3227-3263 </t>
  </si>
  <si>
    <t>askfiscal@askcontabil.com.br</t>
  </si>
  <si>
    <t xml:space="preserve">14.04 - em ligação com o cliente, já conhecem o Guarani devido a clientes do mesmo segmento, e já tiveram uma conversa conosco a uns 15 anos atrás e não avançaram devido o valor. Retornou o contato pedindo uma apreentação do sistemas para os funcionários da empresa ainda essa semana, porque o diretor que estara presente viaja na proxima semana </t>
  </si>
  <si>
    <t>Ana Cristina</t>
  </si>
  <si>
    <t>(11) 95126-4832</t>
  </si>
  <si>
    <t>financeiro.sqcomercio@gmail.com</t>
  </si>
  <si>
    <t>14.04 Cliente vende auto peças, material de construção e ainda presta serviço. é um logista. 
Fora do perfil</t>
  </si>
  <si>
    <t>comblocos materiais de construção</t>
  </si>
  <si>
    <t>Comblocos Materiais de Construção</t>
  </si>
  <si>
    <t>ittalo.tim@hotmail.com</t>
  </si>
  <si>
    <t>Vvv</t>
  </si>
  <si>
    <t xml:space="preserve">(14/04/2026) em contato com Renan 
10:42, 14/04/2026 Junior Lopes: Olá Renan, bom dia ! tudo bem ?
10:42, 14/04/2026 Junior Lopes: sou Junior Lopes da Guarani sistemas td bem ?
10:44, 14/04/2026 +55 66 9647-2785: Bom dia Junior
10:44, 14/04/2026 +55 66 9647-2785: Tudo bem e contigo?
10:45, 14/04/2026 Junior Lopes: Opa Td joia ! 
Estou retornando para vc um contato que fez conosco sobre nosso software
11:03, 14/04/2026 +55 66 9647-2785: Vc tem sistema para materiais para construção
11:03, 14/04/2026 +55 66 9647-2785: ?
11:27, 14/04/2026 +55 66 9647-2785: A venda somente interna mesmo
11:27, 14/04/2026 +55 66 9647-2785: Não tem vendedores externos
11:36, 14/04/2026 Junior Lopes: Fiz uma análise rápida aqui Renan devido alguns pontos não consigo te atender! Ate pq nossa solução é mais focada em distribuição </t>
  </si>
  <si>
    <t>araguaia materiais para construcao</t>
  </si>
  <si>
    <t>Araguaia Materiais Para Construcao</t>
  </si>
  <si>
    <t>renansimon@gmail.com</t>
  </si>
  <si>
    <t xml:space="preserve">em contato com Renan, precisa de um PDV para loja de material de construção com particularidades de entrega parcial e controle de medidas das para venda de terras e pedras </t>
  </si>
  <si>
    <t>teodoro cosméticos</t>
  </si>
  <si>
    <t>rogeriojtigo@hotmail.com</t>
  </si>
  <si>
    <t>Jatai goais</t>
  </si>
  <si>
    <t>dsg</t>
  </si>
  <si>
    <t>Dsg</t>
  </si>
  <si>
    <t>euderi@hotmail.com</t>
  </si>
  <si>
    <t>MARACANAU</t>
  </si>
  <si>
    <t>CE</t>
  </si>
  <si>
    <t>Logrosoft Comercio, Importacao, Exportacao E Prestacao De Servicos Ltda</t>
  </si>
  <si>
    <t>(31) 3378-0033</t>
  </si>
  <si>
    <t>supervisoroperacional@logrosoft.com.br</t>
  </si>
  <si>
    <t>Logrosoft comercio CLOUD</t>
  </si>
  <si>
    <t>eddi casa - afv</t>
  </si>
  <si>
    <t>Guarani AFV;Importado a partir de lista;SDRFernanda</t>
  </si>
  <si>
    <t>Projeto adiado / sem prazo definido</t>
  </si>
  <si>
    <t>sem retorno do cliente</t>
  </si>
  <si>
    <t>90%;Guarani AFV;SDRDébora;SDRInbound</t>
  </si>
  <si>
    <t>Giovanna Seguette</t>
  </si>
  <si>
    <t>Guarani AFV;SDRDébora;SDRInbound</t>
  </si>
  <si>
    <t>cliente não da retorno</t>
  </si>
  <si>
    <t>lojas primus</t>
  </si>
  <si>
    <t>Guarani AFV;Guarani B2B;Guarani ERP;Guarani PDV;MORNO;SDRPaulo</t>
  </si>
  <si>
    <t>Adicionais ERP;Guarani AFV;Guarani ERP;Pausado;SDRDébora</t>
  </si>
  <si>
    <t>Preço muito alto - fora do budget de investimento</t>
  </si>
  <si>
    <t>servidor local</t>
  </si>
  <si>
    <t>atualmente tem muita instabilidade de internet</t>
  </si>
  <si>
    <t>precisa import</t>
  </si>
  <si>
    <t>cliente esfriou após proposta comercial</t>
  </si>
  <si>
    <t>sem retorno</t>
  </si>
  <si>
    <t>Fechou com o concorrente - preço</t>
  </si>
  <si>
    <t>Devido a localização e proposta do concorrente (Target) perdemos a concorrência</t>
  </si>
  <si>
    <t>cliente ainda não decidiu</t>
  </si>
  <si>
    <t>cliente esfriou após envio da proposta comercial</t>
  </si>
  <si>
    <t>cliente não decidiu seguir</t>
  </si>
  <si>
    <t>80%;Fabio Indica;Guarani AFV</t>
  </si>
  <si>
    <t>gb importadora - clou</t>
  </si>
  <si>
    <t>GB Importadora - Clou</t>
  </si>
  <si>
    <t>junior informou que vai seguir com Mercus ! indicaçãom do seu atual ERP Triplus</t>
  </si>
  <si>
    <t>cliente com situação de pendencias financeiras</t>
  </si>
  <si>
    <t>estamos fechando solução completa</t>
  </si>
  <si>
    <t>dcl editora</t>
  </si>
  <si>
    <t>DCL Editora</t>
  </si>
  <si>
    <t>cliente não deu sequencia em nossa negociação</t>
  </si>
  <si>
    <t>Tony</t>
  </si>
  <si>
    <t>luz e real aluminios - grupo laminor</t>
  </si>
  <si>
    <t>Abup2025Fevereiro;GELADO</t>
  </si>
  <si>
    <t>Indústria de alumínio atualmente utiliza um ERP local, junto com o EPR do mesmo fornecedor. Porém a principal dificuldade esta no processo produtivo, que ainda não foi implantado. Por este motivo a empresa necessita de um módulo de PCP (Planejamento e controle da produção) e o AFV atual não atende as necessidades comerciais.
MBA Alumínios
Com mais de 38 anos de atuação no setor de alumínios, a MBA Alumínios é uma fábrica consolidada que abrange toda a cadeia produtiva de panelas de alumínio, desde a compra de sucata, produção de discos, estamparia, pintura, montagem, até embalagem e armazenamento.
A empresa adotará os seguintes produtos:
ERP + PCP: 10 usuários
Checkout (ERP): 4 usuários
AFV: 14 usuários
MDe
MDFe
Possui dois CNPJs enquadrados no Simples Nacional e está localizada na cidade de Itaúna - MG.</t>
  </si>
  <si>
    <t>Carlos informou que possui hoje 50 RCA, e utilizam o ERP Solides.</t>
  </si>
  <si>
    <t>decidiu não mudar força de vendas nesse momento</t>
  </si>
  <si>
    <t>News aviamentos</t>
  </si>
  <si>
    <t>achou investimento fora para o momento</t>
  </si>
  <si>
    <t>R DOM LUIZ ORIONE 577</t>
  </si>
  <si>
    <t>GELADO;Pausado;Solicita demo</t>
  </si>
  <si>
    <t>Fora do segmento atendido</t>
  </si>
  <si>
    <t>cliente não tem tempo para apresentação</t>
  </si>
  <si>
    <t>pediu para retornar no futuro</t>
  </si>
  <si>
    <t>sem resposta do cliente</t>
  </si>
  <si>
    <t>royal toys</t>
  </si>
  <si>
    <t>Royal Toys</t>
  </si>
  <si>
    <t>fechou com Mercus</t>
  </si>
  <si>
    <t>atacado junior</t>
  </si>
  <si>
    <t>Atacado Junior</t>
  </si>
  <si>
    <t>valor alto para investimento</t>
  </si>
  <si>
    <t>multiflon</t>
  </si>
  <si>
    <t>Cliente fora do segmento</t>
  </si>
  <si>
    <t>Isaias</t>
  </si>
  <si>
    <t>Todos os dados preenchidos:
name: Eliedson Alves 
phone: 81988636626 
email: eliedsonrepresentante@gmail.com 
referrer: https://www.guaranisistemas.com.br/</t>
  </si>
  <si>
    <t>cliente não respondeu mais aos contatos</t>
  </si>
  <si>
    <t>Fora do porte mínimo (sem fit estrutural)</t>
  </si>
  <si>
    <t>viva vidros - cloud</t>
  </si>
  <si>
    <t>Cliente com situação de pendencias financeiras</t>
  </si>
  <si>
    <t>Aguardará Retaguarda Web</t>
  </si>
  <si>
    <t>maxximo utilidades</t>
  </si>
  <si>
    <t>Maxximo Utilidades</t>
  </si>
  <si>
    <t>cliente não responde as mensagens, continuarei a prospectar em paralelo</t>
  </si>
  <si>
    <t>Plastutti - Clou</t>
  </si>
  <si>
    <t>atualmente tem servidor local</t>
  </si>
  <si>
    <t>cozzillar - afv</t>
  </si>
  <si>
    <t>marca textil</t>
  </si>
  <si>
    <t>Marca Textil</t>
  </si>
  <si>
    <t>não seguirá no momento</t>
  </si>
  <si>
    <t>Abcasa2025fevereiro;Solicita demo</t>
  </si>
  <si>
    <t>oikos</t>
  </si>
  <si>
    <t>Oikos</t>
  </si>
  <si>
    <t>90%;Abcasa2025fevereiro</t>
  </si>
  <si>
    <t>cliente não responde sobre a continuidade</t>
  </si>
  <si>
    <t>Todos os dados preenchidos:
name: Ana Beatriz Costa dos Santos  
phone: 12997420947 
email: administrativo@camposdiaromas.com</t>
  </si>
  <si>
    <t>Ana Beatriz Costa dos Santos</t>
  </si>
  <si>
    <t>Fora do porte mínimo (sem fite estrutural)</t>
  </si>
  <si>
    <t>ad &amp; ad comercio de importacao</t>
  </si>
  <si>
    <t>Ad &amp; Ad Comercio de Importacao</t>
  </si>
  <si>
    <t>p10 importadora -erp</t>
  </si>
  <si>
    <t>P10 Importadora</t>
  </si>
  <si>
    <t>Breno não responde as mensagens ! estou fechando oportunidade mas continuo em busca da oportunidade</t>
  </si>
  <si>
    <t>MORNO;Solicita demo</t>
  </si>
  <si>
    <t>Nossa solução não atende - falta funcionalidade</t>
  </si>
  <si>
    <t>Caetano</t>
  </si>
  <si>
    <t>30%;Abcasa2025fevereiro;Pausado</t>
  </si>
  <si>
    <t>Abcasa2025fevereiro;Pausado</t>
  </si>
  <si>
    <t>Wanessa</t>
  </si>
  <si>
    <t>Abcasa2025fevereiro;Contato;GELADO</t>
  </si>
  <si>
    <t>Jose e Felipe</t>
  </si>
  <si>
    <t>Abup2025Fevereiro;Pausado</t>
  </si>
  <si>
    <t>Luis Felips</t>
  </si>
  <si>
    <t>Berenardi &amp; Bernardi</t>
  </si>
  <si>
    <t>cliente esfriou após envio da proposta</t>
  </si>
  <si>
    <t>acomix soluções para o lar</t>
  </si>
  <si>
    <t>cliente não responde as mensagens continuarei a prospectar em paralelo</t>
  </si>
  <si>
    <t>123 util</t>
  </si>
  <si>
    <t>cliente não responde as mensagens , continuarei a prospectar em paralelo</t>
  </si>
  <si>
    <t>Representante</t>
  </si>
  <si>
    <t>açomix soluções para o lar</t>
  </si>
  <si>
    <t>Erca Alumínio</t>
  </si>
  <si>
    <t>sk importacao - erp</t>
  </si>
  <si>
    <t>comércio  bernardi e bernardi - erp</t>
  </si>
  <si>
    <t>cliente ainda não definiu 
estou baixando oportunidade mas manterei contato via WhatsApp</t>
  </si>
  <si>
    <t>cadastro em duplicidade</t>
  </si>
  <si>
    <t>culturama - horas</t>
  </si>
  <si>
    <t>culturama - Horas</t>
  </si>
  <si>
    <t>ark brasil</t>
  </si>
  <si>
    <t>ARK Brasil</t>
  </si>
  <si>
    <t>estou mantendo contato para força de vendas</t>
  </si>
  <si>
    <t>casa ambiente</t>
  </si>
  <si>
    <t>Casa Ambiente</t>
  </si>
  <si>
    <t>sem resposta ao contato</t>
  </si>
  <si>
    <t>mdl import - erp</t>
  </si>
  <si>
    <t>integração com WMS inviabilizou o projeto</t>
  </si>
  <si>
    <t>xiexie com. de brinquedos - erp</t>
  </si>
  <si>
    <t>Após envio da proposta comercial, não obtive mais retorno do Kaique, estou declinando a oportunidade mas continuarei tentando contato</t>
  </si>
  <si>
    <t>Adavilson</t>
  </si>
  <si>
    <t>almapy - contábil</t>
  </si>
  <si>
    <t>Não vai dar sequencia no momento</t>
  </si>
  <si>
    <t>Renovação Porcelanas</t>
  </si>
  <si>
    <t>30%;90%;Fabio Indica</t>
  </si>
  <si>
    <t>renovação porcelanas - afv</t>
  </si>
  <si>
    <t>Renovação Porcelanas - AFV</t>
  </si>
  <si>
    <t>unik</t>
  </si>
  <si>
    <t>Unik</t>
  </si>
  <si>
    <t>Y-888 - ERP</t>
  </si>
  <si>
    <t>estou fechando oportunidade porem manterei contato com Victor</t>
  </si>
  <si>
    <t>y 888 importação - cloud</t>
  </si>
  <si>
    <t>Y 888 importação - AFV</t>
  </si>
  <si>
    <t>estou descartando oportunidade porem vou manter contato com Victor</t>
  </si>
  <si>
    <t>integração com WMS inviabilizou projeto</t>
  </si>
  <si>
    <t>renovação porcelanas - cloud</t>
  </si>
  <si>
    <t>Renovação porcelanas - Cloud</t>
  </si>
  <si>
    <t>Nathan</t>
  </si>
  <si>
    <t>amandfast (fest bubble) rms</t>
  </si>
  <si>
    <t>Aguardar Rep Mais</t>
  </si>
  <si>
    <t>Fa fa Import</t>
  </si>
  <si>
    <t>amazonia aromas</t>
  </si>
  <si>
    <t>Amazonia aromas</t>
  </si>
  <si>
    <t>voltar contato quando RepMais</t>
  </si>
  <si>
    <t>PROPOSTA RENOVCADA POREM CLIENTE NÃO DEU SEQUENCIA</t>
  </si>
  <si>
    <t>PROPOSTA RENOVADA POREM CÇIENTE NÃO DEU SEQUENCIA</t>
  </si>
  <si>
    <t>Rayssa esta mantendo contato</t>
  </si>
  <si>
    <t>informou que não tem verba de investimento</t>
  </si>
  <si>
    <t>informou que não tem verba para investimento</t>
  </si>
  <si>
    <t>ponto das festas</t>
  </si>
  <si>
    <t>Ponto das festas</t>
  </si>
  <si>
    <t>varias tentativas de contato sem retorno</t>
  </si>
  <si>
    <t>Descartando ! cliente não encontra tempo para seguir</t>
  </si>
  <si>
    <t>Anjo brinquedos (RMS - AFV)</t>
  </si>
  <si>
    <t>meio atacado</t>
  </si>
  <si>
    <t>não responde mais aos contatos</t>
  </si>
  <si>
    <t>Goal comercial</t>
  </si>
  <si>
    <t>galpão importadora</t>
  </si>
  <si>
    <t>Galpão importadora</t>
  </si>
  <si>
    <t>cliente não encontra tempo para apresentação</t>
  </si>
  <si>
    <t>Vitoria cortinas</t>
  </si>
  <si>
    <t>orçamento não foi aprovado</t>
  </si>
  <si>
    <t>Dielu</t>
  </si>
  <si>
    <t>ceramica salute</t>
  </si>
  <si>
    <t>Palete Chiari</t>
  </si>
  <si>
    <t>cliente não respondeu mais aos contatos ! estou decertando e manterei contato</t>
  </si>
  <si>
    <t>serraria chiari - cloud</t>
  </si>
  <si>
    <t>vitoria cortinas - user afv</t>
  </si>
  <si>
    <t>vitoria cortinas - User AFV</t>
  </si>
  <si>
    <t>meio atacado - cloud</t>
  </si>
  <si>
    <t>Meio atacado - Cloud</t>
  </si>
  <si>
    <t>Emporio Villamarin</t>
  </si>
  <si>
    <t>não ira dar continuidade no momento</t>
  </si>
  <si>
    <t>Grupo K1</t>
  </si>
  <si>
    <t>em contato com Ângela, nao esta descartado porem não seguirá nesse momento</t>
  </si>
  <si>
    <t>tiago  eletronicos - erp</t>
  </si>
  <si>
    <t>Tiago eletrodomésticos</t>
  </si>
  <si>
    <t>Tiago eleytonicos</t>
  </si>
  <si>
    <t>cliente decidiu manter o servidor local</t>
  </si>
  <si>
    <t>germer porcenalas</t>
  </si>
  <si>
    <t>Germer porcenalas</t>
  </si>
  <si>
    <t>em contato com Claudinei projeto está estagnado</t>
  </si>
  <si>
    <t>adelmo jeronimo</t>
  </si>
  <si>
    <t>Adelmo Jeronimo</t>
  </si>
  <si>
    <t>cliente vai seguir somente com força de vendas</t>
  </si>
  <si>
    <t>vai seguir somente com força de vendas</t>
  </si>
  <si>
    <t>Pedro não responde mais aos contatos</t>
  </si>
  <si>
    <t>Pedro não responde mais os contatos</t>
  </si>
  <si>
    <t>cliente não quer dar sequencia no momento por conta do valor</t>
  </si>
  <si>
    <t>Falei hoje com o Gomes consultor Totvs da empresa Oyshi e o mesmo que agendar uma reunião técnica de alinhamento para integrar o AFV com Protheus.
19-01; Após nossa reunião na sexta-feira para alinhar sobre a integração, o Gomes ficou de providências uma agenda com o Rodrigo para fechar a negociação.
22/01 - Cobrei novamente o Evandro para ele me posicionar se conseguiu falar com o Rodrigo para avançar com o contrato e fechamento e assim dar sequencias no projeto. Ele falou que estava envolvido em tarefas adicionais e isso atrasou a conversa que vai ocorrer na próxima semana.
26/02 Fiz FUP com o Evandro hoje perguntando uma posição, no aguardo. Já falei com a Isabella diretor comercial, e até agora nada de retorno.
12/03 Fiz FUP com o Evandro e ele falou que a decisão para seguir ou não vai ser tomada na próxima sexta-feira 13/03.
23/03 Falei com a Isabella a mesma me avisou que semana que vem vai</t>
  </si>
  <si>
    <t>industria oyshi</t>
  </si>
  <si>
    <t>30%;50%</t>
  </si>
  <si>
    <t>Gustavo conversou com os sócios e decidiu por não trocar de software no momento</t>
  </si>
  <si>
    <t>Rogerio pediu para aguardar um pouco mais</t>
  </si>
  <si>
    <t>off paper (afv)</t>
  </si>
  <si>
    <t>fechou sem mesmo falar com Guarani</t>
  </si>
  <si>
    <t>Plastutti - Cloud</t>
  </si>
  <si>
    <t>achou valores acima</t>
  </si>
  <si>
    <t>Brinquemix - Cloud</t>
  </si>
  <si>
    <t>em analise do consultor Munhoz, cliente não esta no momento  certo</t>
  </si>
  <si>
    <t>Amilplast - Cloud</t>
  </si>
  <si>
    <t>Amilplast continuará com servidor físico</t>
  </si>
  <si>
    <t>(11) 3283-3767</t>
  </si>
  <si>
    <t>Após proposta cliente não respondeu mais</t>
  </si>
  <si>
    <t>esta em uso de servidor próprio</t>
  </si>
  <si>
    <t>(11) 3312-3990</t>
  </si>
  <si>
    <t>30%;Pausado</t>
  </si>
  <si>
    <t>cliente achou investimento muito alto</t>
  </si>
  <si>
    <t>cadastro duplicado</t>
  </si>
  <si>
    <t>cliente não responde as mensagens e ligações</t>
  </si>
  <si>
    <t>fantoys brinquedos - cloud</t>
  </si>
  <si>
    <t>Fantoys Brinquedos - Cloud</t>
  </si>
  <si>
    <t>cliente achou investimento muito  alto</t>
  </si>
  <si>
    <t>(48) 9123-3777</t>
  </si>
  <si>
    <t>cliente Rep Mais</t>
  </si>
  <si>
    <t>Sem retorno dos contatos</t>
  </si>
  <si>
    <t>Todos os dados preenchidos:
name: Ramão 
phone: 67 9 9169-7702 
email: ramaodlara@gmail.com 
nome_da_empresa_indicada: LUZIA LARA GUILHEN- MEI 
field_6: Guarani ERP, PDV 
nome_de_quem_indica: Diego Luis Barcelli 
e_mail_de_quem_indica: diego.barcelli@guaranisistemas.com.br 
telefone_de_quem_indica: 16 9 9265-3506 
Quais_produtos_Guarani_você_indica_para_essa_empresa?: Guarani ERP, PDV 
0: Guarani ERP, PDV</t>
  </si>
  <si>
    <t>não responde ao contato</t>
  </si>
  <si>
    <t>chame rio (cloud)</t>
  </si>
  <si>
    <t>Chame Rio (Cloud)</t>
  </si>
  <si>
    <t>Aguardar ativação das lojas</t>
  </si>
  <si>
    <t>dvidros (cnpj)</t>
  </si>
  <si>
    <t>DVidros (CNPJ)</t>
  </si>
  <si>
    <t>Central Rações - BI</t>
  </si>
  <si>
    <t>Central Rações - Cloud</t>
  </si>
  <si>
    <t>PlasBink</t>
  </si>
  <si>
    <t>Wellington</t>
  </si>
  <si>
    <t>Illumac Industria - Cloud</t>
  </si>
  <si>
    <t>chame rio - horas</t>
  </si>
  <si>
    <t>Chame Rio - Horas</t>
  </si>
  <si>
    <t>José Luiz Gomes Junior</t>
  </si>
  <si>
    <t>vitoria cortinas - horas</t>
  </si>
  <si>
    <t>Vitoria cortinas - Horas</t>
  </si>
  <si>
    <t>Casa Bonitta - PDV</t>
  </si>
  <si>
    <t>Hussein</t>
  </si>
  <si>
    <t>cliente fora do perfil</t>
  </si>
  <si>
    <t>star distribuidora (wms)</t>
  </si>
  <si>
    <t>Star Distribuidora (WMS)</t>
  </si>
  <si>
    <t>plasbrink embalagens plasticas ltda - cloud</t>
  </si>
  <si>
    <t>Plasbrink Embalagens Plasticas Ltda - Cloud</t>
  </si>
  <si>
    <t>cliente não assinou contrato</t>
  </si>
  <si>
    <t>Após a apresentação de 10/12/2025, ficou definido que a equipe da Marka Têxtil se reunirá para decidir sobre a continuidade do projeto. Farei um follow-up em 15/12/2025 para obter a definição.
16:22, 27/01/2026 Junior Lopes: Olá Regina ! Boa tarde
16:22, 27/01/2026 Regina Chagas: Boa tarde
16:27, 27/01/2026 Junior Lopes: Como está a evolução do projeto?
16:29, 27/01/2026 Junior Lopes: Sei que vcs estão em contato com outras ferramentas! E que está tudo bem 
Porém fico preocupado com valor que já negociamos! A proposta é do ano passado ! Viramos a nossa tabela 
Estou segurando os valores aqui ! Mas preciso de um feedback
16:49, 27/01/2026 Regina Chagas: Entendo, acredito que até sexta feira eu te dou um retorno final
(03/02/2026) em contato com a Bruna na feira Abup informou que decidiu seguir com ERP que apresentou uma proposta mais atrativa em questão de valores ! abaixo mensagem da Regina com mesmo contexto : 
07:57, 09/02/2026 Regina Chagas: Bom dia Junior, desculpe a demora no retorno.
Fechamos com outra empresa, em reunião foi decidido que seria mais vantajoso além do custo/beneficio.
Muito obrigada pelo seu ótimo atendimento
08:59, 09/02/2026 Junior Lopes: Olá Regina bom dia ! Falei com a Bruna na feira 
Desejo sucesso para vocês</t>
  </si>
  <si>
    <t>Marka Textil</t>
  </si>
  <si>
    <t>fechou por preço</t>
  </si>
  <si>
    <t>Marka Textil - Cloud</t>
  </si>
  <si>
    <t>Jones da Costa Grance</t>
  </si>
  <si>
    <t>cliente não esta no tempo certo, achou investimento muito alto</t>
  </si>
  <si>
    <t>cliente busca apenas módulo de compras</t>
  </si>
  <si>
    <t>(16/01/2026) Bruno decidiu por não fazer o investimento nesse momento ! esta estruturando a equipe de vendas</t>
  </si>
  <si>
    <t>sevilha trade - cloud</t>
  </si>
  <si>
    <t>Sevilha Trade - Cloud</t>
  </si>
  <si>
    <t>por enquanto nao vai adicionar proposta web</t>
  </si>
  <si>
    <t>Atacadão MOntebello</t>
  </si>
  <si>
    <t>newbaby - erp</t>
  </si>
  <si>
    <t>NewBaby - ERP</t>
  </si>
  <si>
    <t>mdl - wms</t>
  </si>
  <si>
    <t>MDL - WMS</t>
  </si>
  <si>
    <t>newbaby - cloud</t>
  </si>
  <si>
    <t>NewBaby - Cloud</t>
  </si>
  <si>
    <t>baag - incl.cnpj</t>
  </si>
  <si>
    <t>Baag - Incl.CNPJ</t>
  </si>
  <si>
    <t>E.S Maia</t>
  </si>
  <si>
    <t>nao esta no momento certo</t>
  </si>
  <si>
    <t>Phabllo Parambu Atacado - ERP</t>
  </si>
  <si>
    <t>Cliente não tem tempo para fazermos apresentação</t>
  </si>
  <si>
    <t>30%;Solicita demo</t>
  </si>
  <si>
    <t>30%;Pausado;Solicita demo</t>
  </si>
  <si>
    <t>fafa import - wms</t>
  </si>
  <si>
    <t>FaFa Import - WMS</t>
  </si>
  <si>
    <t>por enquanto vai fazer as aprovações via ERP</t>
  </si>
  <si>
    <t>50%;Solicita demo</t>
  </si>
  <si>
    <t>Cobrei hoje 09/01 o Alex, para saber sobre a evolução do projeto em 2026.
14/01 - O Alex me ligou hoje avisando que a empresa optou pelo mais barato e fechou com a RioSoft.</t>
  </si>
  <si>
    <t>O Alex me ligou hoje avisando que a empresa optou pelo mais barato e fechou com a RioSoft.</t>
  </si>
  <si>
    <t>hf utilidades</t>
  </si>
  <si>
    <t>atual mix</t>
  </si>
  <si>
    <t>Dalvan barros</t>
  </si>
  <si>
    <t>(07/01/2026) visita comercial 
(14/01/2026) Visita apresentação com Max 
(29/01/2026) cliente esta ligando para nossos clientes  
(24/04/2026) Bassel não responde , não esta no momento certo</t>
  </si>
  <si>
    <t>(24/04/2026) Bassel não responde , não esta no momento certo</t>
  </si>
  <si>
    <t>vic import - afv</t>
  </si>
  <si>
    <t>Vic Import - AFV</t>
  </si>
  <si>
    <t>seguindo com ERP</t>
  </si>
  <si>
    <t>(07/01/2026) visita comercial 
(14/01/2026) Visita apresentação com Max 
(29/01/2026) cliente esta ligando para nossos clientes</t>
  </si>
  <si>
    <t>vic import - cloud</t>
  </si>
  <si>
    <t>Vic Import - Cloud</t>
  </si>
  <si>
    <t>(11) 2081-7750</t>
  </si>
  <si>
    <t>fechamos ERP , estou descartando essa oportunidade</t>
  </si>
  <si>
    <t>conthey - afv</t>
  </si>
  <si>
    <t>Conthey - AFV</t>
  </si>
  <si>
    <t>(24/04/2026) Conthey vai manter o servidor local , em breve caso necessário irá migrar para cloud</t>
  </si>
  <si>
    <t>conthey - cloud</t>
  </si>
  <si>
    <t>Conthey - Cloud</t>
  </si>
  <si>
    <t>star - b2b</t>
  </si>
  <si>
    <t>Star - B2B</t>
  </si>
  <si>
    <t>tecelagem castilho - contábil</t>
  </si>
  <si>
    <t>Tecelagem Castilho - Contábil</t>
  </si>
  <si>
    <t>30%;Dentro Perfil;Instagram</t>
  </si>
  <si>
    <t>(16/01/2026) Entrei em contato com Allan ! segundo ele esta verificando com a diretoria sobre a sequencia no projeto ! informei que nossa proposta está vencida e que preciso de uma decisão urgente para nao  perdemos o valor 
16/01/2026 em contato com Allan ! decidiu por nao dar sequencia nesse momento ! o motivo é por conta do investimento</t>
  </si>
  <si>
    <t>16/01/2026 em contato com Allan ! decidiu por nao dar sequencia nesse momento ! o motivo é por conta do investimento</t>
  </si>
  <si>
    <t>Fora Perfil;Instagram</t>
  </si>
  <si>
    <t>lojista</t>
  </si>
  <si>
    <t>(21/01/2026) em contato com Edilson 
pediu para retornar contato no dia 26/01 pois esta bem corrido devido a um feriado na cidade ! ele pediu para enviar material sobre nossas soluções 
(29/01/2026) Cliente esta analisando demais ferramentas ! estamos organizando apresentação do AFV 
(18/02/2026) Edilson declinou por conta do valor acima da expectativa de investimento ! não ofertou contra proposta pq valor estava bem acima do esperado</t>
  </si>
  <si>
    <t>(18/02/2026) Edilson declinou por conta do valor acima da expectativa de investimento ! não ofertou contra proposta pq valor estava bem acima do esperado</t>
  </si>
  <si>
    <t>50%;Dentro Perfil;Instagram</t>
  </si>
  <si>
    <t>Falei com o Robson hoje , questionando sobre a proposta e se tem alguma dúvida.
23/01 - Fiz FUPs hoje com o Robson :
R: Bom dia Paulo, fiz umas considerações na proposta e farei uma reunia com os diretores para apresentação, na sequência quero marcar uma reunião com vocês para conversarmos.
Eu espero te posicionar na próxima terça-feira.
26/02 Alinhar com o Fernando a sequência dos itens que será abordados. E qual item já foi entregue e horas consumidas!
12/03 O projeto já iniciou e o combinado é que vai cobrar conforme entrega de etapas.
12/03 O projeto já iniciou e o combinado é que vai cobrar conforme entrega de etapas.
20/03 Após alinhamento foi criado pela implantação 10 etapas no projeto, para o acompanhamento e posterior fechamento de horas.</t>
  </si>
  <si>
    <t>30%;Fora Perfil;Instagram</t>
  </si>
  <si>
    <t>(12/01/2026) Em contato com Bruno realizamos uma apresentação do força de vendas em 12/01/2026 e falamos um pouco sobre nosso ERP ! logo pediu uma ideia de investimento para seguir 
(29/01/2026) Após envio de proposta cliente não respondeu mais</t>
  </si>
  <si>
    <t>(29/01/2026) Após envio de proposta cliente não respondeu mais</t>
  </si>
  <si>
    <t>Carlos Alberto Kuehl</t>
  </si>
  <si>
    <t>30%;Dentro Perfil;Feiras</t>
  </si>
  <si>
    <t>Não era o decisor - sem acesso</t>
  </si>
  <si>
    <t>stok frios</t>
  </si>
  <si>
    <t>30%;Contato;Solicita demo</t>
  </si>
  <si>
    <t>(14/01/2026)Em contato com Marcelo para entender mais sobre sua empresa e necessidades 
(20/01/2026) em contato com André, sua confecção é de camisetas, uniformes, bonés ! existem algumas particularidades que necessitam no software como grades de cores e tamanhos e algumas particularidades para confecção ! atende cliente final B2C ! cliente de operação pequena que não esta na hora de embarcar com Guarani devido ao valor de investimento</t>
  </si>
  <si>
    <t>Bom dia Adelita, como vai?
Estou tentando contato com você para entender sua solicitação para conhecer nossos sistemas.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
Vou deixar uma apresentação de nossa empresa e quando tiver um tempo disponivel por retornar o contato
tentie contato no celular cadastrado e no telefone fixo da empresa 35) 3067-8566</t>
  </si>
  <si>
    <t>Contato;Fora Perfil;Instagram</t>
  </si>
  <si>
    <t>(35) 3435-2255</t>
  </si>
  <si>
    <t>em contato com Sr. Barbosa !
atualmente tem 02 lojas físicas e esta fora do nosso perfil de atendimento</t>
  </si>
  <si>
    <t>Dentro Perfil;Instagram</t>
  </si>
  <si>
    <t>(20/01/2026) efetuei tentativa de ligação e mensagem no WhatsApp a fim de alinhar em bate papo com Ismael e entender suas necessidades , porem cliente não responde aos contatos</t>
  </si>
  <si>
    <t>(19/01/2026) reunião de apresentação agendada para 20/01/2026
(26/01/2026) 
Olá Mauricio ! tudo bem ?
Como não recebi o seu retorno sobre o questionário após nossa apresentação, imagino que as prioridades tenham mudado por aí ou que este não seja o momento ideal para avançarmos com a proposta da Guarani Sistemas.
Para não sobrecarregar sua caixa de entrada, estou encerrando o seu processo aqui no meu sistema por enquanto.
Caso seus planos mudem no futuro, meus contatos continuam os mesmos. Desejo sucesso em seus projetos.
Após mensagem enviada Mauricio compartilhou áudio dizendo que achou investimento muito alto e que no futuro vamos voltar a falar</t>
  </si>
  <si>
    <t>Maurício Jorge lima</t>
  </si>
  <si>
    <t>(23/01/2026) Sérgio não respondeu as minhas mensagens ! estou descartando de falta de retorno do cliente</t>
  </si>
  <si>
    <t>Dentro Perfil;Solicita demo</t>
  </si>
  <si>
    <t>14:08, 21/01/2026 Junior Lopes: Olá Edmilson, boa tarde ! Aqui é Junior da Guarani sistemas, Td bem ?
(26/01/2026) Ola Edmilson, bom dia tudo bem ? 
Sobre as soluções em software ERP e Força de vendas Guarani ! Tem interesse em conhecer? 
21/01/2026 - envio de Aúdio me apresentando e solicitando data para falarmos 
15:30, 23/01/2026 Junior Lopes: Olá Edmilson, boa tarde
17:08, 27/01/2026 Junior Lopes: Olá, Edmilson! Como não conseguimos evoluir nossa conversa nos últimos dias, entendo que talvez este não seja o momento ideal para focarmos na Solução ERP e Força de vendas. Estou encerrando o seu processo por aqui para não lotar sua caixa de entrada. Vou deixar seu contato salvo e, assim que suas prioridades mudarem, sinta-se à vontade para me chamar
(18/05/2026) Após varias tentativas de contato , sem sucesso ! estou declinando oportunidade</t>
  </si>
  <si>
    <t>Sem qualificação — contato não atende ligações nem responde msg</t>
  </si>
  <si>
    <t>(18/05/2026) Após varias tentativas de contato , sem sucesso ! estou declinando oportunidade</t>
  </si>
  <si>
    <t>tentativa de contato
26/01 - Faz venda porta a porta e tem PDV 
13.02 Tentei contato por ligação e não atendeu
É um cliente que eu já havia conversado e faz venda PAP, atualmente o Guarani não atende ao que procura 
Fora do perfil</t>
  </si>
  <si>
    <t>(27/01/2026) em contato com Thales , ficamos de falar por telefone as 11;30 horas do dia 27/01
(27/01/2026) Reunião de apresentação primeira Etapa AFV em 28/01/2026 as 14 horas 
(28/01/2026) apresentação do força de vendas na integra e vídeos do força de vendas 
cliente pediu para seguirmos com proposta comercial para ver se está dentro do sua previsão de investimento 
(19/02/2026) Thales achou valor acima para o momento</t>
  </si>
  <si>
    <t>(19/02/2026) Thales achou valor acima para o momento</t>
  </si>
  <si>
    <t>Usa o sistema da Linx, é um armazem de bebida e fazvendas por Zé delivery e Ifood.</t>
  </si>
  <si>
    <t>(29/01/2026) feito ligação para Marcelo para explicar valores da proposta comercial</t>
  </si>
  <si>
    <t>cliente declinou após recebimento da proposta comercial</t>
  </si>
  <si>
    <t>(29/01/2026) em contato com Artur, esta em analise interna</t>
  </si>
  <si>
    <t>Pino lar</t>
  </si>
  <si>
    <t>11:13, 13/02/2026 Artur Pino Pino Lar: Bom dia
11:13, 13/02/2026 Artur Pino Pino Lar: Tudo bem ?
11:13, 13/02/2026 Artur Pino Pino Lar: Optei em fechar com a Penso
11:13, 13/02/2026 Artur Pino Pino Lar: Nossa empresa de TI
11:14, 13/02/2026 Artur Pino Pino Lar: O valor , pelo pacote que temos ficou muito atrativo
11:14, 13/02/2026 Artur Pino Pino Lar: Próxima semana já vamos iniciar a carga de dados
11:14, 13/02/2026 Artur Pino Pino Lar: Mas …… obrigado !
11:16, 13/02/2026 Junior Lopes: Olá Artur , perfeito!  Vou comunicar o Fernando por aqui</t>
  </si>
  <si>
    <t>mauricio jorge lima - cloud</t>
  </si>
  <si>
    <t>Mauricio Jorge Lima - Cloud</t>
  </si>
  <si>
    <t>folha dourada tabacos - cloud</t>
  </si>
  <si>
    <t>Folha dourada tabacos - Cloud</t>
  </si>
  <si>
    <t>valor acima da expectativa</t>
  </si>
  <si>
    <t>(30/01/2026) Sou Junior Lopes da Guarani sistemas
16:56, 30/01/2026 Junior Lopes: Td bem ?
17:01, 30/01/2026 Orlando: Tudo
17:08, 30/01/2026 Orlando: Descreve alguma coisa do seu sistema
17:29, 30/01/2026 Orlando: Qual o valor mensal?
Este valor mensal posso incluir quantas empresas?
16:49, 02/02/2026 Junior Lopes: Olá Orlando , tem interesse em dar continuidade no contato ?
Hj um investimento em um ERP Guarani controlando sua empresa de ponta a ponta desde a produção passando pelos módulos financeiro a pagar e receber, comercial, compras, Fiscal, logística/expedicao (WMS) e Força de vendas ! Fica dentro de uma expectativa entre (60 mil a 90 mil) de investimento em implantação e treinamentos !
A mensalidade é por usuário sendo R$ 280,00 do ERP e R$ 115,00 do AFV
Caso queira um orçamento mais preciso, podemos nos reunir para entender melhor suas necessidades
O que seria AFV?  (enviei =áudio explicando)
(11/02/2026) retornei contato com Orlando buscando continuidade no atendimento 
10:07, 19/02/2026 Orlando: Falamos mais tarde
10:08, 19/02/2026 Orlando: Estou viajando, melhor poderia me chamar na segunda feira?
10:17, 19/02/2026 Junior Lopes: Estou viajando, melhor poderia me chamar na segunda feira?
Sim ! Te chamo segunda-feira
(16/03/2026) em contato com Orlando ! acredito que não esta no momento certo ! Orlando um pouco confuso</t>
  </si>
  <si>
    <t>90%;Dentro Perfil;Solicita demo</t>
  </si>
  <si>
    <t>07.04 cliente ainda imaturo para os processos</t>
  </si>
  <si>
    <t>03/03 Após diversas tentativa de FUP não tive retorno e por falta de interação estou declinando o lead.</t>
  </si>
  <si>
    <t>06/02 Feito a apresentação da proposta em fase de negociação.
13/02 Foi feito uma visita em São Paulo no Grupo Iracema, onde falamos com os sócios , e o cabeça o Mauricio. A proposta foi reformulada e ajustada e estamos na faze de negociação. Próximo passo, quarta-feira apresentar o WMS.
13/02 Foi feito uma visita em São Paulo no Grupo Iracema, onde falamos com os sócios , e o cabeça o Mauricio. A proposta foi reformulada e ajustada e estamos na faze de negociação. Próximo passo, quarta-feira apresentar o WMS.</t>
  </si>
  <si>
    <t>14/05/2026 : 
09:02, 13/05/2026 Fabio Oliveira Nina Enc: Consegui sim, teu sistema é maravilhoso, muito bom mesmo 
porem eu passei pro pessoal aqui, e no momento, nosso faturamaento nao condiz com o investimento a ser feito
09:03, 13/05/2026 Fabio Oliveira Nina Enc: espero que logo possamos mudar isso
09:05, 13/05/2026 Junior Lopes: Entendo Fábio ! 
 O que está pegando mais na proposta ? O projeto ou as mensalidades?
09:08, 13/05/2026 Fabio Oliveira Nina Enc: na verdade é um pouco dos dois, hj nosso sistema nos custa 6 mil por ano, claro que ele nao tem a mesma eficiencia do seu, mas para a quantidade de vendas nossa, no atual momento ele nos atende bem
09:21, 13/05/2026 Junior Lopes: Entendo ! Gostaria de pensar aí e nos fazer uma contra proposta ?
09:22, 13/05/2026 Fabio Oliveira Nina Enc: no momento vamos deixar em off
09:22, 13/05/2026 Fabio Oliveira Nina Enc: obrigado pela atençao
09:28, 13/05/2026 Junior Lopes: Ta joia meu amigo
09:29, 13/05/2026 Junior Lopes: Ficamos a disposição! Tenho certeza que podemos ajudar muito no crescimento da Nina encartelados 
Um abraço
09:29, 13/05/2026 Fabio Oliveira Nina Enc: abraço</t>
  </si>
  <si>
    <t>05/05/2026</t>
  </si>
  <si>
    <t>04/05/2026</t>
  </si>
  <si>
    <t>(11/02/2026) Vídeo demonstrativo enviado para analise   
(11/02/2026) Proposta enviada</t>
  </si>
  <si>
    <t>vai aguardar um pouco mais</t>
  </si>
  <si>
    <t>Jader Silva</t>
  </si>
  <si>
    <t>(11/02/2026) tentativa de ligação nao atendida 
17:03, 11/02/2026 Junior Lopes: Olá Gabriel , boa tarde
17:03, 11/02/2026 Junior Lopes: sou Junior Lopes da Guarani sistemas ! td bem ?
(19/02/2026) apresar de não ter resposta do cliente ! em pesquise verifiquei que LM é um deposito de bebidas que acaba fugindo do perfil</t>
  </si>
  <si>
    <t>(11/02/2026) tentativa de ligação não atendida 
16:48, 11/02/2026 Junior Lopes: Olá Kariello, boa tarde !
16:48, 11/02/2026 Junior Lopes: sou Junior Lopes da Guarani sistemas, tudo bem ?
(19/02/2026) buscando data para apresentação 
(23/02/2026) Vamos Agendar apresentação do força de vendas para amanhã ?
10 ou 14 horas ! O que fica melhor?
Vamos marca na primeira semana de março
Fechamento do mês é complicado
Sim ! Vamos deixar uma agenda para dia 4/03 quarta feira! Se sim já te envio um link do Meet
Ok
Apresentação Guarani (AFV) 
Quarta-feira, 4 de março · 10:00 – 11:30
Fuso horário: America/Sao_Paulo
Como participar do Google Meet
Link da videochamada: https://meet.google.com/dsp-gfgz-nyv
09:54, 04/03/2026 KARIELLO COELHO: Tive um imprevisto
09:54, 04/03/2026 KARIELLO COELHO: Teremos que remarcar
09:55, 04/03/2026 Junior Lopes: Td bem meu amigo , sem problemas
12:41, 04/03/2026 KARIELLO COELHO: Até sexta agora
12:42, 04/03/2026 Junior Lopes: 10 horas é um bom horário?
12:45, 04/03/2026 KARIELLO COELHO: 11h
12:46, 04/03/2026 Junior Lopes: Joia! Vou gerar um link
12:50, 04/03/2026 Junior Lopes: Apresentação Guarani AFV - CK Hospitalar
Sexta-feira, 6 de março · 11:00 – 12:15
Fuso horário: America/Sao_Paulo
Como participar do Google Meet
Link da videochamada: https://meet.google.com/zum-xcty-mab
(09/03/2026) Após Kariello desmarcar a reunião de apresentação , não respondeu mais aos contatos</t>
  </si>
  <si>
    <t>(09/03/2026) Após Kariello desmarcar a reunião de apresentação , não respondeu mais aos contatos</t>
  </si>
  <si>
    <t>(11/02/2026) ligação efetuada - Anderson pediu para retornar ! vamos dar sequencia no whatsapp
(18/02/2026) buscando contato com Anderson ! sem resposta até o momento</t>
  </si>
  <si>
    <t>cliente precisa que o força de vendas atenda em pronta entrega</t>
  </si>
  <si>
    <t>12.02 - é uma importadora de Ribeirão Preto e veio por indicação da Simone (QFestas) são do mesmo seguimento
Disse que já havia feito contato um tempo atrás mas na época achou muito caro, então não avançou
Esta retomando o contato agora e gostaria de receber uma proposta comercial antes, já que já conhece o sistema, já recebeu várias indicações de importadores, e representantes. 
18.03 - estou tentando contato, mas esta em feira 
30.03 Achou que não é o momento certo para avançar</t>
  </si>
  <si>
    <t>Fora Perfil;Solicita demo</t>
  </si>
  <si>
    <t>08/05/2026</t>
  </si>
  <si>
    <t>(03/03/2026) Visita apresentação 
(05/03/2026)  buscando fechamento</t>
  </si>
  <si>
    <t>Atacadão das Tripas</t>
  </si>
  <si>
    <t>Angel</t>
  </si>
  <si>
    <t>optou por uma solução local, senão atende-lo volta o contato.</t>
  </si>
  <si>
    <t>(19/02/2026) em contato com Andreia ! atualmente usa ERP Linx e busca ferramenta de força de vendas 
estamos alinhando data de apresentação 
(09/03/2026) Após envio da proposta comercial Andréa não respondeu mais ! dois pontos de atenção com relacçao ao seu ramo de atividade , por ser um fabrica de roupas e ERP Linx</t>
  </si>
  <si>
    <t>investimento alto</t>
  </si>
  <si>
    <t>06596658787</t>
  </si>
  <si>
    <t>Alessandro</t>
  </si>
  <si>
    <t>92992307944</t>
  </si>
  <si>
    <t>11988461881</t>
  </si>
  <si>
    <t>Cliente é um representante da Oster e outras marcas, a ideia de negociação é do AFV, mas no dia sexta-feira, 20 de fevereiro de 2026
11:00 - 12:00 (BRT) - realizamos uma apresentação do AFv, durante a reunião pediu uma proposta do ERP também para avaliar uma possivel troca. 
Após a reunião fizemos uma segunda ruenião de apresentação da proposta comercial no dia 24/02
Após isso cliente ficou de me passar uma contra proposta para negociação, porém ele esta em feria no EUA, e ainda não retornoul
Falei com ele hoje 18/03 e ainda esta em feira e pediu para retornar na sexta oferecendo um login e senha. 
Vou retornar o contato na sexta para entender(provavelemente é do AFV) mas dar sequencia no atendimento
24.03 Estou marcando uma reunião presencial, porém essa semana esta em SC.</t>
  </si>
  <si>
    <t>19992189262</t>
  </si>
  <si>
    <t>11991241336</t>
  </si>
  <si>
    <t>13981286699</t>
  </si>
  <si>
    <t>Dentro Perfil;Fora Perfil;Solicita demo</t>
  </si>
  <si>
    <t>(24/02/20260 Tentativa de ligação não atendia ! enviei mensagem a fim de contato com Geaze ! 
em busca sobre a empresa usando IA do Google :
A Infraloc é uma empresa especializada na locação e venda de móveis corporativos e equipamentos, com forte atuação no setor de construção civil, canteiros de obras e eventos. 
Informações de Contato e Localização
Endereço: R. José Miranda, 143 - Afogados, Recife - PE.
WhatsApp: (81) 98297-2897.
Site Oficial: infraloc.com.br. 
Principais Produtos e Serviços
A empresa oferece soluções completas para canteiros, escritórios e refeitórios, incluindo:
Móveis Corporativos: Mesas de reunião, mesas e cadeiras de escritório, armários roupeiros e estações de trabalho.
Equipamentos: Bebedouros industriais, cafeteiras expressas, impressoras a laser e máquinas para construção.
Estruturas para Eventos: Locação de toldos, mesas e cadeiras de PVC para festas e eventos em gera
(25/02/2026) cliente trabalha com locação de equipamento , é necessário controle e contrato de locação manutenção (Fora do perfil )</t>
  </si>
  <si>
    <t>81986574539</t>
  </si>
  <si>
    <t>(25/02/2026) cliente trabalha com locação de equipamento , é necessário controle e contrato de locação manutenção (Fora do perfil )</t>
  </si>
  <si>
    <t>62992132212</t>
  </si>
  <si>
    <t>67992079099</t>
  </si>
  <si>
    <t>37988006012</t>
  </si>
  <si>
    <t>25/02/2026) em contato com Rogério 
aoós tentativa de ligação nos falamos via WhatsApp conforme abaixo : 
15:40, 25/02/2026 Junior Lopes: Olá Rogério , boa tarde
15:40, 25/02/2026 Junior Lopes: Sou Junior Lopes da Guarani sistemas! Td bem ?
15:40, 25/02/2026 Teodoro Cosmeticos: Boa tarde Júnior
15:41, 25/02/2026 Teodoro Cosmeticos: Bem graças a Deus
15:41, 25/02/2026 Junior Lopes: Que bom
15:41, 25/02/2026 Junior Lopes: Estou retornando um contato que vc fez conosco, relacionado ao nosso software
através de um áudio pedi para me falar um pouco mais sonbre sua empresa e dores 
(25/02/2026) Agenda de apresentação AFV 
(12/03/2026) Rogério achou investimento alto para o momento  atual</t>
  </si>
  <si>
    <t>(12/03/2026) Rogério achou investimento alto para o momento  atual</t>
  </si>
  <si>
    <t>(26/02/2026) Tentativa de ligação não atendida 
09:13, 26/02/2026 Junior Lopes: Olá Junior, bom dia
09:13, 26/02/2026 Junior Lopes: aqui é Junior Lopes da Guarani sistemas, tudo bem ?
09:14, 26/02/2026 Junior Lopes: estou retornando um contato que você fez relacionado ao sistema Guarani
(26/02/2026) cliente não retorna aos contatos ! em breve pesquisa sobre a Revisão autopeças identifiquei que loja balcão ficando fora do perfil 
estou declinando</t>
  </si>
  <si>
    <t>3196677652</t>
  </si>
  <si>
    <t>uilian</t>
  </si>
  <si>
    <t>100</t>
  </si>
  <si>
    <t>teodoro cosméticos - afv</t>
  </si>
  <si>
    <t>Teodoro cosméticos - AFV</t>
  </si>
  <si>
    <t>1435416311</t>
  </si>
  <si>
    <t>teodoro cosméticos - cloud</t>
  </si>
  <si>
    <t>Teodoro cosméticos - Cloud</t>
  </si>
  <si>
    <t>Encartelados Nina - Cloud</t>
  </si>
  <si>
    <t>4733683065</t>
  </si>
  <si>
    <t>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t>
  </si>
  <si>
    <t>11915642482</t>
  </si>
  <si>
    <t>1184724282</t>
  </si>
  <si>
    <t>29/04/2026</t>
  </si>
  <si>
    <t>4699841338</t>
  </si>
  <si>
    <t>280</t>
  </si>
  <si>
    <t>Breno</t>
  </si>
  <si>
    <t>11994558029</t>
  </si>
  <si>
    <t>KAREN STANGE</t>
  </si>
  <si>
    <t>17:05, 04/03/2026 Junior Lopes: Olá Marcelo ! Boa tarde
17:05, 04/03/2026 Junior Lopes: Junior da Guarani sistemas por aqui , Td bem ?
17:07, 04/03/2026 Junior Lopes: Estou retornando um contato que vc fez conosco ! Qual melhor horário para falarmos ?
17:14, 04/03/2026 Marcelo Plug Lar: opa blz.
17:14, 04/03/2026 Marcelo Plug Lar: joia junior
17:15, 04/03/2026 Junior Lopes: Td joia Marcelo
17:18, 04/03/2026 Marcelo Plug Lar: eu queria conhecer + sobre o sistema de vocês.
17:18, 04/03/2026 Marcelo Plug Lar: eu procuro algo básico
(09/03/2026) Buscando contato com Marcelo a fim de darmos sequencia 
(09/03/2026) Marcelo busca um software mais simples e com custo menor!</t>
  </si>
  <si>
    <t>(09/03/2026) Marcelo busca um software mais simples e com custo menor!</t>
  </si>
  <si>
    <t>(11) 3254-7100</t>
  </si>
  <si>
    <t>GlobalMIx</t>
  </si>
  <si>
    <t>67999772326</t>
  </si>
  <si>
    <t>19974124080</t>
  </si>
  <si>
    <t>) declinando por falta de interação por parte do cliente</t>
  </si>
  <si>
    <t>16991945630</t>
  </si>
  <si>
    <t>(10/03/2026) Em contato com Maxwel 
(27/03/2026) após analise cliente fica fora do perfil ! estamparia de camisetas, canecas e brindes em geral</t>
  </si>
  <si>
    <t>11989296453</t>
  </si>
  <si>
    <t>(27/03/2026) após analise cliente fica fora do perfil ! estamparia de camisetas, canecas e brindes em geral</t>
  </si>
  <si>
    <t>74999642551</t>
  </si>
  <si>
    <t>Reunião realizada 08.04.2024 presencial no cliente
04.05 - Estou avançando a negociação com o client,e porém ele não concorda com o rejuste de no minimo 5% do contrato</t>
  </si>
  <si>
    <t>11983479931</t>
  </si>
  <si>
    <t>(10/03/2026) em contato com Bruno 
(10/03/2026) cliente informa que já fechou projeto com a Mercos</t>
  </si>
  <si>
    <t>(10/03/2026) cliente informa que já fechou projeto com a Mercos</t>
  </si>
  <si>
    <t>(11/03/2026) Agenda de apresentação para 17/03/2026
(30/03/2026) Alinhando visita presencial com Thiago</t>
  </si>
  <si>
    <t>(20/03/2026) contato com  Ramos a fim de seguirmos com negociações 
09:22, 06/05/2026 Junior Lopes: Olá Danilo ! Td bem meu amigo 
Ficamos de fazer uma agenda de apresentação para seu sócio ! 
Vamos agendar para próxima semana ?
10:07, 06/05/2026 Danilo Euroquad: Bom dia
10:08, 06/05/2026 Danilo Euroquad: Tudo bem e vc?
10:08, 06/05/2026 Danilo Euroquad: Estou na china volto no final do mês
10:08, 06/05/2026 Danilo Euroquad: Quando chegar marcamos
11:35, 06/05/2026 Junior Lopes: Perfeito Danilo, ótimos negocios por ai</t>
  </si>
  <si>
    <t>Vera Lucia</t>
  </si>
  <si>
    <t>Pausado</t>
  </si>
  <si>
    <t>Brisa Artes</t>
  </si>
  <si>
    <t>11992558277</t>
  </si>
  <si>
    <t>09:04, 13/03/2026 Junior Lopes: Olá Victor, bom dia
09:04, 13/03/2026 Junior Lopes: sou Junior Lopes da Guarani sistemas, td bem ?
09:05, 13/03/2026 Junior Lopes: estou retornando um contato que vc fez conosco relacionado ao nosso software de gestão Guarani sistemas
(13/03/2026) Aós tentativa de ligação e contato ! nenhuma respondida 
estou descartando a oportunidade pois o nome da empresa mencionado não existe e demais informações preenchidas sem dados concretos ! por informar que tem um faturamento abaixo de 200K mensal fica fora do nosso perfil</t>
  </si>
  <si>
    <t>38998244039</t>
  </si>
  <si>
    <t>(13/03/2026) em contato com Juraci a fim de retomar assunto sobre força de vendas 
(12/03/2026) em contato com Juraci, informou que vamos voltar a falar no final do ano ! devido a sua alta demanda de vendas nesse período inviabilizou o projeto nesse momento</t>
  </si>
  <si>
    <t>Gola Comercial</t>
  </si>
  <si>
    <t>(47) 9214-8117</t>
  </si>
  <si>
    <t>(17/03/2026) em contato com Junior ! A Otmiza busca um software para gerenciamento de obras com controle de contratos e ordens de serviço</t>
  </si>
  <si>
    <t>6399999235</t>
  </si>
  <si>
    <t>11947270946</t>
  </si>
  <si>
    <t>(17/03/2026) em contato com Diego ! a Biricutico é um deposito de bebidas com venda balcão para pessoa física</t>
  </si>
  <si>
    <t>21964945088</t>
  </si>
  <si>
    <t>Falei com o Marcelo são uma distribuidora de descartaveis e estão buscando um software. 
30.03 - esta viajando, pediu retorno na proxima semana
Passei informações sobre a Guarani, e enviei nossa apresentação, hoje vão ter uma reunião interna para saber quais sistemas que vão 18/03 agendar uma apresentação 
30.03 - Falou que esta em viagem, pediu para retornar
07.03 - não estou tendo nenhum retorno</t>
  </si>
  <si>
    <t>62991537827</t>
  </si>
  <si>
    <t>73988565500</t>
  </si>
  <si>
    <t>14:10, 16/03/2026 Junior Lopes: Olá Rogerio, boa tarde ! 
(27/03/2026) após varias tentativas sem retorno do Rogério , declinando oportunidade
Sou Junior Lopes da Guarani sistemas
14:11, 16/03/2026 Junior Lopes: estou retornando um contato que vc fez conosco
12:18, 19/03/2026 Junior Lopes: OLá Rogério ! tudo Bem ?
12:19, 19/03/2026 Junior Lopes: tem interesse em dar continuidade ?
(06/04/2026) varias tentativas de contato sem retorno</t>
  </si>
  <si>
    <t>82993812526</t>
  </si>
  <si>
    <t>31994220888</t>
  </si>
  <si>
    <t>(23/06/2026) em contato com Leandro , atualmente o perfil é uma padaria e uma fabrica de pequeno porte de pão de alho ! enviei uma estimativa de valores mas achou que para o momento esta muito acima</t>
  </si>
  <si>
    <t>62985336869</t>
  </si>
  <si>
    <t>21970038782</t>
  </si>
  <si>
    <t>Cliente entrou em contato pelo suporte pedindo contato comercial apra falar sobre software, tentie ligar e mandie msg mas ainda não me retornou 
31.03 - não atendeu,</t>
  </si>
  <si>
    <t>(27/03/2026) Flavio não responde aos contatos</t>
  </si>
  <si>
    <t>11987194488</t>
  </si>
  <si>
    <t>Flavio não responde aos contatos</t>
  </si>
  <si>
    <t>62984060714</t>
  </si>
  <si>
    <t>61981840031</t>
  </si>
  <si>
    <t>35998394949</t>
  </si>
  <si>
    <t>Cliente de porte muito pequeno</t>
  </si>
  <si>
    <t>20.03 - Oi Raysa, bem e você?
Estou em viagem e só volto no final da próxima semana. 
Podemos deixar para o meu retorno?
23.03 esta em viagem e retorna no final da proxima semana, agendando contato
31.03 retomamos o contato hoje 
06.04 Eduardo pediu para entrar em contato com o Rafael, preciso entender o negócio deles.</t>
  </si>
  <si>
    <t>71999081968</t>
  </si>
  <si>
    <t>20.03 não atendeu
Boa tarde Jairo, tudo bem?
Meu nome é Rayssa, sou da Guarani Sistemas, estou retornando seu contato interessado em software para a empresa VENTMAR Ventilação
podemos falar?
23.03 achou o investimento alto, é uma loja de bairro</t>
  </si>
  <si>
    <t>67999748649</t>
  </si>
  <si>
    <t>(27/03/2026) Após varias tentativas de contato com Afabio sem retorno ! estou declinando oportunidade</t>
  </si>
  <si>
    <t>9991419327</t>
  </si>
  <si>
    <t>Fora Perfil;Instagram;Perfil Indefinido</t>
  </si>
  <si>
    <t>Após varias tentativas de contato com Afabio sem retorno ! estou declinando oportunidade</t>
  </si>
  <si>
    <t>24.03 - não consegui contato
06.04 - telefone não atende
11:28, 31/03/2026 Rayssa Karapeticov - Comercial - Guarani Sistemas: Bom dia Lucas, como vai?
Meu nome é Rayssa, sou da Guarani Sistemas. 
Estou tentando contato com você para entender como as soluções da Guarani Sistemas podem atender a MaisMendes Distribuidora Materiais para construção
11:56, 06/04/2026 Rayssa Karapeticov - Comercial - Guarani Sistemas: Boa tarde Lucas, tudo bem? 
Meu nome é Rayssa, sou da Guarani Sistemas. 
Ainda faz sentido a procura de uma solução para sua empresa?
07.4</t>
  </si>
  <si>
    <t>62993734302</t>
  </si>
  <si>
    <t>(23/03/2026) contato com Rafael 
(27/03/2026) Rafael não responde aos contato</t>
  </si>
  <si>
    <t>27999328628</t>
  </si>
  <si>
    <t>(31/03/2026) Reciclanorte  tem algumas particularidades que fogem do nosso ERP</t>
  </si>
  <si>
    <t>Mateus Ramos</t>
  </si>
  <si>
    <t>globalmix - cloud</t>
  </si>
  <si>
    <t>GlobalMix - Cloud</t>
  </si>
  <si>
    <t>11988736515</t>
  </si>
  <si>
    <t>11912958843</t>
  </si>
  <si>
    <t>(26/03/2026) em contato com Joel</t>
  </si>
  <si>
    <t>47988227474</t>
  </si>
  <si>
    <t>11984731999</t>
  </si>
  <si>
    <t>61999781085</t>
  </si>
  <si>
    <t>(30/03/2026) Alinhando visita presencial com Thiago</t>
  </si>
  <si>
    <t>banana toys - cloud</t>
  </si>
  <si>
    <t>Banana Toys - Cloud</t>
  </si>
  <si>
    <t>1532835196</t>
  </si>
  <si>
    <t>util ud - pcp / wms</t>
  </si>
  <si>
    <t>Util Ud - PCP / WMS</t>
  </si>
  <si>
    <t>19974080034</t>
  </si>
  <si>
    <t>(24/04/2026) orçamento não aprovado</t>
  </si>
  <si>
    <t>weck - horas</t>
  </si>
  <si>
    <t>Weck - Horas</t>
  </si>
  <si>
    <t>11947895866</t>
  </si>
  <si>
    <t>Claudio achou o valor muito acima para investimento</t>
  </si>
  <si>
    <t>casabella claudio teixeira - cloud</t>
  </si>
  <si>
    <t>Casabella Claudio Teixeira - Cloud</t>
  </si>
  <si>
    <t>31971564261</t>
  </si>
  <si>
    <t>(31/03/2026) cliente de loja porte pequeno , fora do perfil</t>
  </si>
  <si>
    <t>15991197046</t>
  </si>
  <si>
    <t>(31/03/2026) em contato com Fernando 
(06/04/2026) declinando por falta de retorno</t>
  </si>
  <si>
    <t>(20/04/2026) em contato com Edson , informou que Baag vai manter servidor local devido ao alto investimento</t>
  </si>
  <si>
    <t>baag - cloud</t>
  </si>
  <si>
    <t>Baag - Cloud</t>
  </si>
  <si>
    <t>24/04/2026) Edson falou com diretoria e achou valor alto para o momento</t>
  </si>
  <si>
    <t>(01/04/2026) Badux é uma auto elétrica que que faz manutenção e venda de peças no balcão (lojista)</t>
  </si>
  <si>
    <t>(07/04/2026) tentativas de contato sem sucesso , em analise sobre verifiquei que é um empresa de lavanderia ! fora do perfil</t>
  </si>
  <si>
    <t>44988361402</t>
  </si>
  <si>
    <t>(06/04/2026) em contato com Thamires 
(06/04/2026) Thamires não responde a ligação e e mensagens ! estou descartando o lead , falta muita informação como a razão social do cliente, endereço , CNPJ ! impossível fazer  uma pesquisa sobre o cliente</t>
  </si>
  <si>
    <t>22997047181</t>
  </si>
  <si>
    <t>(06/04/2026) Thamires não responde a ligação e e mensagens ! estou descartando o lead , falta muita informação como a razão social do cliente, endereço , CNPJ ! impossível fazer  uma pesquisa sobre o cliente</t>
  </si>
  <si>
    <t>4694441158</t>
  </si>
  <si>
    <t>(06/04/2026) Coelhos identificado como fora do perfil , executa trabalhos de automação de portaria e vendas de computadores para cliente pessoa física</t>
  </si>
  <si>
    <t>5330256162</t>
  </si>
  <si>
    <t>Baag - BI</t>
  </si>
  <si>
    <t>(09/04/2026) Prospecção , buscando contato para conexão e apresentação das soluções ERP e Força de vendas</t>
  </si>
  <si>
    <t>Unitermi indústria</t>
  </si>
  <si>
    <t>48988044437</t>
  </si>
  <si>
    <t>10.04 Liguei ficou na caixa postal 
Bom dia Vidal, tudo bem?
meu nome é Rayssa, sou da Guarani Sistemas. 
Tentei contato com você para falarmos das soluções de software para sua empresa. 
Qual melhor horario para te retornar?
23.04Bom dia Vidal, como vai?
Estou tentando contato com você para entender sua solicitação para conhecer nossos sistemas.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
Vou deixar uma apresentação de nossa empresa e quando tiver um tempo disponivel por retornar o contato</t>
  </si>
  <si>
    <t>51981230645</t>
  </si>
  <si>
    <t>(10/04/2026) Buscando contato com Belmar</t>
  </si>
  <si>
    <t>(10/04/2026) em contato com Danyllo buscando agenda para um bate papo</t>
  </si>
  <si>
    <t>62991773767</t>
  </si>
  <si>
    <t>Todos os dados preenchidos:
empresa: Grupo Marcamix 
name: Ismael Ramos 
cargo: Analista de Sistemas 
whatsapp: 11960590527 
email: suporte@marcamix.com.br</t>
  </si>
  <si>
    <t>28/04/2026</t>
  </si>
  <si>
    <t>27/04/2026</t>
  </si>
  <si>
    <t>8191451469</t>
  </si>
  <si>
    <t>92991313828</t>
  </si>
  <si>
    <t>27999346494</t>
  </si>
  <si>
    <t>empresa fora do perfil</t>
  </si>
  <si>
    <t>11949454465</t>
  </si>
  <si>
    <t>(10/04/2026) em contato com Guri a fim de entender melhor suas necessidades</t>
  </si>
  <si>
    <t>54996551297</t>
  </si>
  <si>
    <t>Guri cervejaria é basicamente um bar e entretenimento com quadras de futebol, fora do perfil</t>
  </si>
  <si>
    <t>28.04 Boa tarde Paulo, como vai?
Meu nome é Rayssa, sou da Guarani Sistemas, e falei com você uns dias atrás para entender sua necessidade de implantação de um novo software, porém, não consegui mais falar com você.
Ainda está em busca de uma solução tecnologica para a empresa?</t>
  </si>
  <si>
    <t>up &amp; ib embalagens industriais</t>
  </si>
  <si>
    <t>(11) 4199-5100</t>
  </si>
  <si>
    <t>financeiro@up-ib.com.br</t>
  </si>
  <si>
    <t>ARACARIGUAMA</t>
  </si>
  <si>
    <t>Aucione Lima da Silva</t>
  </si>
  <si>
    <t>11947878080</t>
  </si>
  <si>
    <t>(10/04/2026) Buscando contato com Andrea</t>
  </si>
  <si>
    <t>16/04/2026</t>
  </si>
  <si>
    <t>15/04/2026</t>
  </si>
  <si>
    <t>06/05/2026</t>
  </si>
  <si>
    <t>11996146290</t>
  </si>
  <si>
    <t>(11) 3315-0052</t>
  </si>
  <si>
    <t>16.14 - apresentação realizada</t>
  </si>
  <si>
    <t>ns iguacu eletronicos</t>
  </si>
  <si>
    <t>(11) 96978-9804</t>
  </si>
  <si>
    <t>23/04/2026</t>
  </si>
  <si>
    <t>(23/04/2026) em ligação 
adicionou meu numero de WhatsApp para enviar ao gerente comercial 
10:49, 23/04/2026 Amanda Etilux Oliveira: Bom dia, tudo bem ?
10:50, 23/04/2026 Amanda Etilux Oliveira: Amanda da Etilux
10:50, 23/04/2026 Junior Lopes: Olá Amanda, bom dia! Tudo bem por aqui. Como posso te ajudar hoje?
10:57, 23/04/2026 Junior Lopes: Olá ! Muito obrigado
10:58, 23/04/2026 Amanda Etilux Oliveira: poderia me explicar de novo, para te encaminhar para o setor responsavel
10:58, 23/04/2026 Junior Lopes: Td bem Amanda ?
10:59, 23/04/2026 Amanda Etilux Oliveira: sim
11:01, 23/04/2026 Junior Lopes: Sou Junior Lopes da Guarani sistemas 
A ideia é apresentar nossa soluções para automação da força de vendas 
Nossa solução pode ajudar seu representante a vender mais com recursos de IA acoplado ao aplicativo, vendas B2B feitas pelo próprio representante/vendedor
11:01, 23/04/2026 Junior Lopes: A ideia é apresentar essa solução para seu gestor comercial
11:01, 23/04/2026 Junior Lopes: Acredito que seja o Rodrigo Fritoli
11:03, 23/04/2026 Amanda Etilux Oliveira: Sobre sistemas pode mandar e-mail ewerton.dias@etilux.com.br
11:04, 23/04/2026 Junior Lopes: Ta joia ! Vou enviar para Ewerton
11:04, 23/04/2026 Junior Lopes: Acredito que seja o Rodrigo Fritoli
Vc consegue me enviar o telefone do Rodrigo?
11:05, 23/04/2026 Amanda Etilux Oliveira: Consigo te enviar o e-mail 
rodrigo.fritoli@etilux.com.br</t>
  </si>
  <si>
    <t>(11) 3227-3263</t>
  </si>
  <si>
    <t>14.04 - em ligação com o cliente, já conhecem o Guarani devido a clientes do mesmo segmento, e já tiveram uma conversa conosco a uns 15 anos atrás e não avançaram devido o valor. Retornou o contato pedindo uma apreentação do sistemas para os funcionários da empresa ainda essa semana, porque o diretor que estara presente viaja na proxima semana</t>
  </si>
  <si>
    <t>Fechou com o concorrente - funcionaliadade</t>
  </si>
  <si>
    <t>17/04/2026</t>
  </si>
  <si>
    <t>ERP, AFV, WMS, COMEX, CLOUD</t>
  </si>
  <si>
    <t>33988611992</t>
  </si>
  <si>
    <t>(14/04/2026) em contato com Renan 
10:42, 14/04/2026 Junior Lopes: Olá Renan, bom dia ! tudo bem ?
10:42, 14/04/2026 Junior Lopes: sou Junior Lopes da Guarani sistemas td bem ?
10:44, 14/04/2026 +55 66 9647-2785: Bom dia Junior
10:44, 14/04/2026 +55 66 9647-2785: Tudo bem e contigo?
10:45, 14/04/2026 Junior Lopes: Opa Td joia ! 
Estou retornando para vc um contato que fez conosco sobre nosso software
11:03, 14/04/2026 +55 66 9647-2785: Vc tem sistema para materiais para construção
11:03, 14/04/2026 +55 66 9647-2785: ?
11:27, 14/04/2026 +55 66 9647-2785: A venda somente interna mesmo
11:27, 14/04/2026 +55 66 9647-2785: Não tem vendedores externos
11:36, 14/04/2026 Junior Lopes: Fiz uma análise rápida aqui Renan devido alguns pontos não consigo te atender! Ate pq nossa solução é mais focada em distribuição</t>
  </si>
  <si>
    <t>66996472785</t>
  </si>
  <si>
    <t>em contato com Renan, precisa de um PDV para loja de material de construção com particularidades de entrega parcial e controle de medidas das para venda de terras e pedras</t>
  </si>
  <si>
    <t>64999291080</t>
  </si>
  <si>
    <t>85994341515</t>
  </si>
  <si>
    <t>dois pontos que o cliente usou para não seguir ! busca um ERP Mais simples e com valor ,ais em conta</t>
  </si>
  <si>
    <t>3133780033</t>
  </si>
  <si>
    <t>28.04</t>
  </si>
  <si>
    <t>rk assessoria contábil</t>
  </si>
  <si>
    <t>RK Assessoria Contábil</t>
  </si>
  <si>
    <t>92981527777</t>
  </si>
  <si>
    <t>rcustodio777@gmail.com</t>
  </si>
  <si>
    <t>Amazonas</t>
  </si>
  <si>
    <t>11:25, 16/04/2026 Junior Lopes: Olá bom dia !
11:25, 16/04/2026 Junior Lopes: Sou Junior Lopes da Guarani sistemas, Td bem ?
11:28, 16/04/2026 Junior Lopes: Estou retornando um contato que vc fez conosco
11:38, 16/04/2026 Big Alimentos: BIG Alimentos  agradece seu contato. Como podemos ajudar?
14:48, 16/04/2026 Big Alimentos: Olá
14:49, 16/04/2026 Big Alimentos: Júnior estou na estrada 
Retorno na quarta
14:49, 16/04/2026 Big Alimentos: Aí falamos
14:49, 16/04/2026 Big Alimentos: Blz
14:54, 16/04/2026 Junior Lopes: Boa viagem 👊
🙏
(18/05/2026) cliente não responde aos contatos</t>
  </si>
  <si>
    <t>autofoz</t>
  </si>
  <si>
    <t>AutoFoz</t>
  </si>
  <si>
    <t>41991237979</t>
  </si>
  <si>
    <t>b8alimentos@gmail.com</t>
  </si>
  <si>
    <t>Brasil</t>
  </si>
  <si>
    <t>inicialmente cliente chegou a responder , logo sumiu e não retorna mais</t>
  </si>
  <si>
    <t>14:26, 17/04/2026 Junior Lopes: Olá Danilo ,
Boa tarde 
Sou Junior Lopes da Guarani sistemas! Td bem ? 
Quem me passou seu contato foi o Jonas
14:26, 17/04/2026 Danillo Negrao Atac: ola tudo bem??
14:33, 17/04/2026 Junior Lopes: Imagine que o próprio representante/vendedor pode enviar loja B2B para o cliente dele e administrar essas lojas no dispositivo</t>
  </si>
  <si>
    <t>Ferragens Negrao Comercial Ltda</t>
  </si>
  <si>
    <t>ferragens negrao comercial ltda</t>
  </si>
  <si>
    <t>(41) 2109-8000</t>
  </si>
  <si>
    <t>fiscal@grupofn.com.br</t>
  </si>
  <si>
    <t>(23/04/2026 E mail enviado buscando agenda : 
Olá Tito, Tudo bem ? 
Meu nome é Junior Lopes , da Guarani Sistemas. Escrevo para apresentar uma solução que pode transformar a eficiência da equipe de vendas da Bartofil: o Guarani AFV.
Em anexo, envio um folder com todos os detalhes, mas gostaria de destacar três pilares que fazem toda a diferença:
IA Iara, sua assistente virtual de vendas: Ela atua dentro do app do representante, analisando histórico, ramo de atividade e comportamento de compra para fazer predições e sugestões de venda inteligentes. A Iara aprende com cada cliente e ajuda a impulsionar o mix de produtos ativos, reduzindo rupturas no PDV.
Integração nativa com qualquer ERP: O sistema se conecta perfeitamente ao seu software de gestão atual, seja qual for. Isso garante um fluxo de dados único (pedidos, estoque, clientes) sem retrabalho, duplicidade ou necessidade de mudar toda a operação.
Loja B2B personalizada: Ofereça aos seus clientes um canal de compra 24/7, onde podem fazer pedidos de onde, quando e como quiserem. Isso amplia o ticket médio, libera a equipe de vendas para atividades mais estratégicas e garante que nenhuma oportunidade seja perdida fora do horário comercial.
Além disso, a solução inclui catálogo digital, orçamento e proposta web, roteirização inteligente, controle de estoques em múltiplos locais e indicadores de desempenho em tempo real.
Gostaria de agendar uma apresentação rápida (30–45 minutos) para mostrar, na prática, como o Guarani AFV pode apoiar a equipe da Bartofil e reduzir rupturas no ponto de venda, além de ampliar o mix de produtos ativos em cada cliente.
Você teria disponibilidade na próxima semana, em algum desses horários?
Segunda-feira dia 27/04 às 10 horas 
Terça-feira dia 28/04 às 14 horas 
Se preferir, posso me adequar ao melhor dia e horário para você.
Fico à disposição e agradeço desde já pela atenção.</t>
  </si>
  <si>
    <t>Nova Casa Distribuidora De Materiais Para Construcao S/a</t>
  </si>
  <si>
    <t>nova casa distribuidora</t>
  </si>
  <si>
    <t>(61) 3025-9500</t>
  </si>
  <si>
    <t>fiscal@ncdistribuidora.com.br</t>
  </si>
  <si>
    <t>SAO LUIS</t>
  </si>
  <si>
    <t>MA</t>
  </si>
  <si>
    <t>Bartofil Distribuidora Sa</t>
  </si>
  <si>
    <t>bartofil distribuidora sa</t>
  </si>
  <si>
    <t>(31) 3819-2000</t>
  </si>
  <si>
    <t>contabilidade@bartofil.com.br</t>
  </si>
  <si>
    <t>NOVA FRIBURGO</t>
  </si>
  <si>
    <t>L.l.e. Ferragens Ltda.</t>
  </si>
  <si>
    <t>grupo lle</t>
  </si>
  <si>
    <t>(21) 2131-8511</t>
  </si>
  <si>
    <t>fiscal@grupolle.com.br</t>
  </si>
  <si>
    <t>22.04 caixa postal
10:19, 22/04/2026 Rayssa Karapeticov - Comercial - Guarani Sistemas: Bom dia Valéria, tudo bem?
Meu nome é Rayssa, sou executiva de vendas na Guarani Sistemas
Estou retornando seu contato com interesse em nossa soluções,
10:20, 22/04/2026 Rayssa Karapeticov - Comercial - Guarani Sistemas: Para seguirmos com seu atendimento, preciso entender seus processos e mais sobre sua empresa
Qual a melhor forma para retornar o contato, prefere falar por aqui ou prefere que te ligue?</t>
  </si>
  <si>
    <t>brasil rural</t>
  </si>
  <si>
    <t>Brasil Rural</t>
  </si>
  <si>
    <t>17997762600</t>
  </si>
  <si>
    <t>valeria.rod312@gmail.com</t>
  </si>
  <si>
    <t>e mail enviado 
(30/04/2026) em contato com Manoel vendo melhor data para apresentação 
Olá Manoel ! 
Meu nome é Junior Lopes, sou Executivo de Contas Corporativas na Guarani Sistemas, empresa especializada em soluções de gestão empresarial e comercial para toda a cadeia de abastecimento de artigos para o lar.
Desde 2006, desenvolvemos e implementamos ferramentas que fomentam o crescimento dos nossos clientes. Hoje, contamos com mais de 900 clientes ativos, 40 mil usuários e cerca de 65 mil notas fiscais geradas diariamente em nossa plataforma, mantendo um crescimento médio anual de 20%. Nosso propósito é transformar nossos clientes em referência comercial e operacional em seus mercados, criando em conjunto soluções flexíveis que promovam diretamente o crescimento do negócio.
Atendemos indústrias, importadores, distribuidores, atacadistas e varejistas dos segmentos de utilidades domésticas, brinquedos, presentes, decoração, metalúrgica, química, alimentos, têxtil, agro e outros generalistas. Entre nossos clientes, temos casos de sucesso como Plasútil, Paramount, Ingá Import, Alumínio Nacional e Dolce Home, que ampliaram sua eficiência e cresceram fortemente com o apoio de nossas soluções.
Para a Home Market 24h, enxergamos grande potencial de apoio principalmente em três frentes:
Gestão integrada da operação, com nosso ERP (on-premise ou em nuvem), módulos de PCP e WMS, garantindo controle de estoques, compras, vendas, faturamento, financeiro e logística em um único ambiente.
Automação da força de vendas, com o Guarani AFV, levando mais produtividade, controle e inteligência comercial para a equipe, com informações em tempo real e apoio à expansão da carteira de clientes.
E-commerce B2B integrado, com o Power B2B, permitindo que seus clientes realizem pedidos de maneira simples, rápida e totalmente integrada ao ERP, ampliando o alcance da Home Market 24h no mercado corporativo.
Gostaria de agendar uma breve conversa para entender melhor o cenário atual da Home Market 24h e apresentar de forma objetiva como a Guarani Sistemas pode contribuir com a operação de vocês?
Fico à disposição para alinhar o melhor dia e horário.
Atenciosamente,</t>
  </si>
  <si>
    <t>comercial o manoel</t>
  </si>
  <si>
    <t>Comercial O Manoel</t>
  </si>
  <si>
    <t>85999874743</t>
  </si>
  <si>
    <t>comercialomanoel@gmail.com</t>
  </si>
  <si>
    <t>Ceara</t>
  </si>
  <si>
    <t>22.04 Não atendeu 
Bom dia, Sergio. Como vai? 
Meu nome é Rayssa, sou Executiva de Vendas na Guarani Sistemas, e estou retornando seu contato com nossa empresa para conhecer mais sobre nossas soluções
Para seguirmos preciso entender sua empresa e seus processos. 
Você prefere seguir o atendimento por aqui ou prefere que te ligue?</t>
  </si>
  <si>
    <t>garrama com essência eirele</t>
  </si>
  <si>
    <t>Garrama com essência eirele</t>
  </si>
  <si>
    <t>11986111998</t>
  </si>
  <si>
    <t>ss.sergiofaertes@gmail.com</t>
  </si>
  <si>
    <t>supermercado mathur</t>
  </si>
  <si>
    <t>Supermercado Mathur</t>
  </si>
  <si>
    <t>11954971535</t>
  </si>
  <si>
    <t>renato@mathur.com.br</t>
  </si>
  <si>
    <t>Sao paulo</t>
  </si>
  <si>
    <t>Supermercado, fora do perfil</t>
  </si>
  <si>
    <t>Falei com o Arthur,. porem quem esta cuidando disso é o Rodrigo, vai passar meu contato para ele para seguir com o Atendimento</t>
  </si>
  <si>
    <t>cafe santa monica</t>
  </si>
  <si>
    <t>Cafe Santa Monica</t>
  </si>
  <si>
    <t>11981430800</t>
  </si>
  <si>
    <t>arthurmosco@gmail.com</t>
  </si>
  <si>
    <t>(20/04/2026) em contato com Kamilla</t>
  </si>
  <si>
    <t>north acai foods</t>
  </si>
  <si>
    <t>NORTH EXPORTACAO</t>
  </si>
  <si>
    <t>(91) 9343-5475</t>
  </si>
  <si>
    <t>northacaifoods@gmail.com</t>
  </si>
  <si>
    <t>BELEM</t>
  </si>
  <si>
    <t>22.04 liguei e deu caixa postal 
Bom dia Rafael, tudo bem? 
Meu nome e Rayssa, sou Executiva de Vendas na Guarani Sistemas, estou retornando seu contato para falar sobre seu interesse em um novo software. 
Para seguirmos com esse contato preciso entender o processo de sua empresa e o que esta buscando 
Como prefere seguir o atendimento, por aqui ou quer que eu te ligue?</t>
  </si>
  <si>
    <t>lpx</t>
  </si>
  <si>
    <t>Lpx</t>
  </si>
  <si>
    <t>9282770000</t>
  </si>
  <si>
    <t>atakadaoeletrica@gmail.com</t>
  </si>
  <si>
    <t>16:55, 20/04/2026 Junior Lopes: Olá Marcos , boa tarde
16:55, 20/04/2026 Junior Lopes: sou Junior lopes da Guarani sistemas, td bem ?
16:55, 20/04/2026 Junior Lopes: estou retornando contato que vc fez conosco
17:18, 20/04/2026 +55 18 99701-9440: Olá boa tarde.</t>
  </si>
  <si>
    <t>governo do estado de são paulo</t>
  </si>
  <si>
    <t>Governo do Estado de São Paulo</t>
  </si>
  <si>
    <t>18997019440</t>
  </si>
  <si>
    <t>marcosleitao37@hotmail.com</t>
  </si>
  <si>
    <t>Presidente Epitácio Sp</t>
  </si>
  <si>
    <t>Andrea</t>
  </si>
  <si>
    <t>(11) 4526-2313</t>
  </si>
  <si>
    <t>financeiro@hoberplasticos.com.br</t>
  </si>
  <si>
    <t>02/04/2026 00:00</t>
  </si>
  <si>
    <t>(11) 4151-2564/ (11) 4551-2554</t>
  </si>
  <si>
    <t>comercial@kopermax.com.br</t>
  </si>
  <si>
    <t>CARAPICUIBA</t>
  </si>
  <si>
    <t>(23/04/2026) em contato com João Netto via telefone 
atualmente busca um software para automação da sua produção e controle de estoque que contempla a gestão financeira e fiscal , sua equipe de venda precisa de um aplicativo para estrada e controle de pedidos</t>
  </si>
  <si>
    <t>bia alimentos</t>
  </si>
  <si>
    <t>Bia alimentos</t>
  </si>
  <si>
    <t>75992608709</t>
  </si>
  <si>
    <t>jjneto28@gmail.com</t>
  </si>
  <si>
    <t>SAO GONCALO DOS CAMPOS</t>
  </si>
  <si>
    <t>quality medical</t>
  </si>
  <si>
    <t>Quality medical</t>
  </si>
  <si>
    <t>6592542913</t>
  </si>
  <si>
    <t>marcosrobertosilvestre@hotmail.com</t>
  </si>
  <si>
    <t>autônomo</t>
  </si>
  <si>
    <t>94991836683</t>
  </si>
  <si>
    <t>gersondsvasconcelos@gmail.com</t>
  </si>
  <si>
    <t>(27/04/2026) em contato com Carol, Sr. Paulo não estava na empresa ! Carol anotou meu WhatsApp para retorno</t>
  </si>
  <si>
    <t>plaslumy distribuidora de embalagens ltda</t>
  </si>
  <si>
    <t>plaslumy</t>
  </si>
  <si>
    <t>(35) 3232-2223 / (35) 3234-1578 / (35) 3232-2223</t>
  </si>
  <si>
    <t>fiscal@plaslumy.com.br</t>
  </si>
  <si>
    <t>TRES CORACOES</t>
  </si>
  <si>
    <t>shopping do parafuso ltda</t>
  </si>
  <si>
    <t>Shopping do Parafuso</t>
  </si>
  <si>
    <t>31996583027</t>
  </si>
  <si>
    <t>comercial@shoppingdoparafuso.com.br</t>
  </si>
  <si>
    <t>Max LED</t>
  </si>
  <si>
    <t>(11) 2181-1005 / (11) 6735-4750 / (11) 2181-1005</t>
  </si>
  <si>
    <t>alexfelixsantos@hotmail.com</t>
  </si>
  <si>
    <t>18/05/2026</t>
  </si>
  <si>
    <t>tres americas alimentos</t>
  </si>
  <si>
    <t>Tres americas alimentos</t>
  </si>
  <si>
    <t>65992888768</t>
  </si>
  <si>
    <t>jctransportess.mt@gmail.com</t>
  </si>
  <si>
    <t>Todos os dados preenchidos:
empresa: Alexdan 
name: Alexandre Biassio 
cargo: Diretor 
whatsapp: 11982599832 
email: alexandre@alexdan.com.br 
referrer: https://www.guaranisistemas.com.br/</t>
  </si>
  <si>
    <t>alexdan importacao e exportacao ltda</t>
  </si>
  <si>
    <t>Alexandre Biassio</t>
  </si>
  <si>
    <t>alexandre@alexdan.com.br</t>
  </si>
  <si>
    <t>(28/04/2026) em contato com Janayna</t>
  </si>
  <si>
    <t>bitilila nails</t>
  </si>
  <si>
    <t>Bitilila Nails</t>
  </si>
  <si>
    <t>17997180789</t>
  </si>
  <si>
    <t>janaynamundial@hotmail.com</t>
  </si>
  <si>
    <t>Abc Internacional Comercio Importacao E Exportacao Ltda</t>
  </si>
  <si>
    <t>abc internacional</t>
  </si>
  <si>
    <t>(47) 3021-7932</t>
  </si>
  <si>
    <t>contato@contabilidadestacatarina.com.br</t>
  </si>
  <si>
    <t>oneclick</t>
  </si>
  <si>
    <t>Oneclick</t>
  </si>
  <si>
    <t>31999499091</t>
  </si>
  <si>
    <t>hm2matoa@gmail.com</t>
  </si>
  <si>
    <t>16:13, 27/04/2026 Junior Lopes: Olá Manuel , boa tarde
16:14, 27/04/2026 Junior Lopes: Junior da Guarani sistemas por aqui
(28/04/2026) em contato com Manuel, empresa de construção civil , fora do perfil</t>
  </si>
  <si>
    <t>jj soluções industriais</t>
  </si>
  <si>
    <t>JJ SOLUÇÕES INDUSTRIAIS</t>
  </si>
  <si>
    <t>9294614731</t>
  </si>
  <si>
    <t>manuel.rivero@jjsoluempresa.com</t>
  </si>
  <si>
    <t>construção civil</t>
  </si>
  <si>
    <t>big plastic</t>
  </si>
  <si>
    <t>JA ind plástica</t>
  </si>
  <si>
    <t>62981282665</t>
  </si>
  <si>
    <t>big@biglixos.com.br</t>
  </si>
  <si>
    <t>invictus soluções integradas ltda</t>
  </si>
  <si>
    <t>Invictus Soluções Integradas Ltda</t>
  </si>
  <si>
    <t>(34) 3817-8240</t>
  </si>
  <si>
    <t>licitacao.invictus@gmail.com</t>
  </si>
  <si>
    <t>COROMANDEL</t>
  </si>
  <si>
    <t>16:36, 27/04/2026 Junior Lopes: Olá Paulo , boa tarde
16:37, 27/04/2026 Junior Lopes: Junior da Guarani sistemas por aqui
16:37, 27/04/2026 Junior Lopes: Td bem ?
11:46, 28/04/2026 Junior Lopes: Paulo , tudo bem ? 
Não tive seu retorno 
De qualquer forma pode me chamar caso queira dar continuidade 
Um abraço</t>
  </si>
  <si>
    <t>paulo sergio</t>
  </si>
  <si>
    <t>Paulo Sergio</t>
  </si>
  <si>
    <t>(67) 99341-4113</t>
  </si>
  <si>
    <t>paulopedradagua@gmail.com</t>
  </si>
  <si>
    <t>28/04/2026) tentativa de contato não atendida , em uma busca sobre o lead, percebi que esta fora do perfil , revendedor de têni</t>
  </si>
  <si>
    <t>grijalba aguiar linhares</t>
  </si>
  <si>
    <t>GRIJALBA AGUIAR LINHARES</t>
  </si>
  <si>
    <t>85985507327</t>
  </si>
  <si>
    <t>grijalbalinhares@gmail.com</t>
  </si>
  <si>
    <t>fora do perfil, revendedor de tenis</t>
  </si>
  <si>
    <t>megacenter trading company ltda</t>
  </si>
  <si>
    <t>Megacenter trading</t>
  </si>
  <si>
    <t>45999334900</t>
  </si>
  <si>
    <t>eduardo@megacenteratacado.com.br</t>
  </si>
  <si>
    <t>Foz do iguaçu</t>
  </si>
  <si>
    <t>distribuidora robaski</t>
  </si>
  <si>
    <t>Distribuidora Robaski</t>
  </si>
  <si>
    <t>51998484595</t>
  </si>
  <si>
    <t>edson@robaski.com.br</t>
  </si>
  <si>
    <t>alex martelinho servicos automotivos</t>
  </si>
  <si>
    <t>Rc distribuidora</t>
  </si>
  <si>
    <t>93991455102</t>
  </si>
  <si>
    <t>dis.aliaca@gemai.com</t>
  </si>
  <si>
    <t>08:59, 29/04/2026 Junior Lopes: Olá Antonio , bom dia
09:00, 29/04/2026 Junior Lopes: Junior da Guarani sistemas por aqui
16:55, 04/05/2026 Junior Lopes: Olá Antonio ! Boa tarde</t>
  </si>
  <si>
    <t>bem estar industrial ltda</t>
  </si>
  <si>
    <t>Antonio Rodriguez</t>
  </si>
  <si>
    <t>31992924902</t>
  </si>
  <si>
    <t>ar@linexgel.com.br</t>
  </si>
  <si>
    <t>Contagem</t>
  </si>
  <si>
    <t>br safe</t>
  </si>
  <si>
    <t>Brsafe Comércio de Epis Ltda</t>
  </si>
  <si>
    <t>43999150512</t>
  </si>
  <si>
    <t>comercial@brsafeepi.com.br</t>
  </si>
  <si>
    <t>Arapongas</t>
  </si>
  <si>
    <t>MDL (HOras)</t>
  </si>
  <si>
    <t>14/05/2026</t>
  </si>
  <si>
    <t>em contato com Dayane, vamos nos reunir na segunda feira dia 18/05</t>
  </si>
  <si>
    <t>Tecelagem Castilho (E-commerce)</t>
  </si>
  <si>
    <t>16/04/2026 00:00</t>
  </si>
  <si>
    <t>Logro Soft - Comex</t>
  </si>
  <si>
    <t>Todos os dados preenchidos:empresa: InfinitTec  name: Pedro Paulo cargo: Proprietário  whatsapp: 69981362005 email: adm@infinittec.com.br referrer: https://www.guaranisistemas.com.br/ 
(04/05/2026) em busca sobre o lead ! 
Infinitec é uma casa de software e controladoria financeira</t>
  </si>
  <si>
    <t>infinittec.com.br</t>
  </si>
  <si>
    <t>Pedro Paulo</t>
  </si>
  <si>
    <t>adm@infinittec.com.br</t>
  </si>
  <si>
    <t>Cacoal</t>
  </si>
  <si>
    <t>Fora Perfil</t>
  </si>
  <si>
    <t>casa de software</t>
  </si>
  <si>
    <t>Falei com o Chico: a empresa (atacado) possui 4 lojas e está prestes a inaugurar uma nova filial. Conta com 110 colaboradores (incluindo a equipe interna de vendas/televendas) e 6 representantes comerciais. Atualmente utiliza o sistema RP ERP e demonstrou interesse em conhecer novas opções. Também solicitou referências de clientes da região.
Apresentação agendada para 11/05 às 10h.
(18/05) Enviado msg para Chico a fim de agendar um bate-papo.</t>
  </si>
  <si>
    <t>eficaz atacadao da limpeza</t>
  </si>
  <si>
    <t>(67) 9895-2961</t>
  </si>
  <si>
    <t>gerentedevendas@eficazatacadaodalimpeza.com.br</t>
  </si>
  <si>
    <t>rosh distribuidora</t>
  </si>
  <si>
    <t>Shirley</t>
  </si>
  <si>
    <t>41998464626</t>
  </si>
  <si>
    <t>zahrahcezar@gmail.com</t>
  </si>
  <si>
    <t>PIRAQUARA</t>
  </si>
  <si>
    <t>edu autoparts</t>
  </si>
  <si>
    <t>Edu Autoparts</t>
  </si>
  <si>
    <t>8196028924</t>
  </si>
  <si>
    <t>eduardo@edusomautoparts.com.br</t>
  </si>
  <si>
    <t>(14/05/2026) cliente não responde aos contatos</t>
  </si>
  <si>
    <t>(04/05) Falei com o Leandro. A empresa utiliza o ERP Excellent Sistemas, mas ele relatou insatisfação principalmente nos módulos de compras e controle de estoque. Está em busca de um sistema mais completo.
Solicitou que eu envie mais informações pelo WhatsApp para, em seguida, agendarmos uma reunião.
Atualmente, a equipe conta com 3 representantes e 3 vendedores internos.
(11/05) Enviado e-mail ao Leandro com informações sobre nossas soluções e possíveis ganhos operacionais nas áreas de compras e controle de estoque. Aguardando retorno para agendamento da apresentação.
(18/05) Enviado WhatsApp para Leandro a fim de agendarmos uma apresentação.</t>
  </si>
  <si>
    <t>bornia metais ltda.</t>
  </si>
  <si>
    <t>Bornia Metais Ltda.</t>
  </si>
  <si>
    <t>44991022838</t>
  </si>
  <si>
    <t>gallo.bornia@hotmail.com</t>
  </si>
  <si>
    <t>proprietario</t>
  </si>
  <si>
    <t>Proprietario</t>
  </si>
  <si>
    <t>5591420014</t>
  </si>
  <si>
    <t>lucasmaslonik@hotmail.com</t>
  </si>
  <si>
    <t>bc</t>
  </si>
  <si>
    <t>BC</t>
  </si>
  <si>
    <t>14999125373</t>
  </si>
  <si>
    <t>jeruzamocluciano@gmail.com</t>
  </si>
  <si>
    <t>Inválido - empresa não existe / dados errados</t>
  </si>
  <si>
    <t>(04/05/2026) em ligação com Paulo Rosa , 
atualmente usa ERP https://www.etoerp.com.br/
atualmente esta com dificuldade com PCP em controlar insumos para produção ! esto8u enviando material via e -mail para logo seguirmos com apresentação 
(15/05/2026) após envio de material não obtive mais retorno do Paulo</t>
  </si>
  <si>
    <t>presystem</t>
  </si>
  <si>
    <t>Presystem Projetos e Sistemas Eletrônicos</t>
  </si>
  <si>
    <t>(11) 2031-1273</t>
  </si>
  <si>
    <t>contato@bepcontabilidade.com</t>
  </si>
  <si>
    <t>no dia 05/05 cheguei a falar com Paulo, porem após envio do material e esboço de investimento  nao tive mais retorno</t>
  </si>
  <si>
    <t>Oi
hj sou socio na magnus transformadores
cnpj 27.569.814/0001-06
utilizamos um erp da empresa unicode
vou iniciar uma nova empresa de forma individual com a mesma atividade fabricação de transformadores
preciso de um sistema para gerir todas as estapas do processo da empresa
vendas, compras, produção, financeiro
(15/05/2026) depois da ultima conversa com Raul , dei um esboço do investimento logo não tivemos mais retorno</t>
  </si>
  <si>
    <t>ivan edson dias</t>
  </si>
  <si>
    <t>Ivan Edson Dias</t>
  </si>
  <si>
    <t>(11) 95811-0104</t>
  </si>
  <si>
    <t>ivanedson77@gmail.com</t>
  </si>
  <si>
    <t>(15/05/2026) depois da ultima conversa com Ivan , dei um esboço do investimento logo não tivemos mais retorno</t>
  </si>
  <si>
    <t>(04/05) Realizado ligação, porém, caiu na caixa postal. Enviado msg por WhatsApp.
(11/05) Enviado WhatsApp para Raimundo com o objetivo de verificar o melhor horário para realizar contato telefônico.</t>
  </si>
  <si>
    <t>ellform</t>
  </si>
  <si>
    <t>Ellform</t>
  </si>
  <si>
    <t>7187881309</t>
  </si>
  <si>
    <t>racoelhoneto@hotmail.com</t>
  </si>
  <si>
    <t>(18/05) Raimundo não retornou meus contatos. Enviei uma mensagem encerrando o atendimento no momento, mas deixei meu contato à disposição para um possível retorno futuro.</t>
  </si>
  <si>
    <t>(04/05) Realizado ligação, porém, caiu na caixa postal. Enviado msg por WhatsApp.
(11/05) Enviado WhatsApp para Márcio com o objetivo de verificar o melhor horário para realizar contato telefônico.
(18/05) Tentei contato novamente com Márcio, porém, sem sucesso (Ligação e WhatsApp). Enviado e-mail antes de perder o negócio.</t>
  </si>
  <si>
    <t>morefix comercio e importacao ltda</t>
  </si>
  <si>
    <t>Morefix</t>
  </si>
  <si>
    <t>19991043105</t>
  </si>
  <si>
    <t>marcio.soares@morefix.com.br</t>
  </si>
  <si>
    <t>(04/05/2026) tentativa de ligação ! porem numero somente WhatsApp
(04/05/2026) em contato com Sérgio ! 
em ligação se identificou e já foi cliente Guarani na oportunidade migrou para Winthor ! 
pediu uma ideia de investimento para entender sobre uma eventual mudança ! estou batalhando para nos reunirmos para uma breve apresentação 
Tentativa de contato : 
 14:51, 04/05/2026 Junior Lopes: Olá Sérgio ! Boa tarde
14:51, 04/05/2026 Junior Lopes: Junior da Guarani sistemas por aqui ! Td bem ?
(15/05/2026) tentaiva de ligação não atendia com Sérgio, a ideia é fazer apresentação</t>
  </si>
  <si>
    <t>resende &amp; santos de moc ltda</t>
  </si>
  <si>
    <t>Astrum Distribuidora</t>
  </si>
  <si>
    <t>38988234018</t>
  </si>
  <si>
    <t>sergio@resendesantos.com.br</t>
  </si>
  <si>
    <t>(04/05) Entrei em contato e falei com Luis. Informou que João estará na empresa à partir das 16h, pediu para retornar neste horário.
(06/05) Entrei em contato com o Luis, que solicitou o envio das informações por e-mail ao João. Ficou combinado retorno amanhã às 11h30.
(11/05) Realizada nova tentativa de contato com João, porém sem sucesso. Enviado e-mail com o objetivo de agendar um bate-papo para apresentação das soluções.
(18/05) Como não tive retorno (ligação), enviado e-mail para João antes de perder o negócio.</t>
  </si>
  <si>
    <t>distribuidora renova</t>
  </si>
  <si>
    <t>ferragens renova</t>
  </si>
  <si>
    <t>5134904475</t>
  </si>
  <si>
    <t>diretoria@ferragensrenova.com.br</t>
  </si>
  <si>
    <t>(04/05) Falei com o Thiago: ele está em fechamento e com dois colaboradores do administrativo em férias. Após essa semana, irá verificar uma agenda para conversarmos. Retornar na segunda-feira.
(11/05) Enviado msg para Thiago a fim de agendar um bate-papo.</t>
  </si>
  <si>
    <t>rv distribuidora</t>
  </si>
  <si>
    <t>RV DISTRIBUIDORA DE GENEROS ALIMENTICIOS LTDA</t>
  </si>
  <si>
    <t>Thiago Barbosa</t>
  </si>
  <si>
    <t>(16) 98127-4870</t>
  </si>
  <si>
    <t>16981274870</t>
  </si>
  <si>
    <t>rvdistribuidora123@gmail.com</t>
  </si>
  <si>
    <t>AV LUIZ ALFREDO DE MELO ROSA 460</t>
  </si>
  <si>
    <t>IBATE</t>
  </si>
  <si>
    <t>aparecido ribeiro molina junior</t>
  </si>
  <si>
    <t>Aparecido Ribeiro Molina Junior</t>
  </si>
  <si>
    <t>(19) 99788-2241</t>
  </si>
  <si>
    <t>gerencia@grupogadulog.com.br</t>
  </si>
  <si>
    <t>DESCALVADO</t>
  </si>
  <si>
    <t>Istok comércio</t>
  </si>
  <si>
    <t>(11) 2361-7746</t>
  </si>
  <si>
    <t>diogo.contabilidade@yahoo.com.br</t>
  </si>
  <si>
    <t>12/05/2026</t>
  </si>
  <si>
    <t>(11/05) Enviada nova mensagem via LinkedIn para Rodrigo Buzinari. Em 05/05, também foi encaminhado e-mail para Rodrigo Furtado (diretor).
(18/05) Enviado e-mail para Rodrigo, antes de perder o negócio.</t>
  </si>
  <si>
    <t>petiko</t>
  </si>
  <si>
    <t>PETIKO COMERCIO E DISTRIBUICAO DE PRODUTOS PET S.A</t>
  </si>
  <si>
    <t>Rodrigo José Buzinari</t>
  </si>
  <si>
    <t>(16) 33712-3681</t>
  </si>
  <si>
    <t>eucuidoparavoce@doutorcontabil.com.br</t>
  </si>
  <si>
    <t>R FRANCISCO MARICONDI 254</t>
  </si>
  <si>
    <t>(06/05) Realizei contato telefônico com Lucianei, que informou não poder falar no momento e que retornaria assim que possível. Também enviei mensagem via WhatsApp para acompanhamento.
(07/05) Realizo novo contato por WhatsApp. (Telefone deu caixa portal)
(11/05) Realizada nova tentativa de contato com Luciane, porém sem sucesso. Enviada nova mensagem via WhatsApp.
(18/05) Luciane não retornou meus contatos. Enviei uma mensagem encerrando o atendimento no momento, mas deixei meu contato à disposição para um possível retorno futuro.</t>
  </si>
  <si>
    <t>querosmais</t>
  </si>
  <si>
    <t>Querosmais</t>
  </si>
  <si>
    <t>41988659245</t>
  </si>
  <si>
    <t>querosmais@ig.com.br</t>
  </si>
  <si>
    <t>(18/05) Luciane não retornou meus contatos. Enviei uma mensagem encerrando o atendimento no momento, mas deixei meu contato à disposição para um possível retorno futuro.</t>
  </si>
  <si>
    <t>(06/05) Realizei contato telefônico com Marcelo. A empresa utiliza o sistema Sankhya e demonstrou insatisfação. Possuem vendedores internos e representantes comerciais. Apresentação agendada para quinta-feira (07/05), às 15h.
(07/05) Realizada apresentação para o Marcelo. A reunião foi conduzida pelo Paulo, eu acompanhei.
O projeto contempla aproximadamente 13 usuários entre ERP e AFV. Foi enviado o formulário para preenchimento e, posteriormente, será realizada a emissão da proposta.
Obs.: Marcelo está ciente das horas de implantação.
(14/05) Enviado WhatsApp para Marcelo solicitando um retorno sobre a proposta apresentada.</t>
  </si>
  <si>
    <t>Fikssar distribuidora LTDA</t>
  </si>
  <si>
    <t>34996787403</t>
  </si>
  <si>
    <t>marcelojsilva@fikssar.com.br</t>
  </si>
  <si>
    <t>Patos  de Minas</t>
  </si>
  <si>
    <t>07/05/2026</t>
  </si>
  <si>
    <t>(06/05) Tentei contato telefônico, porém a chamada foi direcionada para a caixa postal. Enviei mensagem via WhatsApp para identificar o melhor horário para retorno da ligação.
(07/05) Johnny retornou a mensagem informando que estava em viagem, cuidando da saúde do pai, e que nesta semana não seria possível falarmos. Disse que na próxima semana entrará em contato. Caso isso não ocorra, realizar novo contato.
(18/05) Enviado nova msg para Johnny a fim de verificar melhor horário para ligação.</t>
  </si>
  <si>
    <t>krieger ind e com fé madeiras</t>
  </si>
  <si>
    <t>Krieger ind e com fé madeiras</t>
  </si>
  <si>
    <t>66984172640</t>
  </si>
  <si>
    <t>kriegermadeiraspga@gmail.com</t>
  </si>
  <si>
    <t>Porto dos Gaúchos MT</t>
  </si>
  <si>
    <t>(07/05) Tentei contato telefônico, porém sem sucesso. Foi enviado WhatsApp para Tiago, com o objetivo de verificar o melhor horário para conversarmos.</t>
  </si>
  <si>
    <t>tiago sandavid</t>
  </si>
  <si>
    <t>Tiago sandavid</t>
  </si>
  <si>
    <t>93991009174</t>
  </si>
  <si>
    <t>souzamaia2010@hotmail.com</t>
  </si>
  <si>
    <t>Empresa de pequeno porte, com 3 vendedores internos.
Atualmente utilizam o sistema Vendr, do Grupo IOB.</t>
  </si>
  <si>
    <t>(07/05/2026) tentativa de ligação 
08:45, 07/05/2026 Junior Lopes: Olá Fran , bom dia
08:45, 07/05/2026 Fran dantas Cafe Espressiata: Espressiata agradece seu contato. Como podemos ajudar?
08:45, 07/05/2026 Junior Lopes: Sou Junior Lopes da Guarani sistemas! Td bem ?</t>
  </si>
  <si>
    <t>torrefacao mineira ltda</t>
  </si>
  <si>
    <t>Espressiata Cafés Especiais</t>
  </si>
  <si>
    <t>34999008780</t>
  </si>
  <si>
    <t>franciele@espressiata.com.br</t>
  </si>
  <si>
    <t>Frutal MG</t>
  </si>
  <si>
    <t>Olá boa tarde ! Junior da Guarani sistemas por aqui 
Logo que nós tivemos retorno ao contato estou finalizando por aqui ! 
Caso mude de ideia por favor só me chamar 
Sucesso por aí</t>
  </si>
  <si>
    <t>jcs perfis</t>
  </si>
  <si>
    <t>Mirian</t>
  </si>
  <si>
    <t>(16) 99705-1588</t>
  </si>
  <si>
    <t>mirian@jcsperfis.com.br</t>
  </si>
  <si>
    <t>-1</t>
  </si>
  <si>
    <t>Todos os dados preenchidos:
empresa: andreingrati@gmail.com 
name: Andre  
cargo: andreingrati@gmail.com 
whatsapp: 18997028677 
email: andreingrati@gmail.com 
referrer: https://www.guaranisistemas.com.br/</t>
  </si>
  <si>
    <t>andre</t>
  </si>
  <si>
    <t>andreingrati@gmail.com</t>
  </si>
  <si>
    <t>Andradina</t>
  </si>
  <si>
    <t>gsh marketing solutions</t>
  </si>
  <si>
    <t>GSH Marketing Solutions</t>
  </si>
  <si>
    <t>8496757596</t>
  </si>
  <si>
    <t>gleydson.silva@live.com</t>
  </si>
  <si>
    <t>08:52, 07/05/2026 Junior Lopes: Olá bom dia !
08:52, 07/05/2026 Junior Lopes: Sou Junior Lopes da Guarani sistemas! Td bem ?
11:51, 07/05/2026 Junior Lopes: qual o melhor horario para falarmos</t>
  </si>
  <si>
    <t>contade</t>
  </si>
  <si>
    <t>Contade</t>
  </si>
  <si>
    <t>4399777609</t>
  </si>
  <si>
    <t>arianagrandepequenasim@gmail.com</t>
  </si>
  <si>
    <t>N sei</t>
  </si>
  <si>
    <t>(14/05/2026) 
contato não responde 
as informações inseridas não encontram dados da empresa ! ideal exigir CNPJ para uma melhor busca</t>
  </si>
  <si>
    <t>(07/05) Falei com Leila. Eles realizaram recentemente a troca de ERP e estão em busca de um novo CRM. Apresentei as soluções que oferecemos, com foco no AFV.
No momento, estamos aguardando o retorno do Gestor Comercial para avançarmos com o agendamento de uma reunião.
(12/05): Leila gostaria de uma reunião para entender melhor as nossa soluções. Como mudaram recentemente de ERP, a idéia é conhecer o nosso força de vendas e o BI para companhamento das vendas/metas.
A Estilo Ar atua como distribuidora de peças e soluções para ar-condicionado automotivo. Filiais em: Uberlândia/MG (matriz), Belo Horizonte/MG, Juiz de Fora/MG, Montes Claros/MG, Goiânia/GO, Itumbiara/GO, Duque de Caxias/RJ e Cuiabá/MT. Então abrindo a nova filial Cuiabá.
Produros que trabalham: Produtos que trabalham: Peças para ar-condicionado automotivo, Componentes Denso e Delphi, Produtos da marca própria Estilo Ar,  Filtros de cabine, Óleos, Higienizadores, Ferramentas e itens para manutenção automotiva. ERP atual: Sankhya e CRM Kommo integrado.
Paulo: o foco é no AFV e BI, pois estão insatisfeito com o CRM atual. 
(12/05) Reunião agendada para 12/05, as 14h30.
(13/05) Reunião realizada. Leila informou que utilizam o CRM da Sankhya há aproximadamente 3 anos, porém estão insatisfeitos com a usabilidade da ferramenta. Atualmente, contam apenas com vendedores internos, mas a intenção é também trabalhar com representantes comerciais a partir do segundo semestre.
Durante a reunião, foram apresentadas a Guarani Sistemas, as soluções AFV, Loja B2B e BI. Também foi enviado, via WhatsApp, o link do CRM Leads2b , juntamente com nossa apresentação institucional.</t>
  </si>
  <si>
    <t>ESTILO AR COMERCIO DE PECAS LTDA</t>
  </si>
  <si>
    <t>Leila Oliveira</t>
  </si>
  <si>
    <t>(34) 3291-9100</t>
  </si>
  <si>
    <t>irpf@aserco.com.br</t>
  </si>
  <si>
    <t>AV ENGENHEIRO DINIZ 848</t>
  </si>
  <si>
    <t>UBERLANDIA</t>
  </si>
  <si>
    <t>(14/05) Conforme Leila, a ideia é trabalhar com vendedor externo no segundo semestre. Criado atividade para contatar cliente em ago/26.</t>
  </si>
  <si>
    <t>13/05/2026</t>
  </si>
  <si>
    <t>(74) 8124-8767</t>
  </si>
  <si>
    <t>maristela@kisolpiscinas.com</t>
  </si>
  <si>
    <t>FERNANDOPOLIS</t>
  </si>
  <si>
    <t>07/05/2026 00:00</t>
  </si>
  <si>
    <t>(08/05) Apresentação agendada para 13/08 às 10h. Conforme informado pelo Milton, a empresa está em busca de um novo sistema de gestão e atualmente não possui uma ferramenta de força de vendas.</t>
  </si>
  <si>
    <t>MARDEN MEDICAL LTDA.</t>
  </si>
  <si>
    <t>Milton Cavalieri</t>
  </si>
  <si>
    <t>(16) 2121-0858</t>
  </si>
  <si>
    <t>administracao@mardenmedical.com.br</t>
  </si>
  <si>
    <t>R GASTAO VIEIRA 229</t>
  </si>
  <si>
    <t>28/05/2026</t>
  </si>
  <si>
    <t>(08/05) Enviada mensagem via LinkedIn para Hugo Oliveira (gestor comercial), com o objetivo de apresentar as soluções da Guarani Sistemas e alinhar um possível bate-papo comercial.</t>
  </si>
  <si>
    <t>SANREMO S/A</t>
  </si>
  <si>
    <t>bt_contabilidade@bettanin.com.br</t>
  </si>
  <si>
    <t>AV INDEPENDENCIA 8885</t>
  </si>
  <si>
    <t>ESTEIO</t>
  </si>
  <si>
    <t>(08/05) Enviada mensagem via LinkedIn para Vagner (gestor comercial), com o objetivo de apresentar as soluções da Guarani Sistemas e alinhar um possível bate-papo comercial.
(18/05) Gestor comercial: Paulo Pimentel. Enviado msg a fim de agendar uma apresentação.</t>
  </si>
  <si>
    <t>ordene</t>
  </si>
  <si>
    <t>ORDENE S/A</t>
  </si>
  <si>
    <t>RUA GILBERTO TADEU MORAIS S/N</t>
  </si>
  <si>
    <t>(08/05) Enviada mensagem via LinkedIn para Lucimara (gestora comercial), com o objetivo de apresentar as soluções da Guarani Sistemas e alinhar um possível bate-papo comercial.
(11/05) Consegui o contato de WhatsApp do Adm. Felix Carvalho. Enviei mensagem com o objetivo de verificar um melhor horário para realizarmos um bate-papo.</t>
  </si>
  <si>
    <t>industrias nigro</t>
  </si>
  <si>
    <t>NIGRO ALUMINIO LTDA</t>
  </si>
  <si>
    <t>Lucimara Zenatti</t>
  </si>
  <si>
    <t>16210844221</t>
  </si>
  <si>
    <t>contabil@nigro.com.br</t>
  </si>
  <si>
    <t>AV ARCANGELO NIGRO 166</t>
  </si>
  <si>
    <t>emblemax</t>
  </si>
  <si>
    <t>11988734899</t>
  </si>
  <si>
    <t>alexandre@emblemax.com.br</t>
  </si>
  <si>
    <t>(08/05) Enviado WhatsApp para Luiz (amigo pessoal) para entender melhor a estrutura comercial da MMO, incluindo modelo de equipe de vendas (interna e/ou externa) e sistemas utilizados atualmente para gestão e vendas.
(11/05) Enviado msg para Gabriela (filha do Luis e amiga pessoal).</t>
  </si>
  <si>
    <t>mm optics</t>
  </si>
  <si>
    <t>MM OPTICS LTDA</t>
  </si>
  <si>
    <t>mmo@com.br</t>
  </si>
  <si>
    <t>RUA GEMINIANO COSTA 143</t>
  </si>
  <si>
    <t>(08/05) Enviado WhatsApp para Fabiana (amiga pessoal) com o objetivo de alinhar e agendar uma apresentação das nossas soluções.</t>
  </si>
  <si>
    <t>volmed brasil</t>
  </si>
  <si>
    <t>VOLMED BRASIL EQUIPAMENTOS LTDA</t>
  </si>
  <si>
    <t>Fabiana Voltatódio</t>
  </si>
  <si>
    <t>(16) 3419-1794</t>
  </si>
  <si>
    <t>financeiro@volmed.com.br</t>
  </si>
  <si>
    <t>RUA FRANCISCO CORREA BUENO 435</t>
  </si>
  <si>
    <t>TAG1SEM</t>
  </si>
  <si>
    <t>Em contato com Fabiana, foi informado que a empresa utiliza ferramentas específicas para o segmento (ERP e Força de Vendas), incluindo validações e exigências da Anvisa.</t>
  </si>
  <si>
    <t>(08/05) Enviada mensagem via LinkedIn para Nádia (gestora comercial), com o objetivo de apresentar as soluções da Guarani Sistemas e alinhar um possível bate-papo comercial.
(11/05) Nádia aceitou a conexão no LinkedIn. Enviada mensagem inicial apresentando as soluções da Guarani Sistemas.</t>
  </si>
  <si>
    <t>mundial distribuidora de produtos de consumo ltda</t>
  </si>
  <si>
    <t>MUNDIAL S.A. - PRODUTOS DE CONSUMO</t>
  </si>
  <si>
    <t>Nádia C. da Silva</t>
  </si>
  <si>
    <t>(51) 3358-5000</t>
  </si>
  <si>
    <t>lara.nunes@mundial.com</t>
  </si>
  <si>
    <t>R DO PARAISO 148</t>
  </si>
  <si>
    <t>SAO JOAO DE MERITI</t>
  </si>
  <si>
    <t>carbonaro distribuidora ltda</t>
  </si>
  <si>
    <t>LUCIANO CARBONARO DE OLIVEIRA</t>
  </si>
  <si>
    <t>(11/05/2026) tentativa de ligação porem o telefone esta bloqueado para chamadas 
contato via WhatsApp
12:02, 11/05/2026 Junior Lopes: Olá Tone Oliveira, bom dia
12:02, 11/05/2026 Junior Lopes: sou Junior Lopes da Guarani sistemas
12:02, 11/05/2026 Junior Lopes: td bem ?
(14/05/2026) avançando com informações da solução ! direcionando para uma apresentação</t>
  </si>
  <si>
    <t>N. K. Distribuidora Ltda</t>
  </si>
  <si>
    <t>nk distribuidora de cosmeticos</t>
  </si>
  <si>
    <t>NK Distribuidora De Cosmeticos</t>
  </si>
  <si>
    <t>6699942807</t>
  </si>
  <si>
    <t>toneoliveira@hotmail.com</t>
  </si>
  <si>
    <t>RONDONOPOLIS</t>
  </si>
  <si>
    <t>(11/05) Em contato com Paula, foi informado que a empresa utiliza diferentes sistemas separados por departamento. Solicitou o envio de uma apresentação por e-mail para encaminhamento ao João. Atualmente, a empresa possui equipe de vendas interna e apenas um vendedor externo (João).</t>
  </si>
  <si>
    <t>la rocha</t>
  </si>
  <si>
    <t>LA ROCHA INDUSTRIA E COMERCIO DE FIBRAS MINERAIS LTDA</t>
  </si>
  <si>
    <t>Paula Franzin</t>
  </si>
  <si>
    <t>(01) 63911-7784</t>
  </si>
  <si>
    <t>EST VICINAL VITO GAIA PUOLI, KM 2 + S/N</t>
  </si>
  <si>
    <t>arcobello participacoes</t>
  </si>
  <si>
    <t>Belapin ind com</t>
  </si>
  <si>
    <t>11970330999</t>
  </si>
  <si>
    <t>junior@arcobello.com.br</t>
  </si>
  <si>
    <t>(11/05) Falei com Orlei (Compras), que indicou o Rodrigo, da área Comercial, como responsável para continuidade da conversa. Atualmente a empresa utiliza o sistema WBC, desenvolvido para o segmento, porém cada departamento trabalha com um sistema diferente.
Comentou também que, há algum tempo, chegaram a conversar com a TOTVS sobre implantação de ERP, mas o projeto acabou não avançando devido à dificuldade relacionada à migração/estruturação dos dados.
Realizei contato com o Rodrigo, porém a ligação caiu na caixa postal. Enviei mensagem via WhatsApp para tentar agendar um bate-papo.</t>
  </si>
  <si>
    <t>nsf equipamentos comerciais</t>
  </si>
  <si>
    <t>N S F INDUSTRIA E COMERCIO DE EQUIPAMENTOS PARA INSTALACOES COMERCIAIS LTDA</t>
  </si>
  <si>
    <t>Antonio Marcos Real</t>
  </si>
  <si>
    <t>(16) 3377-9700</t>
  </si>
  <si>
    <t>financeiro@nsf.ind.br</t>
  </si>
  <si>
    <t>ROD WASHINGTON LUIZ S/N</t>
  </si>
  <si>
    <t>(08/05) Enviado WhatsApp para Lana (amiga pessoal), atualmente representante comercial da empresa, solicitando o contato do gestor comercial para possível apresentação das soluções.
(11/05) Falei com a Lana. No momento, a empresa está concentrada na preparação para a Feira Hospitalar, que acontecerá entre os dias 19 e 22 de maio.
Comentou que atualmente utilizam as soluções da Sectra para a área comercial (possivelmente ERP também). Sugeriu retomarmos o contato durante a feira ou após o evento para conversarmos com mais tranquilidade.</t>
  </si>
  <si>
    <t>hortron produtos medicos</t>
  </si>
  <si>
    <t>HORTRON INDUSTRIA E COMERCIO DE PRODUTOS ELETRONICOS LTDA</t>
  </si>
  <si>
    <t>Willian Zanon</t>
  </si>
  <si>
    <t>(16) 3419-0892</t>
  </si>
  <si>
    <t>hortron@hortron.com.br</t>
  </si>
  <si>
    <t>AV GETULIO VARGAS 2831</t>
  </si>
  <si>
    <t>(11/05) Falei com Denise (contato pessoal da área de RH). Apresentei brevemente a Guarani Sistemas e algumas das soluções que oferecemos, principalmente na área comercial. Solicitei o contato do gestor/com responsável pela área comercial para apresentar nossa solução de vendas. Aguardando retorno.
(12/05) Falei com a Denise, que me passou o contato (e-mail) do Farid, Gestor Comercial da Hece Máquinas. Denise comentou que a empresa atualmente trabalha com um ERP próprio. Enviado e-mail a fim de agendarmos um bate-papo.</t>
  </si>
  <si>
    <t>hece maquinas</t>
  </si>
  <si>
    <t>HECE MAQUINAS LTDA</t>
  </si>
  <si>
    <t>Denise Rodrigues Ferreira</t>
  </si>
  <si>
    <t>(16) 98198-8289</t>
  </si>
  <si>
    <t>16981988289</t>
  </si>
  <si>
    <t>rh@hece.com.br</t>
  </si>
  <si>
    <t>R JOAO ABDELNUR 99</t>
  </si>
  <si>
    <t>(11/05) Enviado msg para Nathalia a fim de agendarmos um bate-papo.
(12/05) Falei com a Nathalia, que me passou o contato (e-mail) da Vanessa, Gerente Comercial da Setormed. Enviado e-mail a fim de agendarmos um bate-papo.</t>
  </si>
  <si>
    <t>setormed</t>
  </si>
  <si>
    <t>SETORMED INDUSTRIA E COMERCIO DE EQUIPAMENTOS MEDICOS E ODONTOLOGICOS S.A.</t>
  </si>
  <si>
    <t>Nathalia C. S. Santos</t>
  </si>
  <si>
    <t>(16) 34165-3681</t>
  </si>
  <si>
    <t>setormed@setormed.com.br</t>
  </si>
  <si>
    <t>RUA ARTHUR RODRIGUES DE CASTRO 150</t>
  </si>
  <si>
    <t>Todos os dados preenchidos:
empresa: Casa Bonitta 
name: NATALIA GABRIELA DAMACENO MOTA 
cargo: Proprietária 
whatsapp: 11996672094 
email: naty-gabriela@hotmail.com 
referrer: https://www.guaranisistemas.com.br/</t>
  </si>
  <si>
    <t>casa bonitta</t>
  </si>
  <si>
    <t>Perfil Indefinido</t>
  </si>
  <si>
    <t>utilimix utilidade domestica</t>
  </si>
  <si>
    <t>UTILIMIX INDUSTRIA E COMERCIO LTDA</t>
  </si>
  <si>
    <t>(11) 91010-4191</t>
  </si>
  <si>
    <t>utilimix@bol.com.br</t>
  </si>
  <si>
    <t>RUA ESTADO DE PERNAMBUCO 93</t>
  </si>
  <si>
    <t>Bruno gostou bastante da solução, porém, no momento a estrutura da empresa ainda é pequena para utilização das nossas ferramentas. Deixei meu contato à disposição para, futuramente, caso a empresa cresça ou o perfil da operação mude, avaliarmos uma solução mais robusta.</t>
  </si>
  <si>
    <t>Olá Alexandre boa tarde ! Aqui é Junior Lopes da Guarani sistemas, Td bem ?
Estou retornando contato que vc fez conosco referente as nossas soluções de ERP e soluções de força de vendas
Olá Alexandre, bom dia
Bom dia
Mandei mensagem para saber sobre valor do sistema e como funciona
Ok
Pode deixar
Não tenho interesse</t>
  </si>
  <si>
    <t>Analu Parafusos Ltda</t>
  </si>
  <si>
    <t>analu parafusos ltda</t>
  </si>
  <si>
    <t>17981238345</t>
  </si>
  <si>
    <t>analuparafusos@gmail.com</t>
  </si>
  <si>
    <t>belapin</t>
  </si>
  <si>
    <t>Belapin Industria E Comercio De Alimenticios Ltda</t>
  </si>
  <si>
    <t>(011) 2726-761</t>
  </si>
  <si>
    <t>Istok comercio importação (Cloud)</t>
  </si>
  <si>
    <t>1123617746</t>
  </si>
  <si>
    <t>(13/05) Conversei com Joel, vendedor da Newlar. Atualmente, eles não possuem sistema de força de vendas via celular, realizando os pedidos de forma online.
Joel me passou o contato do Edinho, gestor comercial. Enviei mensagem com o objetivo de agendarmos uma apresentação da solução.
(14/05) Em ligação, Tatiana (financeiro) informou que a empresa utiliza o ERP Sankhya há cerca de 4 anos. Atualmente não possuem equipe de vendas externa, e o site é utilizado apenas para demonstração dos produtos/pedidos.
Solicitou uma apresentação inicial por e-mail e também deixou o WhatsApp (11 97334-5254) para um novo contato, a fim de apresentarmos nossas soluções.
Comentou ainda que considera a mensalidade atual do ERP elevada.</t>
  </si>
  <si>
    <t>newlar</t>
  </si>
  <si>
    <t>NEWLAR DISTRIBUIDORA DE UTILIDADES DOMESTICAS LTDA</t>
  </si>
  <si>
    <t>Edinho</t>
  </si>
  <si>
    <t>(11) 96123-5967</t>
  </si>
  <si>
    <t>11961235967</t>
  </si>
  <si>
    <t>newlar@newlar.com.br</t>
  </si>
  <si>
    <t>AV VAUTIER 649</t>
  </si>
  <si>
    <t>gifran industria de artigos texteis ltda</t>
  </si>
  <si>
    <t>Gifran Industria De Artigos Texteis Ltda</t>
  </si>
  <si>
    <t>(24) 2255-5069</t>
  </si>
  <si>
    <t>comercial@gifran.com.br</t>
  </si>
  <si>
    <t>TRES RIOS</t>
  </si>
  <si>
    <t>plasnew</t>
  </si>
  <si>
    <t>Plasnew Utilidades Domesticas Ltda.</t>
  </si>
  <si>
    <t>(19) 3852-9000</t>
  </si>
  <si>
    <t>plasnew@plasnew.ind.br</t>
  </si>
  <si>
    <t>ambiente verde</t>
  </si>
  <si>
    <t>Ambiente Verde Industria Ltda</t>
  </si>
  <si>
    <t>(51) 3541-7491</t>
  </si>
  <si>
    <t>ambienteverde@ambienteverde.ind.br</t>
  </si>
  <si>
    <t>IGREJINHA</t>
  </si>
  <si>
    <t>Baag - Horas</t>
  </si>
  <si>
    <t>cleber@baag.com.br</t>
  </si>
  <si>
    <t>goedert ltda</t>
  </si>
  <si>
    <t>Goedert Ltda</t>
  </si>
  <si>
    <t>(48) 3205-2140</t>
  </si>
  <si>
    <t>administracao@goedert.com.br</t>
  </si>
  <si>
    <t>Jlk Industria E Comercio De Plasticos Ltda</t>
  </si>
  <si>
    <t>(11) 2243-0117</t>
  </si>
  <si>
    <t>jlk@jlkplasticos.com.br</t>
  </si>
  <si>
    <t>mercapet</t>
  </si>
  <si>
    <t>Mercapet Comercio De Acessorios Para Animais Ltda</t>
  </si>
  <si>
    <t>(11) 7162-4141</t>
  </si>
  <si>
    <t>marcosmercapet@gmail.com</t>
  </si>
  <si>
    <t>future</t>
  </si>
  <si>
    <t>Future Industria Metalurgica Ltda</t>
  </si>
  <si>
    <t>(54) 3535-8700</t>
  </si>
  <si>
    <t>future@futureutilidades.com.br</t>
  </si>
  <si>
    <t>primavera</t>
  </si>
  <si>
    <t>Primavera Industria De Vassouras E Escovas Ltda</t>
  </si>
  <si>
    <t>(54) 3344-1438</t>
  </si>
  <si>
    <t>primavera@primavera.ind.br</t>
  </si>
  <si>
    <t>TAPEJARA</t>
  </si>
  <si>
    <t>evol clean</t>
  </si>
  <si>
    <t>Esponjas Evol Clean Ltda</t>
  </si>
  <si>
    <t>(44) 3629-5720</t>
  </si>
  <si>
    <t>esponjasevolclean@gmail.com</t>
  </si>
  <si>
    <t>CIANORTE</t>
  </si>
  <si>
    <t>uninjet industria e comercio de plasticos ltda</t>
  </si>
  <si>
    <t>Uninjet Industria E Comercio De Plasticos Ltda</t>
  </si>
  <si>
    <t>(11) 2521-3011</t>
  </si>
  <si>
    <t>a.garcia@uninjet.com.br</t>
  </si>
  <si>
    <t>gioplast industria e comercio ltda</t>
  </si>
  <si>
    <t>Gioplast Industria E Comercio Ltda</t>
  </si>
  <si>
    <t>(11) 3132-9192</t>
  </si>
  <si>
    <t>contato@produtosgiotto.com.br</t>
  </si>
  <si>
    <t>NAZARE PAULISTA</t>
  </si>
  <si>
    <t>neoplas</t>
  </si>
  <si>
    <t>Neoplas Industria E Comercio De Plasticos Ltda</t>
  </si>
  <si>
    <t>(47) 3438-6970</t>
  </si>
  <si>
    <t>neoplas@neoplas.com.br</t>
  </si>
  <si>
    <t>plast.co</t>
  </si>
  <si>
    <t>Mix Sao Paulo Industria E Comercio Ltda</t>
  </si>
  <si>
    <t>(11) 3013-1300</t>
  </si>
  <si>
    <t>contato@plastco.com.br</t>
  </si>
  <si>
    <t>forfest industria de descartaveis ltda</t>
  </si>
  <si>
    <t>Forfest Industria De Descartaveis Ltda</t>
  </si>
  <si>
    <t>(48) 3466-2961</t>
  </si>
  <si>
    <t>atendimento@forfest.com.br</t>
  </si>
  <si>
    <t>ORLEANS</t>
  </si>
  <si>
    <t>comfort door</t>
  </si>
  <si>
    <t>Comfort Door Importacao E Distribuicao De Utilidades Domesticas Ltda</t>
  </si>
  <si>
    <t>(43) 3376-3000</t>
  </si>
  <si>
    <t>contato@comfortdoor.com.br</t>
  </si>
  <si>
    <t>StarTools ferramaentas (Cloud)</t>
  </si>
  <si>
    <t>08/05/2026 00:00</t>
  </si>
  <si>
    <t>Todos os dados preenchidos:name: William Zanini Brogni field_3: Diretor phone: 45988277667 email: william@abtec.eng.br nome_da_empresa: Abtec field_4: Sudeste site_ou_rede_social_da_empresa: https://abecommerce.com.br/ referrer: https://instagram.com/ 
(15/05) Falei com William, que estava em reunião no momento. Solicitou novo contato na segunda-feira pela manhã.</t>
  </si>
  <si>
    <t>abtec.eng.br</t>
  </si>
  <si>
    <t>William Zanini Brogni</t>
  </si>
  <si>
    <t>(45) 98827-7667</t>
  </si>
  <si>
    <t>william@abtec.eng.br</t>
  </si>
  <si>
    <t>Cascavel</t>
  </si>
  <si>
    <t>MDL - Comex</t>
  </si>
  <si>
    <t>18/05/2026 00:00</t>
  </si>
  <si>
    <t>MDL - Boleto Whats</t>
  </si>
  <si>
    <t>Star Distribuidora - Boleto Whats</t>
  </si>
  <si>
    <t>administrativo@distribuidorastar.com.br</t>
  </si>
  <si>
    <t>fuzipar - erp</t>
  </si>
  <si>
    <t>fuzipar - ERP</t>
  </si>
  <si>
    <t>54984185138</t>
  </si>
  <si>
    <t>Qdte</t>
  </si>
  <si>
    <t>AVENIDA MARCO 40</t>
  </si>
  <si>
    <t>RUA DOM BARRETO 685</t>
  </si>
  <si>
    <t>Fwb - Treinamento/Reciclagem</t>
  </si>
  <si>
    <t>AVENIDA JOSE OSWALDO MAIA 1126</t>
  </si>
  <si>
    <t>RUA ALLPAC 136</t>
  </si>
  <si>
    <t>RUA ADOLPHO GOLL 89</t>
  </si>
  <si>
    <t>AV SAO JOAO 1910</t>
  </si>
  <si>
    <t>R FLORENCIO DE ABREU 663</t>
  </si>
  <si>
    <t>R ANTONIO MODESTO GOMIERO 164</t>
  </si>
  <si>
    <t>Vanila</t>
  </si>
  <si>
    <t>RUA JOSE COELHO PRATES JUNIOR 660</t>
  </si>
  <si>
    <t>Alexandre Zequini</t>
  </si>
  <si>
    <t>RUA JOSE LUIZ CARON 318</t>
  </si>
  <si>
    <t>RUA SAO FRANCISCO 83</t>
  </si>
  <si>
    <t>AVENIDA PAPA JOAO XXIII 2600</t>
  </si>
  <si>
    <t>QUALYPLAS - Treinamento Financeiro</t>
  </si>
  <si>
    <t>AVENIDA ANTONIO MARTINEZ CARRERA FILHO 261</t>
  </si>
  <si>
    <t>ALUMINIO NACIONAL - CNPJ</t>
  </si>
  <si>
    <t>RUA JOAO CANZI 625</t>
  </si>
  <si>
    <t>AVENIDA JOSE WILKER ATOR 00605</t>
  </si>
  <si>
    <t>AV PERSIO DE QUEIROS FILHO 395</t>
  </si>
  <si>
    <t>Karoline</t>
  </si>
  <si>
    <t>RODOVIA BR 101 S/N</t>
  </si>
  <si>
    <t>R RIO GRANDE DO NORTE 445</t>
  </si>
  <si>
    <t>AVENIDA JULIO DE SA BIERRENBACH ALM 65</t>
  </si>
  <si>
    <t>Giordany</t>
  </si>
  <si>
    <t>Jonas</t>
  </si>
  <si>
    <t>Arqplast - WMS</t>
  </si>
  <si>
    <t>RUA ANIBAL TANGANELLI 95</t>
  </si>
  <si>
    <t>ROD MARGINAL DA RODOVIA DOM PEDRO I (PISTA NORTE) S/N</t>
  </si>
  <si>
    <t>R LUIZ MARINCEK 35</t>
  </si>
  <si>
    <t>RUA ALEXANDRE BASSORA 1.070</t>
  </si>
  <si>
    <t>R EMILIO GOELDI 111</t>
  </si>
  <si>
    <t>Elisabete</t>
  </si>
  <si>
    <t>RODOVIA ENGENHEIRO THALES DE LORENA PEIXOTO JUNIOR (SP 318) S/N</t>
  </si>
  <si>
    <t>RUA ABRAHAO CALUX 103</t>
  </si>
  <si>
    <t>RUA ERECHIM 755</t>
  </si>
  <si>
    <t>RUA JURAMENTO 293</t>
  </si>
  <si>
    <t>RUA PRIMO ANGELO BERLOFA 101</t>
  </si>
  <si>
    <t>AVENIDA DEZ DE DEZEMBRO 6769</t>
  </si>
  <si>
    <t>ATIVA ATACADO  - Treinamento</t>
  </si>
  <si>
    <t>R CICA 201</t>
  </si>
  <si>
    <t>RIO HOME - Envio de Boleto Whatsapp</t>
  </si>
  <si>
    <t>ALUMINIO NACIONAL - Inventário</t>
  </si>
  <si>
    <t>CARDOSO BRINQUEDO - Link de Pagamento</t>
  </si>
  <si>
    <t>AV MATASHIRO YAMAGUIHI 278</t>
  </si>
  <si>
    <t>AVENIDA CARLOS HUMBERTO TERNES 1415</t>
  </si>
  <si>
    <t>RODOVIA BR 280 7199</t>
  </si>
  <si>
    <t>Plásticos Mb - Loja B2B</t>
  </si>
  <si>
    <t>COLORFLEX - Mapeamento Almoxarifado</t>
  </si>
  <si>
    <t>RUA VALENTIM MAGALHAES 347</t>
  </si>
  <si>
    <t>RODOVIA ARCHIMEDES NASPOLINI 2500</t>
  </si>
  <si>
    <t>RUA VENEZA 162</t>
  </si>
  <si>
    <t>AVENIDA SEN QUEIROS 279</t>
  </si>
  <si>
    <t>RUA TRONCA 2660</t>
  </si>
  <si>
    <t>Vinicus</t>
  </si>
  <si>
    <t>DUTE - Checkout</t>
  </si>
  <si>
    <t>Camila</t>
  </si>
  <si>
    <t>Raissa</t>
  </si>
  <si>
    <t>RUA DO ORFANATO 549</t>
  </si>
  <si>
    <t>Andressa</t>
  </si>
  <si>
    <t>Plásticos MB - Consultoria</t>
  </si>
  <si>
    <t>Wellmix - Treinamento equipe de vendas</t>
  </si>
  <si>
    <t>Koisas de Kozinha - Processos fiscais</t>
  </si>
  <si>
    <t>Regimara - Visita Técnica</t>
  </si>
  <si>
    <t>INGA - Treinamento</t>
  </si>
  <si>
    <t>DCARTE - Módulo Iara</t>
  </si>
  <si>
    <t>ESTRADA NOGUEIRAS 1052</t>
  </si>
  <si>
    <t>Aliança Importadora  - Link de Pagamento</t>
  </si>
  <si>
    <t>RUVOLO  - CNPJ</t>
  </si>
  <si>
    <t>ClassHome -  WMS</t>
  </si>
  <si>
    <t>AVENIDA GOVERNADOR ERALDO GUEIROS LEITE 220</t>
  </si>
  <si>
    <t>Dierson</t>
  </si>
  <si>
    <t>Raul</t>
  </si>
  <si>
    <t>20/04/2026</t>
  </si>
  <si>
    <t>Contato: Charles
1) Como esta a sua relação com a Guarani Sistemas, em relação a usabilidade, atendimento e qualidade dos produtos?
R: Falou sobre a liberação dos ajustes para reforma tributária e que foi perceptível a redução nos erros de atualização. 
Estarão na Abup visitando nos dias 03 e 04 e combinamos de tomar um café lá.
2) Para 2026, Como podemos ajudá-lo?
Falei com o Charles decidiram mudar a estratégia da empresa em questão de vendas e comercialização de produtos, pararam de importar e estão focados no atendimento e distribuição de produtos nacionais, como a Havaianas. 
E estão focando em prestação de serviços.</t>
  </si>
  <si>
    <t>22/01 - 2° tentativa de contato
27/01 - 3° tentativa de contato com o Alexandre,</t>
  </si>
  <si>
    <t>(20/01/2026) em contato com Rone ! 
Status de Satisfação: Muito Alto (ERP + Força de Vendas).
Projeção do Cliente: Expansão de 35% para 2026.
Ponto de Atenção: Implantação do PCP pausada por decisão do cliente.
Planejamento PCP: Retomada das pendências e ajustes prevista para 2026.
Rone pediu para falar com Rogério sobre solução B2B , estou buscando contato</t>
  </si>
  <si>
    <t>(21/01/2026) em contato com Bruno  ! 
Status de Satisfação: Alto  dentro das suas atividades diárias , também pediu para falar com a colaboradora Aradia para ver se ah algo que possamos melhorar para melhor atende-los (estou em contato com Aradia)
Projeção do Cliente: Bruno informou que está criando estratégias comerciais e desenvolvendo novos produtos para buscar um resultado melhor em suas vendas , não informou um percentual de crescimento ! sugeri nossa ferramenta de B2B 
Ponto de Atenção: nada relatado 
Planejamento : enviar informações sobre B2B e percentual de crescimento dos clientes que hoje usam 
Estou em contato com Aradia para alimentar mais informações</t>
  </si>
  <si>
    <t>27/01 Janaina - Esta bem insatisfeita com o atendimento do suporte, quando liguei hoje, inclusive estava com dificuldade para entrada na nota d eimportação e reclamou do pouco caso do suporte, que não atende ligações e mandaram link que ela não conseguia abrir para dar seguir o passo a passo</t>
  </si>
  <si>
    <t>Negocição realizada com o Fernando em o Mario</t>
  </si>
  <si>
    <t>No dia 20/01 fiz umareunião com o Carlos, e ele me passou alguns pontos que quere melhorar/implementar/automatizar no processo de WMS deles 
11.02 - Proposta enviada para visita do consultor para 5 dias
25.03 - entrei em contato com o Carlos para saber como vamos avançar com os modulos que estão estudando
15.04 - Boa Tarde Carlos, tudo bem? 
Como não tive retorno sobre o avanço do Interlipost, WMS e BI, estou derrubando as propostas comerciais, até porque a campanha do BI, referente ao desconto de 50% já acabou e não posso mais prorrogar. 
Quando fizer sentido para vocês podem me chamar e voltamos a negocia</t>
  </si>
  <si>
    <t>16:39, 04/02/2026 Rayssa Karapeticov - Comercial - Guarani Sistemas: Boa tarde, Rodnei. Tudo bem?
É a Rayssa da Guarani Sistemas 
Recebeu o email com a proposta?
17:42, 04/02/2026 +55 11 99105-0353: Boa tarde! 
Tudo bem?
17:42, 04/02/2026 +55 11 99105-0353: Recebemos sim, estamos analisando
17:45, 04/02/2026 Rayssa Karapeticov - Comercial - Guarani Sistemas: Tudo certinho!
Para que eu possa entender o que estão analisando?
17:46, 04/02/2026 +55 11 99105-0353: Custos, plataforma e etc…
17:51, 04/02/2026 Rayssa Karapeticov - Comercial - Guarani Sistemas: Quais outros serviços estão avaliando?
17:53, 04/02/2026 +55 11 99105-0353: Facilidade em ter o cod na mão, produto de prateleira, integrações
17:58, 04/02/2026 Rayssa Karapeticov - Comercial - Guarani Sistemas: Perfeito, faz todo sentido analisar esses pontos 
Só para alinhar expectativas: a proposta que enviamos não é um “produto de prateleira”, justamente porque o B2B costuma exigir regras comerciais, integrações e fluxos específicos de cada operação.
Sobre os pontos que você comentou:
* Código: nos responsabilizamos pelo código para que o produto não perca qualidade e nem performance, é assim vocês tem garantia de funcionamento do sistema contratado. 
* Integrações: já trabalhamos com integrações via API/ERP e isso costuma ser um dos principais ganhos do B2B.
* Custo: a diferença normalmente está no médio prazo, quando o site passa a operar do jeito que o time comercial realmente precisa.
18:00, 04/02/2026 Rayssa Karapeticov - Comercial - Guarani Sistemas: Quando você trata de um serviço de prateleira, você muitas vezes encontra dificuldade para parametrizar diferentes condições de vendas e negociações por clientes.
18:03, 04/02/2026 +55 11 99105-0353: Verdade
13.02 vão retomar o assunto após a Abrin
15.04 Boa Tarde Arlington, tudo bem? 
Como não tive retorno sobre o avanço do B2B, estou derrubando a proposta comercial, porque a campanha do desconto de 50% já acabou e não porro mais prorrogar. 
Quando fizer sentido para vocês podem me chamar e voltamos a negociar</t>
  </si>
  <si>
    <t>Cliente vai retornar a usar o AFV no showrom
Negociaremos as horas no final do projeto</t>
  </si>
  <si>
    <t>11-02 - Falei cm a Larissa e estão estudando os CRMs do mercado, passei nossas integrações, e enviei o material do RD Station. 
Vai entrar em contato com a plataforma para conhecer o CRM deles
31.03 tentei vários contatos para avaçar e não consigo retorno.</t>
  </si>
  <si>
    <t>11.02 - Realizamos uma visita no cliente na sexta feira
Estão com um novo CEO - Eduardo
Apresentamos o Guarani ERP, focado nas necessidades do cliente, além de axuliar em algumas duvidas de usuário
Na reunião foi apresentando o BI
15.04 estão primeiro fazendo uma reciclagem para depois seguir com outros módulos</t>
  </si>
  <si>
    <t>19.02 Estão em alta temporada, vão analisar e me retornar</t>
  </si>
  <si>
    <t>Kawany</t>
  </si>
  <si>
    <t>18.03 - Achou o investimento alto mas vai avaliar melhor a proposta, e o Decio provavelmente vai entrar em contato com o Fabio
15.04 15:13, 15/04/2026 Rayssa Karapeticov - Comercial - Guarani Sistemas: Marcos, tudo bem.
Queria retomar contigo o assunto do Comex. Na última vez você comentou que a diretoria tinha achado a mensalidade alta e que a proposta estava com eles para avaliação.
Conseguiram avançar internamente nesse ponto. Se a questão ainda for valor, me dá um norte do que seria viável para vocês ou pede para o Décio me sinalizar uma faixa, que eu vejo até onde consigo chegar aqui dentro para tentar viabilizar esse projeto.
Minha ideia é ou ajustar a proposta para a realidade de vocês, ou encerrar com clareza</t>
  </si>
  <si>
    <t>06.04 Aguardando Allison retornar de férias para seguir com o projeto na proxima semana 
22.04 Cliente pediu para deixar em stad-by</t>
  </si>
  <si>
    <t>22/04/2026</t>
  </si>
  <si>
    <t>19.03 Falamos ontem sobre alguma pendencias e algumas demandas que estão na empresa
22.04 - Boa Tarde Emerson, tudo bem? 
Como não tive retorno sobre o avanço do BI, estou derrubando a proposta comercial, porque a campanha do desconto de 50% já acabou e não porro mais prorrogar. 
Quando fizer sentido para vocês podem me chamar e voltamos a negociar
Pediu para atualizar a proposta do BI e mandei com as condições comerciais atualizadas</t>
  </si>
  <si>
    <t>19.03 - Falei com o Cleison e precisam implantar a parte de custo dentro do ERP, porque hoje fazem tudo por planilha e na cabeça do Paulo, então precisam trazer para dentro do sistema.</t>
  </si>
  <si>
    <t>23.03 Cliente pretende dar inicio da implantação do módulo para o segundo sempres, mas já queor os valores para entrar no orçamento</t>
  </si>
  <si>
    <t>140</t>
  </si>
  <si>
    <t>27.03 Cliente entrou em contato solicitando a inclusão de outra empresa. 
Desta forma foi enviado a proposta comercial</t>
  </si>
  <si>
    <t>24/04/2026</t>
  </si>
  <si>
    <t>31.01 Realizei a apresentação do Guarani Power B2B, cliente solicitou uma negociação, abatimento da  implantação pelo módulo contábil que não funcionou na empresa
Passei a analise para o Paulo avaliar o que podemos fazer</t>
  </si>
  <si>
    <t>11/05/2026</t>
  </si>
  <si>
    <t>15.04  Cliente esta exportando mais que importando, faria sentido para ele se estivessimos a aprte de exportação pronta</t>
  </si>
  <si>
    <t>28</t>
  </si>
  <si>
    <t>15.04 - Treinamento para fechamento fiscal no ERP</t>
  </si>
  <si>
    <t>Plásticos Mb - Segregação de Base</t>
  </si>
  <si>
    <t>NIX HOUSE - B2B</t>
  </si>
  <si>
    <t>(11) 11970-4991</t>
  </si>
  <si>
    <t>30/04/2026</t>
  </si>
  <si>
    <t>INGA - Orçamento B2B - AFV</t>
  </si>
  <si>
    <t>20/04/2026 00:00</t>
  </si>
  <si>
    <t>Chahin - Cloud</t>
  </si>
  <si>
    <t>29/04/2026 00:00</t>
  </si>
  <si>
    <t>NIX HOUSE - MD-e</t>
  </si>
  <si>
    <t>06/05/2026 00:00</t>
  </si>
  <si>
    <t>11/05/2026 00:00</t>
  </si>
  <si>
    <t>Danilo Alves</t>
  </si>
  <si>
    <t>(11) 3227-4492</t>
  </si>
  <si>
    <t>12/05/2026 00:00</t>
  </si>
  <si>
    <t>15/05/2026 00:00</t>
  </si>
  <si>
    <t>(43) 99156-3004</t>
  </si>
  <si>
    <t>Integrador Btrix</t>
  </si>
  <si>
    <t>Dcart</t>
  </si>
  <si>
    <t>Forte Vale</t>
  </si>
  <si>
    <t>Gifutil</t>
  </si>
  <si>
    <t>Onyx Importadora</t>
  </si>
  <si>
    <t>15/18/2026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</si>
</sst>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quot;R$&quot;\ #,##0.00"/>
    <numFmt numFmtId="165" formatCode="&quot;R$&quot;#,##0.00"/>
    <numFmt numFmtId="166" formatCode="[$-F400]h:mm:ss\ AM/PM"/>
    <numFmt numFmtId="167" formatCode="_-[$R$-416]\ * #,##0.00_-;\-[$R$-416]\ * #,##0.00_-;_-[$R$-416]\ * &quot;-&quot;??_-;_-@_-"/>
  </numFmts>
  <fonts count="5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name val="Calibri"/>
      <family val="2"/>
    </font>
    <font>
      <sz val="11"/>
      <color theme="1"/>
      <name val="Calibri Light"/>
      <family val="2"/>
    </font>
    <font>
      <b/>
      <sz val="10"/>
      <color theme="0"/>
      <name val="Calibri Light"/>
      <family val="2"/>
    </font>
    <font>
      <sz val="10"/>
      <color theme="1"/>
      <name val="Calibri Light"/>
      <family val="2"/>
    </font>
    <font>
      <sz val="10"/>
      <color theme="0"/>
      <name val="Calibri Light"/>
      <family val="2"/>
    </font>
    <font>
      <i/>
      <sz val="11"/>
      <color theme="1"/>
      <name val="Courier New"/>
      <family val="3"/>
    </font>
    <font>
      <b/>
      <sz val="11"/>
      <color rgb="FFFA7D00"/>
      <name val="Aptos Narrow"/>
      <family val="2"/>
      <scheme val="minor"/>
    </font>
    <font>
      <sz val="11"/>
      <color rgb="FFFA7D00"/>
      <name val="Aptos Narrow"/>
      <family val="2"/>
      <scheme val="minor"/>
    </font>
    <font>
      <b/>
      <sz val="10"/>
      <color theme="0"/>
      <name val="Aptos Narrow"/>
      <family val="2"/>
      <scheme val="minor"/>
    </font>
    <font>
      <sz val="10"/>
      <name val="Aptos Narrow"/>
      <family val="2"/>
      <scheme val="minor"/>
    </font>
    <font>
      <sz val="10"/>
      <name val="Calibri"/>
      <family val="2"/>
    </font>
    <font>
      <b/>
      <sz val="8"/>
      <color theme="1"/>
      <name val="Aptos Narrow"/>
      <family val="2"/>
      <scheme val="minor"/>
    </font>
    <font>
      <sz val="10"/>
      <color theme="1"/>
      <name val="Aptos Narrow"/>
      <family val="2"/>
      <scheme val="minor"/>
    </font>
    <font>
      <b/>
      <sz val="8"/>
      <color theme="0"/>
      <name val="Aptos Narrow"/>
      <family val="2"/>
      <scheme val="minor"/>
    </font>
    <font>
      <sz val="8"/>
      <color theme="1"/>
      <name val="Aptos Narrow"/>
      <family val="2"/>
      <scheme val="minor"/>
    </font>
    <font>
      <sz val="8"/>
      <color rgb="FFFF0000"/>
      <name val="Aptos Narrow"/>
      <family val="2"/>
      <scheme val="minor"/>
    </font>
    <font>
      <sz val="8"/>
      <name val="Aptos Narrow"/>
      <family val="2"/>
      <scheme val="minor"/>
    </font>
    <font>
      <b/>
      <sz val="9"/>
      <color theme="0"/>
      <name val="Aptos Narrow"/>
      <family val="2"/>
      <scheme val="minor"/>
    </font>
    <font>
      <b/>
      <sz val="12"/>
      <color theme="0"/>
      <name val="Aptos Narrow"/>
      <family val="2"/>
      <scheme val="minor"/>
    </font>
    <font>
      <b/>
      <sz val="12"/>
      <name val="Aptos Narrow"/>
      <family val="2"/>
      <scheme val="minor"/>
    </font>
    <font>
      <b/>
      <sz val="12"/>
      <color rgb="FFFF0000"/>
      <name val="Aptos Narrow"/>
      <family val="2"/>
      <scheme val="minor"/>
    </font>
    <font>
      <b/>
      <sz val="12"/>
      <color theme="1"/>
      <name val="Aptos Narrow"/>
      <family val="2"/>
      <scheme val="minor"/>
    </font>
    <font>
      <sz val="12"/>
      <color theme="1"/>
      <name val="Aptos Narrow"/>
      <family val="2"/>
      <scheme val="minor"/>
    </font>
    <font>
      <b/>
      <sz val="14"/>
      <color theme="1"/>
      <name val="Aptos Narrow"/>
      <family val="2"/>
      <scheme val="minor"/>
    </font>
    <font>
      <b/>
      <sz val="12"/>
      <color theme="7"/>
      <name val="Aptos Narrow"/>
      <family val="2"/>
      <scheme val="minor"/>
    </font>
    <font>
      <sz val="11"/>
      <color theme="0"/>
      <name val="Aptos Narrow"/>
      <family val="2"/>
      <scheme val="minor"/>
    </font>
    <font>
      <b/>
      <sz val="11"/>
      <color theme="7"/>
      <name val="Aptos Narrow"/>
      <family val="2"/>
      <scheme val="minor"/>
    </font>
    <font>
      <sz val="11"/>
      <color theme="7"/>
      <name val="Aptos Narrow"/>
      <family val="2"/>
      <scheme val="minor"/>
    </font>
    <font>
      <b/>
      <sz val="14"/>
      <color theme="0"/>
      <name val="Aptos Narrow"/>
      <family val="2"/>
      <scheme val="minor"/>
    </font>
    <font>
      <b/>
      <sz val="16"/>
      <color theme="1"/>
      <name val="Aptos Narrow"/>
      <family val="2"/>
      <scheme val="minor"/>
    </font>
    <font>
      <sz val="8"/>
      <color theme="1"/>
      <name val="Calibri"/>
      <family val="2"/>
    </font>
    <font>
      <sz val="10"/>
      <color theme="1"/>
      <name val="Calibri"/>
      <family val="2"/>
    </font>
    <font>
      <b/>
      <sz val="10"/>
      <color theme="0"/>
      <name val="Calibri"/>
      <family val="2"/>
    </font>
    <font>
      <b/>
      <sz val="10"/>
      <color theme="1"/>
      <name val="Calibri"/>
      <family val="2"/>
    </font>
    <font>
      <b/>
      <sz val="10"/>
      <name val="Calibri"/>
      <family val="2"/>
    </font>
    <font>
      <u/>
      <sz val="11"/>
      <name val="Aptos Narrow"/>
      <family val="2"/>
      <scheme val="minor"/>
    </font>
    <font>
      <sz val="11"/>
      <color theme="1"/>
      <name val="Calibri"/>
      <family val="2"/>
    </font>
    <font>
      <b/>
      <sz val="11"/>
      <color theme="1"/>
      <name val="Calibri"/>
      <family val="2"/>
    </font>
    <font>
      <sz val="10"/>
      <color theme="0"/>
      <name val="Aptos Narrow"/>
      <family val="2"/>
      <scheme val="minor"/>
    </font>
    <font>
      <b/>
      <sz val="10"/>
      <color theme="1"/>
      <name val="Aptos Narrow"/>
      <family val="2"/>
      <scheme val="minor"/>
    </font>
    <font>
      <sz val="11"/>
      <color theme="1"/>
      <name val="Calibri Light"/>
      <family val="2"/>
    </font>
    <font>
      <sz val="10"/>
      <color theme="1"/>
      <name val="Calibri Light"/>
      <family val="2"/>
    </font>
    <font>
      <b/>
      <sz val="10"/>
      <color theme="1"/>
      <name val="Calibri Light"/>
      <family val="2"/>
    </font>
    <font>
      <sz val="10"/>
      <color theme="0"/>
      <name val="Calibri Light"/>
      <family val="2"/>
    </font>
    <font>
      <b/>
      <sz val="10"/>
      <color theme="0"/>
      <name val="Calibri Light"/>
      <family val="2"/>
    </font>
    <font>
      <sz val="11"/>
      <color theme="0"/>
      <name val="Calibri Light"/>
      <family val="2"/>
    </font>
  </fonts>
  <fills count="34">
    <fill>
      <patternFill patternType="none"/>
    </fill>
    <fill>
      <patternFill patternType="gray125"/>
    </fill>
    <fill>
      <patternFill patternType="solid">
        <fgColor theme="0" tint="-0.499984740745262"/>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107"/>
        <bgColor indexed="64"/>
      </patternFill>
    </fill>
    <fill>
      <patternFill patternType="solid">
        <fgColor theme="3" tint="9.9978637043366805E-2"/>
        <bgColor indexed="64"/>
      </patternFill>
    </fill>
    <fill>
      <patternFill patternType="solid">
        <fgColor rgb="FFB8D2C9"/>
        <bgColor indexed="64"/>
      </patternFill>
    </fill>
    <fill>
      <patternFill patternType="solid">
        <fgColor theme="4"/>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95B9AC"/>
        <bgColor indexed="64"/>
      </patternFill>
    </fill>
    <fill>
      <patternFill patternType="solid">
        <fgColor rgb="FFFFC000"/>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rgb="FFFF66FF"/>
        <bgColor indexed="64"/>
      </patternFill>
    </fill>
    <fill>
      <patternFill patternType="solid">
        <fgColor rgb="FF00B0F0"/>
        <bgColor indexed="64"/>
      </patternFill>
    </fill>
    <fill>
      <patternFill patternType="solid">
        <fgColor rgb="FF19708B"/>
        <bgColor indexed="64"/>
      </patternFill>
    </fill>
    <fill>
      <patternFill patternType="solid">
        <fgColor theme="0" tint="-0.14999847407452621"/>
        <bgColor indexed="64"/>
      </patternFill>
    </fill>
    <fill>
      <patternFill patternType="solid">
        <fgColor rgb="FF0070C0"/>
        <bgColor indexed="64"/>
      </patternFill>
    </fill>
    <fill>
      <patternFill patternType="solid">
        <fgColor rgb="FF92D050"/>
        <bgColor indexed="64"/>
      </patternFill>
    </fill>
    <fill>
      <patternFill patternType="solid">
        <fgColor rgb="FFEE0000"/>
        <bgColor indexed="64"/>
      </patternFill>
    </fill>
    <fill>
      <patternFill patternType="solid">
        <fgColor theme="5"/>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theme="7"/>
        <bgColor indexed="64"/>
      </patternFill>
    </fill>
    <fill>
      <patternFill patternType="solid">
        <fgColor rgb="FFFF4444"/>
        <bgColor indexed="64"/>
      </patternFill>
    </fill>
    <fill>
      <patternFill patternType="solid">
        <fgColor theme="1"/>
        <bgColor theme="1"/>
      </patternFill>
    </fill>
    <fill>
      <patternFill patternType="solid">
        <fgColor theme="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indexed="65"/>
        <bgColor indexed="64"/>
      </patternFill>
    </fill>
  </fills>
  <borders count="53">
    <border>
      <left/>
      <right/>
      <top/>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top style="dotted">
        <color indexed="64"/>
      </top>
      <bottom/>
      <diagonal/>
    </border>
    <border>
      <left/>
      <right/>
      <top/>
      <bottom style="double">
        <color rgb="FFFF8001"/>
      </bottom>
      <diagonal/>
    </border>
    <border>
      <left style="thin">
        <color theme="4" tint="0.59999389629810485"/>
      </left>
      <right/>
      <top/>
      <bottom/>
      <diagonal/>
    </border>
    <border>
      <left style="thin">
        <color theme="4" tint="0.59999389629810485"/>
      </left>
      <right style="thin">
        <color theme="4" tint="0.59999389629810485"/>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bottom/>
      <diagonal/>
    </border>
    <border>
      <left style="thin">
        <color theme="1"/>
      </left>
      <right/>
      <top style="thin">
        <color theme="1"/>
      </top>
      <bottom/>
      <diagonal/>
    </border>
    <border>
      <left/>
      <right/>
      <top style="thin">
        <color theme="1"/>
      </top>
      <bottom/>
      <diagonal/>
    </border>
    <border>
      <left style="thin">
        <color theme="1"/>
      </left>
      <right/>
      <top style="double">
        <color theme="1"/>
      </top>
      <bottom style="thin">
        <color theme="1"/>
      </bottom>
      <diagonal/>
    </border>
    <border>
      <left/>
      <right/>
      <top style="double">
        <color theme="1"/>
      </top>
      <bottom style="thin">
        <color theme="1"/>
      </bottom>
      <diagonal/>
    </border>
    <border>
      <left/>
      <right/>
      <top style="thin">
        <color theme="9" tint="0.39997558519241921"/>
      </top>
      <bottom style="thin">
        <color theme="9" tint="0.39997558519241921"/>
      </bottom>
      <diagonal/>
    </border>
    <border>
      <left style="thin">
        <color theme="9" tint="0.59999389629810485"/>
      </left>
      <right style="thin">
        <color theme="9" tint="0.59999389629810485"/>
      </right>
      <top style="thin">
        <color theme="9" tint="0.59999389629810485"/>
      </top>
      <bottom style="thin">
        <color theme="9" tint="0.59999389629810485"/>
      </bottom>
      <diagonal/>
    </border>
    <border>
      <left style="thin">
        <color theme="9" tint="0.59999389629810485"/>
      </left>
      <right/>
      <top style="thin">
        <color theme="9" tint="0.59999389629810485"/>
      </top>
      <bottom style="thin">
        <color theme="9" tint="0.59999389629810485"/>
      </bottom>
      <diagonal/>
    </border>
    <border>
      <left style="thin">
        <color theme="1"/>
      </left>
      <right style="dotted">
        <color indexed="64"/>
      </right>
      <top style="dotted">
        <color indexed="64"/>
      </top>
      <bottom style="dotted">
        <color indexed="64"/>
      </bottom>
      <diagonal/>
    </border>
    <border>
      <left style="thin">
        <color theme="1"/>
      </left>
      <right style="dotted">
        <color indexed="64"/>
      </right>
      <top style="thin">
        <color theme="1"/>
      </top>
      <bottom style="dotted">
        <color indexed="64"/>
      </bottom>
      <diagonal/>
    </border>
    <border>
      <left style="dotted">
        <color indexed="64"/>
      </left>
      <right style="dotted">
        <color indexed="64"/>
      </right>
      <top style="thin">
        <color theme="1"/>
      </top>
      <bottom style="dotted">
        <color indexed="64"/>
      </bottom>
      <diagonal/>
    </border>
    <border>
      <left style="thin">
        <color theme="1"/>
      </left>
      <right style="dotted">
        <color indexed="64"/>
      </right>
      <top style="dotted">
        <color indexed="64"/>
      </top>
      <bottom style="thin">
        <color theme="1"/>
      </bottom>
      <diagonal/>
    </border>
    <border>
      <left style="dotted">
        <color indexed="64"/>
      </left>
      <right style="dotted">
        <color indexed="64"/>
      </right>
      <top style="dotted">
        <color indexed="64"/>
      </top>
      <bottom style="thin">
        <color theme="1"/>
      </bottom>
      <diagonal/>
    </border>
    <border>
      <left style="thin">
        <color theme="1"/>
      </left>
      <right style="dotted">
        <color indexed="64"/>
      </right>
      <top style="dotted">
        <color indexed="64"/>
      </top>
      <bottom/>
      <diagonal/>
    </border>
    <border>
      <left style="thin">
        <color theme="1"/>
      </left>
      <right style="dotted">
        <color indexed="64"/>
      </right>
      <top style="thin">
        <color theme="1"/>
      </top>
      <bottom/>
      <diagonal/>
    </border>
    <border>
      <left style="dotted">
        <color indexed="64"/>
      </left>
      <right style="dotted">
        <color indexed="64"/>
      </right>
      <top style="thin">
        <color theme="1"/>
      </top>
      <bottom/>
      <diagonal/>
    </border>
  </borders>
  <cellStyleXfs count="4">
    <xf numFmtId="0" fontId="0" fillId="0" borderId="0"/>
    <xf numFmtId="9" fontId="1" fillId="0" borderId="0"/>
    <xf numFmtId="0" fontId="12" fillId="0" borderId="10"/>
    <xf numFmtId="44" fontId="1" fillId="0" borderId="0"/>
  </cellStyleXfs>
  <cellXfs count="423">
    <xf numFmtId="0" fontId="0" fillId="0" borderId="0" xfId="0"/>
    <xf numFmtId="0" fontId="3" fillId="0" borderId="0" xfId="0" applyFont="1"/>
    <xf numFmtId="0" fontId="3" fillId="0" borderId="0" xfId="0" applyFont="1" applyAlignment="1">
      <alignment horizontal="center"/>
    </xf>
    <xf numFmtId="14" fontId="2" fillId="2" borderId="1" xfId="0" applyNumberFormat="1" applyFont="1" applyFill="1" applyBorder="1" applyAlignment="1">
      <alignment horizontal="center"/>
    </xf>
    <xf numFmtId="0" fontId="2" fillId="2" borderId="2" xfId="0" applyFont="1" applyFill="1" applyBorder="1" applyAlignment="1">
      <alignment horizontal="center"/>
    </xf>
    <xf numFmtId="0" fontId="2" fillId="3" borderId="2" xfId="0" applyFont="1" applyFill="1" applyBorder="1" applyAlignment="1">
      <alignment horizontal="center"/>
    </xf>
    <xf numFmtId="0" fontId="2" fillId="3" borderId="2" xfId="0" applyFont="1" applyFill="1" applyBorder="1" applyAlignment="1">
      <alignment horizontal="center" wrapText="1"/>
    </xf>
    <xf numFmtId="0" fontId="2" fillId="4" borderId="2"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xf>
    <xf numFmtId="14" fontId="4" fillId="0" borderId="4" xfId="0" applyNumberFormat="1" applyFont="1" applyBorder="1" applyAlignment="1">
      <alignment horizontal="center"/>
    </xf>
    <xf numFmtId="0" fontId="4" fillId="0" borderId="5" xfId="0" applyFont="1" applyBorder="1" applyAlignment="1">
      <alignment horizontal="center"/>
    </xf>
    <xf numFmtId="1" fontId="4" fillId="0" borderId="5" xfId="0" applyNumberFormat="1" applyFont="1" applyBorder="1" applyAlignment="1">
      <alignment horizontal="center"/>
    </xf>
    <xf numFmtId="164" fontId="4" fillId="0" borderId="5" xfId="0" applyNumberFormat="1" applyFont="1" applyBorder="1" applyAlignment="1">
      <alignment horizontal="center"/>
    </xf>
    <xf numFmtId="165" fontId="4" fillId="0" borderId="5" xfId="0" applyNumberFormat="1" applyFont="1" applyBorder="1" applyAlignment="1">
      <alignment horizontal="center"/>
    </xf>
    <xf numFmtId="10" fontId="4" fillId="0" borderId="5" xfId="1" applyNumberFormat="1" applyFont="1" applyBorder="1" applyAlignment="1">
      <alignment horizontal="center"/>
    </xf>
    <xf numFmtId="0" fontId="5" fillId="0" borderId="6" xfId="0" applyFont="1" applyBorder="1" applyAlignment="1">
      <alignment horizontal="center"/>
    </xf>
    <xf numFmtId="165" fontId="4" fillId="0" borderId="5" xfId="1" applyNumberFormat="1" applyFont="1" applyBorder="1" applyAlignment="1">
      <alignment horizontal="center"/>
    </xf>
    <xf numFmtId="14" fontId="4" fillId="5" borderId="4" xfId="0" applyNumberFormat="1" applyFont="1" applyFill="1" applyBorder="1" applyAlignment="1">
      <alignment horizontal="center"/>
    </xf>
    <xf numFmtId="14" fontId="4" fillId="6" borderId="4" xfId="0" applyNumberFormat="1" applyFont="1" applyFill="1" applyBorder="1" applyAlignment="1">
      <alignment horizontal="center"/>
    </xf>
    <xf numFmtId="14" fontId="4" fillId="0" borderId="7" xfId="0" applyNumberFormat="1" applyFont="1" applyBorder="1" applyAlignment="1">
      <alignment horizontal="center"/>
    </xf>
    <xf numFmtId="0" fontId="4" fillId="0" borderId="8" xfId="0" applyFont="1" applyBorder="1" applyAlignment="1">
      <alignment horizontal="center"/>
    </xf>
    <xf numFmtId="1" fontId="4" fillId="0" borderId="8" xfId="0" applyNumberFormat="1" applyFont="1" applyBorder="1" applyAlignment="1">
      <alignment horizontal="center"/>
    </xf>
    <xf numFmtId="165" fontId="4" fillId="0" borderId="8" xfId="0" applyNumberFormat="1" applyFont="1" applyBorder="1" applyAlignment="1">
      <alignment horizontal="center"/>
    </xf>
    <xf numFmtId="10" fontId="4" fillId="0" borderId="5" xfId="0" applyNumberFormat="1" applyFont="1" applyBorder="1" applyAlignment="1">
      <alignment horizontal="center"/>
    </xf>
    <xf numFmtId="0" fontId="4" fillId="0" borderId="9" xfId="0" applyFont="1" applyBorder="1" applyAlignment="1">
      <alignment horizontal="center"/>
    </xf>
    <xf numFmtId="14" fontId="4" fillId="0" borderId="0" xfId="0" applyNumberFormat="1" applyFont="1" applyAlignment="1">
      <alignment horizontal="center"/>
    </xf>
    <xf numFmtId="0" fontId="4" fillId="0" borderId="0" xfId="0" applyFont="1" applyAlignment="1">
      <alignment horizontal="center"/>
    </xf>
    <xf numFmtId="1" fontId="4" fillId="0" borderId="0" xfId="0" applyNumberFormat="1" applyFont="1" applyAlignment="1">
      <alignment horizontal="center"/>
    </xf>
    <xf numFmtId="165" fontId="4" fillId="0" borderId="0" xfId="0" applyNumberFormat="1" applyFont="1" applyAlignment="1">
      <alignment horizontal="center"/>
    </xf>
    <xf numFmtId="10" fontId="4" fillId="0" borderId="0" xfId="1" applyNumberFormat="1" applyFont="1" applyAlignment="1">
      <alignment horizontal="center"/>
    </xf>
    <xf numFmtId="14" fontId="0" fillId="0" borderId="0" xfId="0" applyNumberFormat="1"/>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10"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8" borderId="0" xfId="0" applyFill="1"/>
    <xf numFmtId="0" fontId="0" fillId="8" borderId="0" xfId="0" applyFill="1" applyAlignment="1">
      <alignment horizontal="left"/>
    </xf>
    <xf numFmtId="1" fontId="0" fillId="8" borderId="0" xfId="0" applyNumberFormat="1" applyFill="1"/>
    <xf numFmtId="0" fontId="6" fillId="0" borderId="0" xfId="0" applyFont="1"/>
    <xf numFmtId="0" fontId="8" fillId="0" borderId="0" xfId="0" applyFont="1"/>
    <xf numFmtId="0" fontId="9" fillId="10" borderId="0" xfId="0" applyFont="1" applyFill="1"/>
    <xf numFmtId="0" fontId="7" fillId="10" borderId="0" xfId="0" applyFont="1" applyFill="1"/>
    <xf numFmtId="0" fontId="0" fillId="11" borderId="0" xfId="0" applyFill="1"/>
    <xf numFmtId="0" fontId="0" fillId="12" borderId="0" xfId="0" applyFill="1" applyAlignment="1">
      <alignment horizontal="center"/>
    </xf>
    <xf numFmtId="17" fontId="0" fillId="12" borderId="0" xfId="0" applyNumberFormat="1" applyFill="1" applyAlignment="1">
      <alignment horizontal="center"/>
    </xf>
    <xf numFmtId="17" fontId="0" fillId="12" borderId="0" xfId="0" applyNumberFormat="1" applyFill="1"/>
    <xf numFmtId="17" fontId="0" fillId="0" borderId="0" xfId="0" applyNumberFormat="1"/>
    <xf numFmtId="17" fontId="0" fillId="0" borderId="0" xfId="0" applyNumberFormat="1" applyAlignment="1">
      <alignment horizontal="center"/>
    </xf>
    <xf numFmtId="44" fontId="0" fillId="0" borderId="0" xfId="0" applyNumberFormat="1" applyAlignment="1">
      <alignment horizontal="center"/>
    </xf>
    <xf numFmtId="44" fontId="0" fillId="0" borderId="0" xfId="0" applyNumberFormat="1"/>
    <xf numFmtId="0" fontId="0" fillId="12" borderId="0" xfId="0" applyFill="1"/>
    <xf numFmtId="9" fontId="0" fillId="0" borderId="0" xfId="0" applyNumberFormat="1"/>
    <xf numFmtId="0" fontId="3" fillId="8" borderId="0" xfId="0" applyFont="1" applyFill="1"/>
    <xf numFmtId="0" fontId="2" fillId="9" borderId="0" xfId="0" applyFont="1" applyFill="1"/>
    <xf numFmtId="165" fontId="0" fillId="8" borderId="0" xfId="0" applyNumberFormat="1" applyFill="1"/>
    <xf numFmtId="0" fontId="0" fillId="8" borderId="0" xfId="0" applyFill="1" applyAlignment="1">
      <alignment horizontal="center"/>
    </xf>
    <xf numFmtId="166" fontId="0" fillId="0" borderId="0" xfId="0" applyNumberFormat="1"/>
    <xf numFmtId="0" fontId="0" fillId="13" borderId="0" xfId="0" applyFill="1"/>
    <xf numFmtId="44" fontId="3" fillId="8" borderId="0" xfId="0" applyNumberFormat="1" applyFont="1" applyFill="1" applyAlignment="1">
      <alignment horizontal="right"/>
    </xf>
    <xf numFmtId="1" fontId="3" fillId="8" borderId="0" xfId="0" applyNumberFormat="1" applyFont="1" applyFill="1" applyAlignment="1">
      <alignment horizontal="right"/>
    </xf>
    <xf numFmtId="44" fontId="0" fillId="0" borderId="0" xfId="0" applyNumberFormat="1" applyAlignment="1">
      <alignment horizontal="right"/>
    </xf>
    <xf numFmtId="1" fontId="0" fillId="0" borderId="0" xfId="0" applyNumberFormat="1" applyAlignment="1">
      <alignment horizontal="right"/>
    </xf>
    <xf numFmtId="0" fontId="10" fillId="0" borderId="0" xfId="0" applyFont="1"/>
    <xf numFmtId="14" fontId="2" fillId="14" borderId="1" xfId="0" applyNumberFormat="1" applyFont="1" applyFill="1" applyBorder="1" applyAlignment="1">
      <alignment horizontal="center"/>
    </xf>
    <xf numFmtId="0" fontId="2" fillId="14" borderId="2" xfId="0" applyFont="1" applyFill="1" applyBorder="1" applyAlignment="1">
      <alignment horizontal="center"/>
    </xf>
    <xf numFmtId="0" fontId="2" fillId="14" borderId="2" xfId="0" applyFont="1" applyFill="1" applyBorder="1" applyAlignment="1">
      <alignment horizontal="center" wrapText="1"/>
    </xf>
    <xf numFmtId="0" fontId="2" fillId="14" borderId="3" xfId="0" applyFont="1" applyFill="1" applyBorder="1" applyAlignment="1">
      <alignment horizontal="center"/>
    </xf>
    <xf numFmtId="0" fontId="0" fillId="15" borderId="0" xfId="0" applyFill="1"/>
    <xf numFmtId="164" fontId="4" fillId="0" borderId="8" xfId="0" applyNumberFormat="1" applyFont="1" applyBorder="1" applyAlignment="1">
      <alignment horizontal="center"/>
    </xf>
    <xf numFmtId="10" fontId="4" fillId="0" borderId="8" xfId="1" applyNumberFormat="1" applyFont="1" applyBorder="1" applyAlignment="1">
      <alignment horizontal="center"/>
    </xf>
    <xf numFmtId="0" fontId="5" fillId="0" borderId="9" xfId="0" applyFont="1" applyBorder="1" applyAlignment="1">
      <alignment horizontal="center"/>
    </xf>
    <xf numFmtId="0" fontId="4" fillId="0" borderId="7" xfId="0" applyFont="1" applyBorder="1" applyAlignment="1">
      <alignment horizontal="center"/>
    </xf>
    <xf numFmtId="0" fontId="0" fillId="0" borderId="0" xfId="0" applyAlignment="1">
      <alignment horizontal="right"/>
    </xf>
    <xf numFmtId="0" fontId="2" fillId="14" borderId="10" xfId="2" applyFont="1" applyFill="1"/>
    <xf numFmtId="0" fontId="12" fillId="0" borderId="10" xfId="2" applyAlignment="1">
      <alignment horizontal="center"/>
    </xf>
    <xf numFmtId="0" fontId="12" fillId="0" borderId="10" xfId="2"/>
    <xf numFmtId="44" fontId="12" fillId="0" borderId="10" xfId="2" applyNumberFormat="1"/>
    <xf numFmtId="165" fontId="12" fillId="0" borderId="10" xfId="2" applyNumberFormat="1"/>
    <xf numFmtId="10" fontId="12" fillId="0" borderId="10" xfId="2" applyNumberFormat="1"/>
    <xf numFmtId="0" fontId="11" fillId="0" borderId="10" xfId="2" applyFont="1"/>
    <xf numFmtId="44" fontId="11" fillId="0" borderId="10" xfId="2" applyNumberFormat="1" applyFont="1"/>
    <xf numFmtId="10" fontId="11" fillId="0" borderId="10" xfId="2" applyNumberFormat="1" applyFont="1"/>
    <xf numFmtId="167" fontId="11" fillId="0" borderId="10" xfId="2" applyNumberFormat="1" applyFont="1"/>
    <xf numFmtId="10" fontId="11" fillId="0" borderId="10" xfId="1" applyNumberFormat="1" applyFont="1" applyBorder="1"/>
    <xf numFmtId="165" fontId="11" fillId="0" borderId="10" xfId="2" applyNumberFormat="1" applyFont="1"/>
    <xf numFmtId="14" fontId="4" fillId="16" borderId="4" xfId="0" applyNumberFormat="1" applyFont="1" applyFill="1" applyBorder="1" applyAlignment="1">
      <alignment horizontal="center"/>
    </xf>
    <xf numFmtId="14" fontId="13" fillId="14" borderId="1" xfId="0" applyNumberFormat="1" applyFont="1" applyFill="1" applyBorder="1" applyAlignment="1">
      <alignment horizontal="center"/>
    </xf>
    <xf numFmtId="0" fontId="13" fillId="14" borderId="2" xfId="0" applyFont="1" applyFill="1" applyBorder="1" applyAlignment="1">
      <alignment horizontal="center"/>
    </xf>
    <xf numFmtId="0" fontId="13" fillId="14" borderId="2" xfId="0" applyFont="1" applyFill="1" applyBorder="1" applyAlignment="1">
      <alignment horizontal="center" wrapText="1"/>
    </xf>
    <xf numFmtId="0" fontId="13" fillId="14" borderId="3" xfId="0" applyFont="1" applyFill="1" applyBorder="1" applyAlignment="1">
      <alignment horizontal="center"/>
    </xf>
    <xf numFmtId="14" fontId="14" fillId="0" borderId="4" xfId="0" applyNumberFormat="1" applyFont="1" applyBorder="1" applyAlignment="1">
      <alignment horizontal="center"/>
    </xf>
    <xf numFmtId="0" fontId="14" fillId="0" borderId="5" xfId="0" applyFont="1" applyBorder="1" applyAlignment="1">
      <alignment horizontal="center"/>
    </xf>
    <xf numFmtId="1" fontId="14" fillId="0" borderId="5" xfId="0" applyNumberFormat="1" applyFont="1" applyBorder="1" applyAlignment="1">
      <alignment horizontal="center"/>
    </xf>
    <xf numFmtId="164" fontId="14" fillId="0" borderId="5" xfId="0" applyNumberFormat="1" applyFont="1" applyBorder="1" applyAlignment="1">
      <alignment horizontal="center"/>
    </xf>
    <xf numFmtId="165" fontId="14" fillId="0" borderId="5" xfId="0" applyNumberFormat="1" applyFont="1" applyBorder="1" applyAlignment="1">
      <alignment horizontal="center"/>
    </xf>
    <xf numFmtId="10" fontId="14" fillId="0" borderId="5" xfId="1" applyNumberFormat="1" applyFont="1" applyBorder="1" applyAlignment="1">
      <alignment horizontal="center"/>
    </xf>
    <xf numFmtId="0" fontId="15" fillId="0" borderId="6" xfId="0" applyFont="1" applyBorder="1" applyAlignment="1">
      <alignment horizontal="center"/>
    </xf>
    <xf numFmtId="14" fontId="14" fillId="0" borderId="7" xfId="0" applyNumberFormat="1" applyFont="1" applyBorder="1" applyAlignment="1">
      <alignment horizontal="center"/>
    </xf>
    <xf numFmtId="0" fontId="14" fillId="0" borderId="8" xfId="0" applyFont="1" applyBorder="1" applyAlignment="1">
      <alignment horizontal="center"/>
    </xf>
    <xf numFmtId="1" fontId="14" fillId="0" borderId="8" xfId="0" applyNumberFormat="1" applyFont="1" applyBorder="1" applyAlignment="1">
      <alignment horizontal="center"/>
    </xf>
    <xf numFmtId="164" fontId="14" fillId="0" borderId="8" xfId="0" applyNumberFormat="1" applyFont="1" applyBorder="1" applyAlignment="1">
      <alignment horizontal="center"/>
    </xf>
    <xf numFmtId="165" fontId="14" fillId="0" borderId="8" xfId="0" applyNumberFormat="1" applyFont="1" applyBorder="1" applyAlignment="1">
      <alignment horizontal="center"/>
    </xf>
    <xf numFmtId="10" fontId="14" fillId="0" borderId="8" xfId="1" applyNumberFormat="1" applyFont="1" applyBorder="1" applyAlignment="1">
      <alignment horizontal="center"/>
    </xf>
    <xf numFmtId="0" fontId="15" fillId="0" borderId="9" xfId="0" applyFont="1" applyBorder="1" applyAlignment="1">
      <alignment horizontal="center"/>
    </xf>
    <xf numFmtId="0" fontId="14" fillId="0" borderId="7" xfId="0" applyFont="1" applyBorder="1" applyAlignment="1">
      <alignment horizontal="center"/>
    </xf>
    <xf numFmtId="0" fontId="16" fillId="0" borderId="0" xfId="0" applyFont="1"/>
    <xf numFmtId="0" fontId="17" fillId="0" borderId="0" xfId="0" applyFont="1"/>
    <xf numFmtId="9" fontId="18" fillId="3" borderId="0" xfId="0" applyNumberFormat="1" applyFont="1" applyFill="1"/>
    <xf numFmtId="9" fontId="16" fillId="20" borderId="0" xfId="0" applyNumberFormat="1" applyFont="1" applyFill="1"/>
    <xf numFmtId="9" fontId="16" fillId="0" borderId="0" xfId="0" applyNumberFormat="1" applyFont="1" applyAlignment="1">
      <alignment horizontal="center"/>
    </xf>
    <xf numFmtId="0" fontId="16" fillId="0" borderId="0" xfId="0" applyFont="1" applyAlignment="1">
      <alignment horizontal="center"/>
    </xf>
    <xf numFmtId="9" fontId="19" fillId="20" borderId="0" xfId="0" applyNumberFormat="1" applyFont="1" applyFill="1" applyAlignment="1">
      <alignment horizontal="right"/>
    </xf>
    <xf numFmtId="0" fontId="19" fillId="0" borderId="0" xfId="0" applyFont="1" applyAlignment="1">
      <alignment horizontal="center"/>
    </xf>
    <xf numFmtId="1" fontId="19" fillId="5" borderId="11" xfId="0" applyNumberFormat="1" applyFont="1" applyFill="1" applyBorder="1" applyAlignment="1">
      <alignment horizontal="center"/>
    </xf>
    <xf numFmtId="10" fontId="19" fillId="0" borderId="0" xfId="1" applyNumberFormat="1" applyFont="1" applyAlignment="1">
      <alignment horizontal="center"/>
    </xf>
    <xf numFmtId="164" fontId="19" fillId="0" borderId="0" xfId="0" applyNumberFormat="1" applyFont="1" applyAlignment="1">
      <alignment horizontal="center"/>
    </xf>
    <xf numFmtId="164" fontId="19" fillId="0" borderId="11" xfId="0" applyNumberFormat="1" applyFont="1" applyBorder="1" applyAlignment="1">
      <alignment horizontal="center"/>
    </xf>
    <xf numFmtId="164" fontId="19" fillId="0" borderId="11" xfId="1" applyNumberFormat="1" applyFont="1" applyBorder="1" applyAlignment="1">
      <alignment horizontal="center"/>
    </xf>
    <xf numFmtId="0" fontId="16" fillId="0" borderId="0" xfId="0" applyFont="1" applyAlignment="1">
      <alignment horizontal="right"/>
    </xf>
    <xf numFmtId="0" fontId="19" fillId="0" borderId="0" xfId="0" applyFont="1"/>
    <xf numFmtId="9" fontId="16" fillId="0" borderId="0" xfId="0" applyNumberFormat="1" applyFont="1" applyAlignment="1">
      <alignment horizontal="left"/>
    </xf>
    <xf numFmtId="10" fontId="19" fillId="0" borderId="0" xfId="0" applyNumberFormat="1" applyFont="1" applyAlignment="1">
      <alignment horizontal="center"/>
    </xf>
    <xf numFmtId="10" fontId="16" fillId="0" borderId="0" xfId="0" applyNumberFormat="1" applyFont="1" applyAlignment="1">
      <alignment horizontal="center"/>
    </xf>
    <xf numFmtId="9" fontId="19" fillId="0" borderId="0" xfId="0" applyNumberFormat="1" applyFont="1" applyAlignment="1">
      <alignment horizontal="right"/>
    </xf>
    <xf numFmtId="9" fontId="19" fillId="0" borderId="12" xfId="0" applyNumberFormat="1" applyFont="1" applyBorder="1" applyAlignment="1">
      <alignment horizontal="center"/>
    </xf>
    <xf numFmtId="10" fontId="19" fillId="0" borderId="12" xfId="1" applyNumberFormat="1" applyFont="1" applyBorder="1" applyAlignment="1">
      <alignment horizontal="center"/>
    </xf>
    <xf numFmtId="9" fontId="19" fillId="0" borderId="0" xfId="0" applyNumberFormat="1" applyFont="1" applyAlignment="1">
      <alignment horizontal="center"/>
    </xf>
    <xf numFmtId="9" fontId="20" fillId="0" borderId="0" xfId="0" applyNumberFormat="1" applyFont="1" applyAlignment="1">
      <alignment horizontal="right"/>
    </xf>
    <xf numFmtId="9" fontId="20" fillId="0" borderId="12" xfId="0" applyNumberFormat="1" applyFont="1" applyBorder="1" applyAlignment="1">
      <alignment horizontal="center"/>
    </xf>
    <xf numFmtId="10" fontId="20" fillId="0" borderId="12" xfId="1" applyNumberFormat="1" applyFont="1" applyBorder="1" applyAlignment="1">
      <alignment horizontal="center"/>
    </xf>
    <xf numFmtId="0" fontId="18" fillId="22" borderId="5" xfId="0" applyFont="1" applyFill="1" applyBorder="1"/>
    <xf numFmtId="0" fontId="16" fillId="0" borderId="5" xfId="0" applyFont="1" applyBorder="1" applyAlignment="1">
      <alignment horizontal="center" wrapText="1"/>
    </xf>
    <xf numFmtId="0" fontId="16" fillId="0" borderId="5" xfId="0" applyFont="1" applyBorder="1" applyAlignment="1">
      <alignment horizontal="center"/>
    </xf>
    <xf numFmtId="0" fontId="19" fillId="0" borderId="5" xfId="0" applyFont="1" applyBorder="1"/>
    <xf numFmtId="164" fontId="19" fillId="0" borderId="5" xfId="0" applyNumberFormat="1" applyFont="1" applyBorder="1" applyAlignment="1">
      <alignment horizontal="center"/>
    </xf>
    <xf numFmtId="10" fontId="19" fillId="0" borderId="5" xfId="1" applyNumberFormat="1" applyFont="1" applyBorder="1" applyAlignment="1">
      <alignment horizontal="center"/>
    </xf>
    <xf numFmtId="164" fontId="19" fillId="0" borderId="5" xfId="0" applyNumberFormat="1" applyFont="1" applyBorder="1"/>
    <xf numFmtId="164" fontId="18" fillId="18" borderId="5" xfId="0" applyNumberFormat="1" applyFont="1" applyFill="1" applyBorder="1" applyAlignment="1">
      <alignment horizontal="center"/>
    </xf>
    <xf numFmtId="164" fontId="18" fillId="3" borderId="5" xfId="0" applyNumberFormat="1" applyFont="1" applyFill="1" applyBorder="1" applyAlignment="1">
      <alignment horizontal="center"/>
    </xf>
    <xf numFmtId="164" fontId="18" fillId="16" borderId="5" xfId="0" applyNumberFormat="1" applyFont="1" applyFill="1" applyBorder="1" applyAlignment="1">
      <alignment horizontal="center"/>
    </xf>
    <xf numFmtId="164" fontId="18" fillId="3" borderId="5" xfId="0" applyNumberFormat="1" applyFont="1" applyFill="1" applyBorder="1"/>
    <xf numFmtId="164" fontId="2" fillId="16" borderId="0" xfId="0" applyNumberFormat="1" applyFont="1" applyFill="1" applyAlignment="1">
      <alignment horizontal="left"/>
    </xf>
    <xf numFmtId="164" fontId="19" fillId="0" borderId="5" xfId="1" applyNumberFormat="1" applyFont="1" applyBorder="1" applyAlignment="1">
      <alignment horizontal="center"/>
    </xf>
    <xf numFmtId="165" fontId="19" fillId="0" borderId="5" xfId="0" applyNumberFormat="1" applyFont="1" applyBorder="1" applyAlignment="1">
      <alignment horizontal="center"/>
    </xf>
    <xf numFmtId="165" fontId="21" fillId="15" borderId="5" xfId="0" applyNumberFormat="1" applyFont="1" applyFill="1" applyBorder="1" applyAlignment="1">
      <alignment horizontal="center"/>
    </xf>
    <xf numFmtId="164" fontId="21" fillId="15" borderId="5" xfId="1" applyNumberFormat="1" applyFont="1" applyFill="1" applyBorder="1" applyAlignment="1">
      <alignment horizontal="center"/>
    </xf>
    <xf numFmtId="164" fontId="21" fillId="15" borderId="5" xfId="0" applyNumberFormat="1" applyFont="1" applyFill="1" applyBorder="1" applyAlignment="1">
      <alignment horizontal="center"/>
    </xf>
    <xf numFmtId="0" fontId="0" fillId="0" borderId="5" xfId="0" applyBorder="1"/>
    <xf numFmtId="0" fontId="17" fillId="15" borderId="0" xfId="0" applyFont="1" applyFill="1"/>
    <xf numFmtId="0" fontId="16" fillId="0" borderId="8" xfId="0" applyFont="1" applyBorder="1" applyAlignment="1">
      <alignment horizontal="center"/>
    </xf>
    <xf numFmtId="164" fontId="0" fillId="0" borderId="5" xfId="0" applyNumberFormat="1" applyBorder="1"/>
    <xf numFmtId="164" fontId="19" fillId="0" borderId="4" xfId="0" applyNumberFormat="1" applyFont="1" applyBorder="1" applyAlignment="1">
      <alignment horizontal="center"/>
    </xf>
    <xf numFmtId="165" fontId="19" fillId="0" borderId="5" xfId="0" applyNumberFormat="1" applyFont="1" applyBorder="1"/>
    <xf numFmtId="164" fontId="18" fillId="18" borderId="5" xfId="1" applyNumberFormat="1" applyFont="1" applyFill="1" applyBorder="1" applyAlignment="1">
      <alignment horizontal="center"/>
    </xf>
    <xf numFmtId="164" fontId="18" fillId="16" borderId="5" xfId="0" applyNumberFormat="1" applyFont="1" applyFill="1" applyBorder="1"/>
    <xf numFmtId="164" fontId="2" fillId="3" borderId="0" xfId="0" applyNumberFormat="1" applyFont="1" applyFill="1"/>
    <xf numFmtId="164" fontId="2" fillId="23" borderId="2" xfId="0" applyNumberFormat="1" applyFont="1" applyFill="1" applyBorder="1" applyAlignment="1">
      <alignment horizontal="center"/>
    </xf>
    <xf numFmtId="164" fontId="18" fillId="3" borderId="2" xfId="0" applyNumberFormat="1" applyFont="1" applyFill="1" applyBorder="1"/>
    <xf numFmtId="164" fontId="2" fillId="9" borderId="0" xfId="0" applyNumberFormat="1" applyFont="1" applyFill="1"/>
    <xf numFmtId="0" fontId="22" fillId="24" borderId="0" xfId="0" applyFont="1" applyFill="1" applyAlignment="1">
      <alignment horizontal="center"/>
    </xf>
    <xf numFmtId="0" fontId="13" fillId="2" borderId="0" xfId="0" applyFont="1" applyFill="1" applyAlignment="1">
      <alignment horizontal="center"/>
    </xf>
    <xf numFmtId="164" fontId="13" fillId="2" borderId="0" xfId="0" applyNumberFormat="1" applyFont="1" applyFill="1" applyAlignment="1">
      <alignment horizontal="center"/>
    </xf>
    <xf numFmtId="164" fontId="2" fillId="24" borderId="0" xfId="0" applyNumberFormat="1" applyFont="1" applyFill="1" applyAlignment="1">
      <alignment horizontal="center"/>
    </xf>
    <xf numFmtId="9" fontId="23" fillId="9" borderId="16" xfId="0" applyNumberFormat="1" applyFont="1" applyFill="1" applyBorder="1" applyAlignment="1">
      <alignment horizontal="center"/>
    </xf>
    <xf numFmtId="0" fontId="24" fillId="0" borderId="16" xfId="0" applyFont="1" applyBorder="1" applyAlignment="1">
      <alignment horizontal="center"/>
    </xf>
    <xf numFmtId="0" fontId="24" fillId="0" borderId="18" xfId="0" applyFont="1" applyBorder="1" applyAlignment="1">
      <alignment horizontal="center"/>
    </xf>
    <xf numFmtId="0" fontId="26" fillId="0" borderId="13" xfId="0" applyFont="1" applyBorder="1"/>
    <xf numFmtId="0" fontId="27" fillId="0" borderId="14" xfId="0" applyFont="1" applyBorder="1"/>
    <xf numFmtId="0" fontId="27" fillId="0" borderId="15" xfId="0" applyFont="1" applyBorder="1"/>
    <xf numFmtId="0" fontId="27" fillId="0" borderId="16" xfId="0" applyFont="1" applyBorder="1"/>
    <xf numFmtId="0" fontId="27" fillId="0" borderId="0" xfId="0" applyFont="1"/>
    <xf numFmtId="164" fontId="28" fillId="0" borderId="17" xfId="0" applyNumberFormat="1" applyFont="1" applyBorder="1" applyAlignment="1">
      <alignment horizontal="right"/>
    </xf>
    <xf numFmtId="10" fontId="28" fillId="0" borderId="17" xfId="1" applyNumberFormat="1" applyFont="1" applyBorder="1"/>
    <xf numFmtId="0" fontId="27" fillId="0" borderId="17" xfId="0" applyFont="1" applyBorder="1" applyAlignment="1">
      <alignment horizontal="right"/>
    </xf>
    <xf numFmtId="0" fontId="26" fillId="0" borderId="16" xfId="0" applyFont="1" applyBorder="1"/>
    <xf numFmtId="0" fontId="27" fillId="0" borderId="18" xfId="0" applyFont="1" applyBorder="1"/>
    <xf numFmtId="0" fontId="27" fillId="0" borderId="19" xfId="0" applyFont="1" applyBorder="1"/>
    <xf numFmtId="10" fontId="28" fillId="0" borderId="20" xfId="1" applyNumberFormat="1" applyFont="1" applyBorder="1" applyAlignment="1">
      <alignment horizontal="right"/>
    </xf>
    <xf numFmtId="164" fontId="2" fillId="25" borderId="0" xfId="0" applyNumberFormat="1" applyFont="1" applyFill="1" applyAlignment="1">
      <alignment horizontal="center"/>
    </xf>
    <xf numFmtId="1" fontId="2" fillId="25" borderId="0" xfId="0" applyNumberFormat="1" applyFont="1" applyFill="1" applyAlignment="1">
      <alignment horizontal="center"/>
    </xf>
    <xf numFmtId="44" fontId="0" fillId="0" borderId="0" xfId="3" applyFont="1"/>
    <xf numFmtId="1" fontId="30" fillId="25" borderId="0" xfId="0" applyNumberFormat="1" applyFont="1" applyFill="1" applyAlignment="1">
      <alignment horizontal="center"/>
    </xf>
    <xf numFmtId="164" fontId="30" fillId="25" borderId="0" xfId="0" applyNumberFormat="1" applyFont="1" applyFill="1" applyAlignment="1">
      <alignment horizontal="center"/>
    </xf>
    <xf numFmtId="14" fontId="3" fillId="0" borderId="0" xfId="0" applyNumberFormat="1" applyFont="1"/>
    <xf numFmtId="167" fontId="0" fillId="0" borderId="0" xfId="0" applyNumberFormat="1"/>
    <xf numFmtId="164" fontId="31" fillId="25" borderId="0" xfId="0" applyNumberFormat="1" applyFont="1" applyFill="1" applyAlignment="1">
      <alignment horizontal="center"/>
    </xf>
    <xf numFmtId="0" fontId="30" fillId="14" borderId="0" xfId="0" applyFont="1" applyFill="1" applyAlignment="1">
      <alignment horizontal="center"/>
    </xf>
    <xf numFmtId="44" fontId="30" fillId="14" borderId="0" xfId="0" applyNumberFormat="1" applyFont="1" applyFill="1"/>
    <xf numFmtId="164" fontId="32" fillId="25" borderId="0" xfId="0" applyNumberFormat="1" applyFont="1" applyFill="1" applyAlignment="1">
      <alignment horizontal="center"/>
    </xf>
    <xf numFmtId="10" fontId="33" fillId="16" borderId="0" xfId="1" applyNumberFormat="1" applyFont="1" applyFill="1" applyAlignment="1">
      <alignment horizontal="center"/>
    </xf>
    <xf numFmtId="44" fontId="3" fillId="0" borderId="0" xfId="3" applyFont="1"/>
    <xf numFmtId="164" fontId="3" fillId="0" borderId="0" xfId="0" applyNumberFormat="1" applyFont="1"/>
    <xf numFmtId="14" fontId="0" fillId="0" borderId="0" xfId="0" applyNumberFormat="1" applyAlignment="1">
      <alignment horizontal="center"/>
    </xf>
    <xf numFmtId="167" fontId="0" fillId="0" borderId="0" xfId="0" applyNumberFormat="1" applyAlignment="1">
      <alignment horizontal="center"/>
    </xf>
    <xf numFmtId="0" fontId="0" fillId="0" borderId="21" xfId="0" applyBorder="1"/>
    <xf numFmtId="0" fontId="0" fillId="0" borderId="21" xfId="0" applyBorder="1" applyAlignment="1">
      <alignment horizontal="right"/>
    </xf>
    <xf numFmtId="164" fontId="0" fillId="0" borderId="21" xfId="0" applyNumberFormat="1" applyBorder="1"/>
    <xf numFmtId="44" fontId="0" fillId="0" borderId="21" xfId="3" applyFont="1" applyBorder="1"/>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13" xfId="0" applyBorder="1" applyAlignment="1">
      <alignment horizontal="center"/>
    </xf>
    <xf numFmtId="44" fontId="3" fillId="0" borderId="15" xfId="3" applyFont="1" applyBorder="1" applyAlignment="1">
      <alignment horizontal="center"/>
    </xf>
    <xf numFmtId="44" fontId="0" fillId="0" borderId="0" xfId="3" applyFont="1" applyAlignment="1">
      <alignment horizontal="center"/>
    </xf>
    <xf numFmtId="0" fontId="0" fillId="0" borderId="16" xfId="0" applyBorder="1" applyAlignment="1">
      <alignment horizontal="center"/>
    </xf>
    <xf numFmtId="44" fontId="3" fillId="0" borderId="17" xfId="3" applyFont="1" applyBorder="1" applyAlignment="1">
      <alignment horizontal="center"/>
    </xf>
    <xf numFmtId="0" fontId="0" fillId="0" borderId="18" xfId="0" applyBorder="1" applyAlignment="1">
      <alignment horizontal="center"/>
    </xf>
    <xf numFmtId="44" fontId="3" fillId="0" borderId="20" xfId="0" applyNumberFormat="1" applyFont="1" applyBorder="1" applyAlignment="1">
      <alignment horizontal="center"/>
    </xf>
    <xf numFmtId="0" fontId="34" fillId="0" borderId="0" xfId="0" applyFont="1"/>
    <xf numFmtId="0" fontId="3" fillId="0" borderId="23" xfId="0" applyFont="1" applyBorder="1"/>
    <xf numFmtId="0" fontId="2" fillId="26" borderId="28" xfId="0" applyFont="1" applyFill="1" applyBorder="1" applyAlignment="1">
      <alignment horizontal="center"/>
    </xf>
    <xf numFmtId="0" fontId="2" fillId="26" borderId="24" xfId="0" applyFont="1" applyFill="1" applyBorder="1" applyAlignment="1">
      <alignment horizontal="center"/>
    </xf>
    <xf numFmtId="0" fontId="2" fillId="0" borderId="0" xfId="0" applyFont="1"/>
    <xf numFmtId="0" fontId="0" fillId="0" borderId="29" xfId="0" applyBorder="1"/>
    <xf numFmtId="44" fontId="3" fillId="0" borderId="2" xfId="0" applyNumberFormat="1" applyFont="1" applyBorder="1" applyAlignment="1">
      <alignment horizontal="center"/>
    </xf>
    <xf numFmtId="44" fontId="3" fillId="0" borderId="30" xfId="0" applyNumberFormat="1" applyFont="1" applyBorder="1" applyAlignment="1">
      <alignment horizontal="center"/>
    </xf>
    <xf numFmtId="0" fontId="0" fillId="0" borderId="31" xfId="0" applyBorder="1"/>
    <xf numFmtId="44" fontId="3" fillId="0" borderId="32" xfId="0" applyNumberFormat="1" applyFont="1" applyBorder="1" applyAlignment="1">
      <alignment horizontal="center"/>
    </xf>
    <xf numFmtId="44" fontId="3" fillId="0" borderId="33" xfId="0" applyNumberFormat="1" applyFont="1" applyBorder="1" applyAlignment="1">
      <alignment horizontal="center"/>
    </xf>
    <xf numFmtId="0" fontId="17" fillId="0" borderId="0" xfId="0" applyFont="1" applyAlignment="1">
      <alignment horizontal="center"/>
    </xf>
    <xf numFmtId="0" fontId="17" fillId="0" borderId="22" xfId="0" applyFont="1" applyBorder="1" applyAlignment="1">
      <alignment horizontal="center"/>
    </xf>
    <xf numFmtId="0" fontId="0" fillId="0" borderId="13" xfId="0" applyBorder="1"/>
    <xf numFmtId="44" fontId="3" fillId="0" borderId="34" xfId="0" applyNumberFormat="1" applyFont="1" applyBorder="1" applyAlignment="1">
      <alignment horizontal="center"/>
    </xf>
    <xf numFmtId="10" fontId="0" fillId="0" borderId="34" xfId="1" applyNumberFormat="1" applyFont="1" applyBorder="1" applyAlignment="1">
      <alignment horizontal="center"/>
    </xf>
    <xf numFmtId="10" fontId="0" fillId="0" borderId="35" xfId="1" applyNumberFormat="1" applyFont="1" applyBorder="1" applyAlignment="1">
      <alignment horizontal="center"/>
    </xf>
    <xf numFmtId="0" fontId="0" fillId="0" borderId="18" xfId="0" applyBorder="1"/>
    <xf numFmtId="10" fontId="0" fillId="0" borderId="32" xfId="1" applyNumberFormat="1" applyFont="1" applyBorder="1" applyAlignment="1">
      <alignment horizontal="center"/>
    </xf>
    <xf numFmtId="10" fontId="0" fillId="0" borderId="33" xfId="1" applyNumberFormat="1" applyFont="1" applyBorder="1" applyAlignment="1">
      <alignment horizontal="center"/>
    </xf>
    <xf numFmtId="0" fontId="2" fillId="26" borderId="23" xfId="0" applyFont="1" applyFill="1" applyBorder="1" applyAlignment="1">
      <alignment horizontal="center"/>
    </xf>
    <xf numFmtId="0" fontId="0" fillId="0" borderId="36" xfId="0" applyBorder="1"/>
    <xf numFmtId="0" fontId="8" fillId="0" borderId="0" xfId="0" applyFont="1" applyAlignment="1">
      <alignment horizontal="left"/>
    </xf>
    <xf numFmtId="2" fontId="0" fillId="0" borderId="0" xfId="0" applyNumberFormat="1"/>
    <xf numFmtId="1" fontId="8" fillId="0" borderId="0" xfId="0" applyNumberFormat="1" applyFont="1"/>
    <xf numFmtId="49" fontId="0" fillId="0" borderId="0" xfId="0" applyNumberFormat="1" applyAlignment="1">
      <alignment horizontal="center"/>
    </xf>
    <xf numFmtId="10" fontId="0" fillId="0" borderId="0" xfId="0" applyNumberFormat="1"/>
    <xf numFmtId="10" fontId="8" fillId="0" borderId="0" xfId="0" applyNumberFormat="1" applyFont="1"/>
    <xf numFmtId="9" fontId="8" fillId="0" borderId="0" xfId="0" applyNumberFormat="1" applyFont="1"/>
    <xf numFmtId="2" fontId="8" fillId="0" borderId="0" xfId="0" applyNumberFormat="1" applyFont="1"/>
    <xf numFmtId="17" fontId="0" fillId="13" borderId="0" xfId="0" applyNumberFormat="1" applyFill="1"/>
    <xf numFmtId="17" fontId="0" fillId="13" borderId="0" xfId="0" applyNumberFormat="1" applyFill="1" applyAlignment="1">
      <alignment horizontal="center"/>
    </xf>
    <xf numFmtId="9" fontId="0" fillId="0" borderId="0" xfId="1" applyFont="1"/>
    <xf numFmtId="0" fontId="36" fillId="0" borderId="0" xfId="0" applyFont="1"/>
    <xf numFmtId="14" fontId="36" fillId="0" borderId="0" xfId="0" applyNumberFormat="1" applyFont="1"/>
    <xf numFmtId="0" fontId="36" fillId="0" borderId="0" xfId="0" applyFont="1" applyAlignment="1">
      <alignment horizontal="center"/>
    </xf>
    <xf numFmtId="44" fontId="36" fillId="0" borderId="0" xfId="0" applyNumberFormat="1" applyFont="1"/>
    <xf numFmtId="9" fontId="36" fillId="0" borderId="0" xfId="1" applyFont="1"/>
    <xf numFmtId="164" fontId="2" fillId="27" borderId="0" xfId="0" applyNumberFormat="1" applyFont="1" applyFill="1" applyAlignment="1">
      <alignment horizontal="left"/>
    </xf>
    <xf numFmtId="164" fontId="37" fillId="3" borderId="0" xfId="0" applyNumberFormat="1" applyFont="1" applyFill="1"/>
    <xf numFmtId="164" fontId="35" fillId="0" borderId="5" xfId="0" applyNumberFormat="1" applyFont="1" applyBorder="1"/>
    <xf numFmtId="164" fontId="2" fillId="27" borderId="0" xfId="0" applyNumberFormat="1" applyFont="1" applyFill="1"/>
    <xf numFmtId="10" fontId="36" fillId="0" borderId="0" xfId="1" applyNumberFormat="1" applyFont="1"/>
    <xf numFmtId="0" fontId="0" fillId="16" borderId="0" xfId="0" applyFill="1"/>
    <xf numFmtId="0" fontId="33" fillId="28" borderId="0" xfId="0" applyFont="1" applyFill="1" applyAlignment="1">
      <alignment horizontal="center"/>
    </xf>
    <xf numFmtId="164" fontId="19" fillId="0" borderId="0" xfId="1" applyNumberFormat="1" applyFont="1" applyAlignment="1">
      <alignment horizontal="center"/>
    </xf>
    <xf numFmtId="0" fontId="33" fillId="28" borderId="0" xfId="0" applyFont="1" applyFill="1" applyAlignment="1">
      <alignment horizontal="left"/>
    </xf>
    <xf numFmtId="0" fontId="0" fillId="0" borderId="42" xfId="0" applyBorder="1"/>
    <xf numFmtId="0" fontId="3" fillId="0" borderId="43" xfId="0" applyFont="1" applyBorder="1" applyAlignment="1">
      <alignment horizontal="center"/>
    </xf>
    <xf numFmtId="0" fontId="0" fillId="0" borderId="43" xfId="0" applyBorder="1"/>
    <xf numFmtId="0" fontId="0" fillId="0" borderId="43" xfId="0" applyBorder="1" applyAlignment="1">
      <alignment horizontal="center"/>
    </xf>
    <xf numFmtId="0" fontId="0" fillId="0" borderId="43" xfId="0" applyBorder="1" applyAlignment="1">
      <alignment horizontal="left"/>
    </xf>
    <xf numFmtId="0" fontId="0" fillId="0" borderId="44" xfId="0" applyBorder="1"/>
    <xf numFmtId="0" fontId="33" fillId="30" borderId="0" xfId="0" applyFont="1" applyFill="1"/>
    <xf numFmtId="0" fontId="0" fillId="30" borderId="0" xfId="0" applyFill="1"/>
    <xf numFmtId="0" fontId="33" fillId="30" borderId="0" xfId="0" applyFont="1" applyFill="1" applyAlignment="1">
      <alignment horizontal="left"/>
    </xf>
    <xf numFmtId="0" fontId="33" fillId="30" borderId="0" xfId="0" applyFont="1" applyFill="1" applyAlignment="1">
      <alignment horizontal="center"/>
    </xf>
    <xf numFmtId="0" fontId="37" fillId="29" borderId="38" xfId="0" applyFont="1" applyFill="1" applyBorder="1"/>
    <xf numFmtId="0" fontId="37" fillId="29" borderId="39" xfId="0" applyFont="1" applyFill="1" applyBorder="1" applyAlignment="1">
      <alignment horizontal="center"/>
    </xf>
    <xf numFmtId="0" fontId="37" fillId="29" borderId="39" xfId="0" applyFont="1" applyFill="1" applyBorder="1"/>
    <xf numFmtId="14" fontId="36" fillId="0" borderId="38" xfId="0" applyNumberFormat="1" applyFont="1" applyBorder="1"/>
    <xf numFmtId="0" fontId="36" fillId="0" borderId="39" xfId="0" applyFont="1" applyBorder="1" applyAlignment="1">
      <alignment horizontal="center"/>
    </xf>
    <xf numFmtId="0" fontId="36" fillId="0" borderId="39" xfId="0" applyFont="1" applyBorder="1"/>
    <xf numFmtId="44" fontId="36" fillId="0" borderId="39" xfId="0" applyNumberFormat="1" applyFont="1" applyBorder="1"/>
    <xf numFmtId="0" fontId="38" fillId="0" borderId="40" xfId="0" applyFont="1" applyBorder="1"/>
    <xf numFmtId="0" fontId="38" fillId="0" borderId="41" xfId="0" applyFont="1" applyBorder="1" applyAlignment="1">
      <alignment horizontal="center"/>
    </xf>
    <xf numFmtId="0" fontId="38" fillId="0" borderId="41" xfId="0" applyFont="1" applyBorder="1"/>
    <xf numFmtId="44" fontId="38" fillId="0" borderId="41" xfId="0" applyNumberFormat="1" applyFont="1" applyBorder="1"/>
    <xf numFmtId="9" fontId="18" fillId="30" borderId="0" xfId="0" applyNumberFormat="1" applyFont="1" applyFill="1"/>
    <xf numFmtId="0" fontId="2" fillId="30" borderId="0" xfId="0" applyFont="1" applyFill="1"/>
    <xf numFmtId="0" fontId="30" fillId="15" borderId="0" xfId="0" applyFont="1" applyFill="1"/>
    <xf numFmtId="9" fontId="18" fillId="15" borderId="0" xfId="0" applyNumberFormat="1" applyFont="1" applyFill="1"/>
    <xf numFmtId="0" fontId="16" fillId="15" borderId="0" xfId="0" applyFont="1" applyFill="1" applyAlignment="1">
      <alignment horizontal="center"/>
    </xf>
    <xf numFmtId="10" fontId="19" fillId="15" borderId="0" xfId="1" applyNumberFormat="1" applyFont="1" applyFill="1" applyAlignment="1">
      <alignment horizontal="center"/>
    </xf>
    <xf numFmtId="0" fontId="2" fillId="15" borderId="0" xfId="0" applyFont="1" applyFill="1"/>
    <xf numFmtId="0" fontId="33" fillId="16" borderId="0" xfId="0" applyFont="1" applyFill="1"/>
    <xf numFmtId="0" fontId="33" fillId="16" borderId="0" xfId="0" applyFont="1" applyFill="1" applyAlignment="1">
      <alignment horizontal="left"/>
    </xf>
    <xf numFmtId="0" fontId="33" fillId="16" borderId="0" xfId="0" applyFont="1" applyFill="1" applyAlignment="1">
      <alignment horizontal="center"/>
    </xf>
    <xf numFmtId="14" fontId="15" fillId="0" borderId="45" xfId="0" applyNumberFormat="1" applyFont="1" applyBorder="1" applyAlignment="1">
      <alignment horizontal="center"/>
    </xf>
    <xf numFmtId="0" fontId="15" fillId="0" borderId="5" xfId="0" applyFont="1" applyBorder="1" applyAlignment="1">
      <alignment horizontal="center"/>
    </xf>
    <xf numFmtId="1" fontId="15" fillId="0" borderId="5" xfId="0" applyNumberFormat="1" applyFont="1" applyBorder="1" applyAlignment="1">
      <alignment horizontal="center"/>
    </xf>
    <xf numFmtId="164" fontId="15" fillId="0" borderId="5" xfId="0" applyNumberFormat="1" applyFont="1" applyBorder="1" applyAlignment="1">
      <alignment horizontal="center"/>
    </xf>
    <xf numFmtId="165" fontId="15" fillId="0" borderId="5" xfId="0" applyNumberFormat="1" applyFont="1" applyBorder="1" applyAlignment="1">
      <alignment horizontal="center"/>
    </xf>
    <xf numFmtId="0" fontId="39" fillId="0" borderId="48" xfId="0" applyFont="1" applyBorder="1" applyAlignment="1">
      <alignment horizontal="center"/>
    </xf>
    <xf numFmtId="0" fontId="39" fillId="0" borderId="49" xfId="0" applyFont="1" applyBorder="1" applyAlignment="1">
      <alignment horizontal="center"/>
    </xf>
    <xf numFmtId="165" fontId="39" fillId="0" borderId="49" xfId="0" applyNumberFormat="1" applyFont="1" applyBorder="1" applyAlignment="1">
      <alignment horizontal="center"/>
    </xf>
    <xf numFmtId="165" fontId="15" fillId="0" borderId="49" xfId="0" applyNumberFormat="1" applyFont="1" applyBorder="1" applyAlignment="1">
      <alignment horizontal="center"/>
    </xf>
    <xf numFmtId="14" fontId="37" fillId="14" borderId="46" xfId="0" applyNumberFormat="1" applyFont="1" applyFill="1" applyBorder="1" applyAlignment="1">
      <alignment horizontal="center"/>
    </xf>
    <xf numFmtId="0" fontId="37" fillId="14" borderId="47" xfId="0" applyFont="1" applyFill="1" applyBorder="1" applyAlignment="1">
      <alignment horizontal="center"/>
    </xf>
    <xf numFmtId="0" fontId="39" fillId="0" borderId="50" xfId="0" applyFont="1" applyBorder="1" applyAlignment="1">
      <alignment horizontal="center"/>
    </xf>
    <xf numFmtId="0" fontId="39" fillId="0" borderId="8" xfId="0" applyFont="1" applyBorder="1" applyAlignment="1">
      <alignment horizontal="center"/>
    </xf>
    <xf numFmtId="165" fontId="39" fillId="0" borderId="8" xfId="0" applyNumberFormat="1" applyFont="1" applyBorder="1" applyAlignment="1">
      <alignment horizontal="center"/>
    </xf>
    <xf numFmtId="0" fontId="38" fillId="0" borderId="0" xfId="0" applyFont="1"/>
    <xf numFmtId="0" fontId="38" fillId="0" borderId="0" xfId="0" applyFont="1" applyAlignment="1">
      <alignment horizontal="center"/>
    </xf>
    <xf numFmtId="44" fontId="38" fillId="0" borderId="0" xfId="0" applyNumberFormat="1" applyFont="1"/>
    <xf numFmtId="165" fontId="40" fillId="0" borderId="5" xfId="0" applyNumberFormat="1" applyFont="1" applyBorder="1" applyAlignment="1">
      <alignment horizontal="center"/>
    </xf>
    <xf numFmtId="165" fontId="4" fillId="31" borderId="8" xfId="0" applyNumberFormat="1" applyFont="1" applyFill="1" applyBorder="1" applyAlignment="1">
      <alignment horizontal="center"/>
    </xf>
    <xf numFmtId="0" fontId="2" fillId="0" borderId="2" xfId="0" applyFont="1" applyBorder="1" applyAlignment="1">
      <alignment horizontal="center"/>
    </xf>
    <xf numFmtId="14" fontId="15" fillId="0" borderId="0" xfId="0" applyNumberFormat="1" applyFont="1" applyAlignment="1">
      <alignment horizontal="center"/>
    </xf>
    <xf numFmtId="0" fontId="15" fillId="0" borderId="0" xfId="0" applyFont="1" applyAlignment="1">
      <alignment horizontal="center"/>
    </xf>
    <xf numFmtId="1" fontId="15" fillId="0" borderId="0" xfId="0" applyNumberFormat="1" applyFont="1" applyAlignment="1">
      <alignment horizontal="center"/>
    </xf>
    <xf numFmtId="164" fontId="15" fillId="0" borderId="0" xfId="0" applyNumberFormat="1" applyFont="1" applyAlignment="1">
      <alignment horizontal="center"/>
    </xf>
    <xf numFmtId="165" fontId="15" fillId="0" borderId="0" xfId="0" applyNumberFormat="1" applyFont="1" applyAlignment="1">
      <alignment horizontal="center"/>
    </xf>
    <xf numFmtId="14" fontId="0" fillId="0" borderId="21" xfId="0" applyNumberFormat="1" applyBorder="1"/>
    <xf numFmtId="44" fontId="0" fillId="0" borderId="21" xfId="0" applyNumberFormat="1" applyBorder="1"/>
    <xf numFmtId="0" fontId="39" fillId="0" borderId="21" xfId="0" applyFont="1" applyBorder="1" applyAlignment="1">
      <alignment horizontal="center"/>
    </xf>
    <xf numFmtId="165" fontId="39" fillId="0" borderId="21" xfId="0" applyNumberFormat="1" applyFont="1" applyBorder="1" applyAlignment="1">
      <alignment horizontal="center"/>
    </xf>
    <xf numFmtId="0" fontId="2" fillId="14" borderId="0" xfId="0" applyFont="1" applyFill="1"/>
    <xf numFmtId="0" fontId="39" fillId="0" borderId="0" xfId="0" applyFont="1" applyAlignment="1">
      <alignment horizontal="center"/>
    </xf>
    <xf numFmtId="0" fontId="15" fillId="0" borderId="21" xfId="0" applyFont="1" applyBorder="1" applyAlignment="1">
      <alignment horizontal="center"/>
    </xf>
    <xf numFmtId="1" fontId="15" fillId="0" borderId="21" xfId="0" applyNumberFormat="1" applyFont="1" applyBorder="1" applyAlignment="1">
      <alignment horizontal="center"/>
    </xf>
    <xf numFmtId="164" fontId="15" fillId="0" borderId="21" xfId="0" applyNumberFormat="1" applyFont="1" applyBorder="1" applyAlignment="1">
      <alignment horizontal="center"/>
    </xf>
    <xf numFmtId="14" fontId="37" fillId="14" borderId="51" xfId="0" applyNumberFormat="1" applyFont="1" applyFill="1" applyBorder="1" applyAlignment="1">
      <alignment horizontal="center"/>
    </xf>
    <xf numFmtId="0" fontId="37" fillId="14" borderId="52" xfId="0" applyFont="1" applyFill="1" applyBorder="1" applyAlignment="1">
      <alignment horizontal="center"/>
    </xf>
    <xf numFmtId="14" fontId="41" fillId="0" borderId="21" xfId="0" applyNumberFormat="1" applyFont="1" applyBorder="1"/>
    <xf numFmtId="0" fontId="41" fillId="0" borderId="21" xfId="0" applyFont="1" applyBorder="1" applyAlignment="1">
      <alignment horizontal="center"/>
    </xf>
    <xf numFmtId="0" fontId="41" fillId="0" borderId="21" xfId="0" applyFont="1" applyBorder="1"/>
    <xf numFmtId="44" fontId="41" fillId="0" borderId="21" xfId="0" applyNumberFormat="1" applyFont="1" applyBorder="1"/>
    <xf numFmtId="44" fontId="42" fillId="0" borderId="21" xfId="0" applyNumberFormat="1" applyFont="1" applyBorder="1"/>
    <xf numFmtId="14" fontId="17" fillId="0" borderId="21" xfId="0" applyNumberFormat="1" applyFont="1" applyBorder="1"/>
    <xf numFmtId="0" fontId="17" fillId="0" borderId="21" xfId="0" applyFont="1" applyBorder="1"/>
    <xf numFmtId="44" fontId="17" fillId="0" borderId="21" xfId="0" applyNumberFormat="1" applyFont="1" applyBorder="1"/>
    <xf numFmtId="0" fontId="43" fillId="15" borderId="0" xfId="0" applyFont="1" applyFill="1"/>
    <xf numFmtId="0" fontId="13" fillId="30" borderId="0" xfId="0" applyFont="1" applyFill="1"/>
    <xf numFmtId="9" fontId="44" fillId="20" borderId="0" xfId="0" applyNumberFormat="1" applyFont="1" applyFill="1"/>
    <xf numFmtId="9" fontId="44" fillId="0" borderId="0" xfId="0" applyNumberFormat="1" applyFont="1" applyAlignment="1">
      <alignment horizontal="center"/>
    </xf>
    <xf numFmtId="0" fontId="44" fillId="0" borderId="0" xfId="0" applyFont="1" applyAlignment="1">
      <alignment horizontal="center"/>
    </xf>
    <xf numFmtId="9" fontId="13" fillId="30" borderId="0" xfId="0" applyNumberFormat="1" applyFont="1" applyFill="1"/>
    <xf numFmtId="9" fontId="17" fillId="20" borderId="0" xfId="0" applyNumberFormat="1" applyFont="1" applyFill="1" applyAlignment="1">
      <alignment horizontal="right"/>
    </xf>
    <xf numFmtId="1" fontId="44" fillId="5" borderId="11" xfId="0" applyNumberFormat="1" applyFont="1" applyFill="1" applyBorder="1" applyAlignment="1">
      <alignment horizontal="center"/>
    </xf>
    <xf numFmtId="10" fontId="17" fillId="0" borderId="0" xfId="1" applyNumberFormat="1" applyFont="1" applyAlignment="1">
      <alignment horizontal="center"/>
    </xf>
    <xf numFmtId="164" fontId="17" fillId="0" borderId="0" xfId="0" applyNumberFormat="1" applyFont="1" applyAlignment="1">
      <alignment horizontal="center"/>
    </xf>
    <xf numFmtId="164" fontId="17" fillId="0" borderId="11" xfId="0" applyNumberFormat="1" applyFont="1" applyBorder="1" applyAlignment="1">
      <alignment horizontal="center"/>
    </xf>
    <xf numFmtId="164" fontId="17" fillId="0" borderId="11" xfId="1" applyNumberFormat="1" applyFont="1" applyBorder="1" applyAlignment="1">
      <alignment horizontal="center"/>
    </xf>
    <xf numFmtId="164" fontId="17" fillId="0" borderId="0" xfId="1" applyNumberFormat="1" applyFont="1" applyAlignment="1">
      <alignment horizontal="center"/>
    </xf>
    <xf numFmtId="0" fontId="13" fillId="28" borderId="0" xfId="0" applyFont="1" applyFill="1" applyAlignment="1">
      <alignment horizontal="left"/>
    </xf>
    <xf numFmtId="0" fontId="13" fillId="28" borderId="0" xfId="0" applyFont="1" applyFill="1" applyAlignment="1">
      <alignment horizontal="center"/>
    </xf>
    <xf numFmtId="0" fontId="17" fillId="16" borderId="0" xfId="0" applyFont="1" applyFill="1"/>
    <xf numFmtId="0" fontId="13" fillId="16" borderId="0" xfId="0" applyFont="1" applyFill="1"/>
    <xf numFmtId="0" fontId="44" fillId="0" borderId="0" xfId="0" applyFont="1"/>
    <xf numFmtId="0" fontId="17" fillId="0" borderId="0" xfId="0" applyFont="1" applyAlignment="1">
      <alignment horizontal="left"/>
    </xf>
    <xf numFmtId="0" fontId="13" fillId="14" borderId="0" xfId="0" applyFont="1" applyFill="1"/>
    <xf numFmtId="0" fontId="45" fillId="0" borderId="0" xfId="0" applyFont="1" applyAlignment="1">
      <alignment horizontal="left"/>
    </xf>
    <xf numFmtId="0" fontId="46" fillId="0" borderId="0" xfId="0" pivotButton="1" applyFont="1"/>
    <xf numFmtId="0" fontId="46" fillId="0" borderId="0" xfId="0" applyFont="1"/>
    <xf numFmtId="0" fontId="46" fillId="0" borderId="0" xfId="0" applyFont="1" applyAlignment="1">
      <alignment horizontal="left"/>
    </xf>
    <xf numFmtId="9" fontId="46" fillId="0" borderId="0" xfId="0" applyNumberFormat="1" applyFont="1"/>
    <xf numFmtId="1" fontId="46" fillId="0" borderId="0" xfId="0" applyNumberFormat="1" applyFont="1"/>
    <xf numFmtId="9" fontId="47" fillId="0" borderId="0" xfId="0" applyNumberFormat="1" applyFont="1"/>
    <xf numFmtId="1" fontId="47" fillId="0" borderId="0" xfId="0" applyNumberFormat="1" applyFont="1"/>
    <xf numFmtId="0" fontId="47" fillId="0" borderId="0" xfId="0" applyFont="1" applyAlignment="1">
      <alignment horizontal="left"/>
    </xf>
    <xf numFmtId="0" fontId="48" fillId="8" borderId="0" xfId="0" applyFont="1" applyFill="1"/>
    <xf numFmtId="1" fontId="48" fillId="8" borderId="0" xfId="0" applyNumberFormat="1" applyFont="1" applyFill="1"/>
    <xf numFmtId="0" fontId="48" fillId="8" borderId="0" xfId="0" applyFont="1" applyFill="1" applyAlignment="1">
      <alignment horizontal="left"/>
    </xf>
    <xf numFmtId="165" fontId="45" fillId="0" borderId="0" xfId="0" applyNumberFormat="1" applyFont="1"/>
    <xf numFmtId="0" fontId="49" fillId="8" borderId="0" xfId="0" applyFont="1" applyFill="1"/>
    <xf numFmtId="165" fontId="46" fillId="0" borderId="0" xfId="0" applyNumberFormat="1" applyFont="1"/>
    <xf numFmtId="0" fontId="49" fillId="8" borderId="0" xfId="0" applyFont="1" applyFill="1" applyAlignment="1">
      <alignment horizontal="left"/>
    </xf>
    <xf numFmtId="165" fontId="49" fillId="8" borderId="0" xfId="0" applyNumberFormat="1" applyFont="1" applyFill="1"/>
    <xf numFmtId="1" fontId="49" fillId="8" borderId="0" xfId="0" applyNumberFormat="1" applyFont="1" applyFill="1"/>
    <xf numFmtId="0" fontId="50" fillId="8" borderId="0" xfId="0" applyFont="1" applyFill="1"/>
    <xf numFmtId="0" fontId="50" fillId="8" borderId="0" xfId="0" applyFont="1" applyFill="1" applyAlignment="1">
      <alignment horizontal="left"/>
    </xf>
    <xf numFmtId="165" fontId="50" fillId="8" borderId="0" xfId="0" applyNumberFormat="1" applyFont="1" applyFill="1"/>
    <xf numFmtId="1" fontId="0" fillId="0" borderId="0" xfId="0" applyNumberFormat="1" applyAlignment="1">
      <alignment horizontal="center"/>
    </xf>
    <xf numFmtId="0" fontId="0" fillId="13" borderId="0" xfId="0" applyFill="1" applyAlignment="1">
      <alignment horizontal="center"/>
    </xf>
    <xf numFmtId="10" fontId="0" fillId="5" borderId="0" xfId="1" applyNumberFormat="1" applyFont="1" applyFill="1"/>
    <xf numFmtId="0" fontId="4" fillId="16" borderId="5" xfId="0" applyFont="1" applyFill="1" applyBorder="1" applyAlignment="1">
      <alignment horizontal="center"/>
    </xf>
    <xf numFmtId="14" fontId="4" fillId="16" borderId="5" xfId="0" applyNumberFormat="1" applyFont="1" applyFill="1" applyBorder="1" applyAlignment="1">
      <alignment horizontal="center"/>
    </xf>
    <xf numFmtId="0" fontId="4" fillId="16" borderId="8" xfId="0" applyFont="1" applyFill="1" applyBorder="1" applyAlignment="1">
      <alignment horizontal="center"/>
    </xf>
    <xf numFmtId="165" fontId="4" fillId="5" borderId="8" xfId="0" applyNumberFormat="1" applyFont="1" applyFill="1" applyBorder="1" applyAlignment="1">
      <alignment horizontal="center"/>
    </xf>
    <xf numFmtId="1" fontId="4" fillId="16" borderId="5" xfId="0" applyNumberFormat="1" applyFont="1" applyFill="1" applyBorder="1" applyAlignment="1">
      <alignment horizontal="center"/>
    </xf>
    <xf numFmtId="164" fontId="4" fillId="16" borderId="5" xfId="0" applyNumberFormat="1" applyFont="1" applyFill="1" applyBorder="1" applyAlignment="1">
      <alignment horizontal="center"/>
    </xf>
    <xf numFmtId="165" fontId="4" fillId="16" borderId="5" xfId="0" applyNumberFormat="1" applyFont="1" applyFill="1" applyBorder="1" applyAlignment="1">
      <alignment horizontal="center"/>
    </xf>
    <xf numFmtId="165" fontId="4" fillId="16" borderId="8" xfId="0" applyNumberFormat="1" applyFont="1" applyFill="1" applyBorder="1" applyAlignment="1">
      <alignment horizontal="center"/>
    </xf>
    <xf numFmtId="10" fontId="4" fillId="16" borderId="5" xfId="1" applyNumberFormat="1" applyFont="1" applyFill="1" applyBorder="1" applyAlignment="1">
      <alignment horizontal="center"/>
    </xf>
    <xf numFmtId="0" fontId="5" fillId="16" borderId="6" xfId="0" applyFont="1" applyFill="1" applyBorder="1" applyAlignment="1">
      <alignment horizontal="center"/>
    </xf>
    <xf numFmtId="0" fontId="0" fillId="14" borderId="0" xfId="0" applyFill="1"/>
    <xf numFmtId="165" fontId="4" fillId="32" borderId="8" xfId="0" applyNumberFormat="1" applyFont="1" applyFill="1" applyBorder="1" applyAlignment="1">
      <alignment horizontal="center"/>
    </xf>
    <xf numFmtId="9" fontId="1" fillId="0" borderId="0" xfId="1"/>
    <xf numFmtId="10" fontId="4" fillId="33" borderId="5" xfId="1" applyNumberFormat="1" applyFont="1" applyFill="1" applyBorder="1" applyAlignment="1">
      <alignment horizontal="center"/>
    </xf>
    <xf numFmtId="0" fontId="7" fillId="10" borderId="0" xfId="0" applyFont="1" applyFill="1" applyAlignment="1">
      <alignment horizontal="center"/>
    </xf>
    <xf numFmtId="0" fontId="0" fillId="0" borderId="0" xfId="0"/>
    <xf numFmtId="9" fontId="18" fillId="30" borderId="0" xfId="0" applyNumberFormat="1" applyFont="1" applyFill="1" applyAlignment="1">
      <alignment horizontal="center"/>
    </xf>
    <xf numFmtId="9" fontId="13" fillId="30" borderId="0" xfId="0" applyNumberFormat="1" applyFont="1" applyFill="1" applyAlignment="1">
      <alignment horizontal="center"/>
    </xf>
    <xf numFmtId="9" fontId="18" fillId="19" borderId="0" xfId="0" applyNumberFormat="1" applyFont="1" applyFill="1" applyAlignment="1">
      <alignment horizontal="center"/>
    </xf>
    <xf numFmtId="0" fontId="36" fillId="0" borderId="0" xfId="0" applyFont="1"/>
    <xf numFmtId="164" fontId="29" fillId="0" borderId="17" xfId="0" applyNumberFormat="1" applyFont="1" applyBorder="1" applyAlignment="1">
      <alignment horizontal="center"/>
    </xf>
    <xf numFmtId="0" fontId="0" fillId="0" borderId="17" xfId="0" applyBorder="1"/>
    <xf numFmtId="0" fontId="19" fillId="0" borderId="5" xfId="0" applyFont="1" applyBorder="1" applyAlignment="1">
      <alignment horizontal="center" vertical="center"/>
    </xf>
    <xf numFmtId="0" fontId="0" fillId="0" borderId="2" xfId="0" applyBorder="1"/>
    <xf numFmtId="9" fontId="18" fillId="21" borderId="0" xfId="0" applyNumberFormat="1" applyFont="1" applyFill="1" applyAlignment="1">
      <alignment horizontal="center"/>
    </xf>
    <xf numFmtId="9" fontId="18" fillId="17" borderId="0" xfId="0" applyNumberFormat="1" applyFont="1" applyFill="1" applyAlignment="1">
      <alignment horizontal="center"/>
    </xf>
    <xf numFmtId="9" fontId="18" fillId="18" borderId="0" xfId="0" applyNumberFormat="1" applyFont="1" applyFill="1" applyAlignment="1">
      <alignment horizontal="center"/>
    </xf>
    <xf numFmtId="9" fontId="23" fillId="9" borderId="17" xfId="0" applyNumberFormat="1" applyFont="1" applyFill="1" applyBorder="1" applyAlignment="1">
      <alignment horizontal="center"/>
    </xf>
    <xf numFmtId="9" fontId="18" fillId="3" borderId="0" xfId="0" applyNumberFormat="1" applyFont="1" applyFill="1" applyAlignment="1">
      <alignment horizontal="center"/>
    </xf>
    <xf numFmtId="9" fontId="23" fillId="9" borderId="25" xfId="0" applyNumberFormat="1" applyFont="1" applyFill="1" applyBorder="1" applyAlignment="1">
      <alignment horizontal="center"/>
    </xf>
    <xf numFmtId="0" fontId="0" fillId="0" borderId="14" xfId="0" applyBorder="1"/>
    <xf numFmtId="0" fontId="0" fillId="0" borderId="15" xfId="0" applyBorder="1"/>
    <xf numFmtId="0" fontId="0" fillId="0" borderId="37" xfId="0" applyBorder="1"/>
    <xf numFmtId="164" fontId="29" fillId="0" borderId="20" xfId="0" applyNumberFormat="1" applyFont="1" applyBorder="1" applyAlignment="1">
      <alignment horizontal="center"/>
    </xf>
    <xf numFmtId="0" fontId="0" fillId="0" borderId="20" xfId="0" applyBorder="1"/>
    <xf numFmtId="164" fontId="25" fillId="0" borderId="17" xfId="0" applyNumberFormat="1" applyFont="1" applyBorder="1" applyAlignment="1">
      <alignment horizontal="center"/>
    </xf>
    <xf numFmtId="0" fontId="2" fillId="9" borderId="0" xfId="0" applyFont="1" applyFill="1" applyAlignment="1">
      <alignment horizontal="center"/>
    </xf>
    <xf numFmtId="0" fontId="7" fillId="7" borderId="0" xfId="0" applyFont="1" applyFill="1" applyAlignment="1">
      <alignment horizontal="left"/>
    </xf>
    <xf numFmtId="0" fontId="0" fillId="0" borderId="19" xfId="0" applyBorder="1" applyAlignment="1">
      <alignment horizontal="center"/>
    </xf>
    <xf numFmtId="0" fontId="0" fillId="0" borderId="19" xfId="0" applyBorder="1"/>
    <xf numFmtId="164" fontId="3" fillId="0" borderId="22" xfId="0" applyNumberFormat="1" applyFont="1" applyBorder="1" applyAlignment="1">
      <alignment horizontal="center" vertical="center"/>
    </xf>
    <xf numFmtId="0" fontId="0" fillId="0" borderId="26" xfId="0" applyBorder="1"/>
    <xf numFmtId="0" fontId="0" fillId="0" borderId="27" xfId="0" applyBorder="1"/>
    <xf numFmtId="0" fontId="0" fillId="0" borderId="0" xfId="0" applyFill="1" applyAlignment="1">
      <alignment horizontal="center"/>
    </xf>
  </cellXfs>
  <cellStyles count="4">
    <cellStyle name="Célula Vinculada" xfId="2" builtinId="24"/>
    <cellStyle name="Moeda" xfId="3" builtinId="4"/>
    <cellStyle name="Normal" xfId="0" builtinId="0"/>
    <cellStyle name="Porcentagem" xfId="1" builtinId="5"/>
  </cellStyles>
  <dxfs count="39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center" vertical="bottom"/>
    </dxf>
    <dxf>
      <alignment horizontal="center" vertical="bottom"/>
    </dxf>
    <dxf>
      <numFmt numFmtId="19" formatCode="dd/mm/yyyy"/>
      <alignment horizontal="center" vertical="bottom"/>
    </dxf>
    <dxf>
      <numFmt numFmtId="167" formatCode="_-[$R$-416]\ * #,##0.00_-;\-[$R$-416]\ * #,##0.00_-;_-[$R$-416]\ * &quot;-&quot;??_-;_-@_-"/>
      <alignment horizontal="center" vertical="bottom"/>
    </dxf>
    <dxf>
      <alignment horizontal="center" vertical="bottom"/>
    </dxf>
    <dxf>
      <numFmt numFmtId="19" formatCode="dd/mm/yyyy"/>
      <alignment horizontal="center" vertical="bottom"/>
    </dxf>
    <dxf>
      <alignment horizontal="center" vertical="bottom"/>
    </dxf>
    <dxf>
      <font>
        <b/>
        <strike val="0"/>
        <condense val="0"/>
        <extend val="0"/>
        <outline val="0"/>
        <shadow val="0"/>
        <vertAlign val="baseline"/>
        <sz val="11"/>
        <color theme="1"/>
        <name val="Aptos Narrow"/>
        <family val="2"/>
        <scheme val="minor"/>
      </font>
      <alignment horizontal="center" vertical="bottom"/>
    </dxf>
    <dxf>
      <alignment horizontal="center"/>
    </dxf>
    <dxf>
      <alignment horizontal="center"/>
    </dxf>
    <dxf>
      <numFmt numFmtId="164" formatCode="&quot;R$&quot;\ #,##0.00"/>
    </dxf>
    <dxf>
      <numFmt numFmtId="34" formatCode="_-&quot;R$&quot;\ * #,##0.00_-;\-&quot;R$&quot;\ * #,##0.00_-;_-&quot;R$&quot;\ * &quot;-&quot;??_-;_-@_-"/>
    </dxf>
    <dxf>
      <font>
        <strike val="0"/>
        <condense val="0"/>
        <extend val="0"/>
        <outline val="0"/>
        <shadow val="0"/>
        <vertAlign val="baseline"/>
        <sz val="11"/>
        <color auto="1"/>
        <name val="Aptos Narrow"/>
        <family val="2"/>
        <scheme val="minor"/>
      </font>
      <alignment horizontal="center" vertical="bottom"/>
      <border outline="0">
        <left style="dotted">
          <color indexed="64"/>
        </left>
        <right/>
        <top style="dotted">
          <color indexed="64"/>
        </top>
        <bottom/>
      </border>
    </dxf>
    <dxf>
      <font>
        <strike val="0"/>
        <outline val="0"/>
        <shadow val="0"/>
        <vertAlign val="baseline"/>
        <sz val="11"/>
        <color auto="1"/>
        <name val="Calibri"/>
        <family val="2"/>
      </font>
      <fill>
        <patternFill>
          <fgColor rgb="FF000000"/>
          <bgColor rgb="FFFFFFFF"/>
        </patternFill>
      </fill>
      <alignment horizontal="center" vertical="bottom"/>
      <border>
        <left style="dotted">
          <color indexed="64"/>
        </left>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auto="1"/>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65" formatCode="&quot;R$&quot;#,##0.0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65" formatCode="&quot;R$&quot;#,##0.0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4" formatCode="0.0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1"/>
        <color auto="1"/>
        <name val="Aptos Narrow"/>
        <family val="2"/>
        <scheme val="minor"/>
      </font>
      <numFmt numFmtId="14" formatCode="0.0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horizontal/>
      </border>
    </dxf>
    <dxf>
      <font>
        <strike val="0"/>
        <condense val="0"/>
        <extend val="0"/>
        <outline val="0"/>
        <shadow val="0"/>
        <vertAlign val="baseline"/>
        <sz val="11"/>
        <color auto="1"/>
        <name val="Aptos Narrow"/>
        <family val="2"/>
        <scheme val="minor"/>
      </font>
      <numFmt numFmtId="1" formatCode="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 formatCode="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65" formatCode="&quot;R$&quot;#,##0.00"/>
      <fill>
        <patternFill>
          <fgColor indexed="64"/>
          <bgColor auto="1"/>
        </patternFill>
      </fill>
      <alignment horizontal="center" vertical="bottom"/>
      <border>
        <left style="dotted">
          <color indexed="64"/>
        </left>
        <right style="dotted">
          <color indexed="64"/>
        </right>
        <top style="dotted">
          <color indexed="64"/>
        </top>
        <bottom style="dotted">
          <color indexed="64"/>
        </bottom>
        <vertical/>
        <horizontal/>
      </border>
    </dxf>
    <dxf>
      <font>
        <strike val="0"/>
        <condense val="0"/>
        <extend val="0"/>
        <outline val="0"/>
        <shadow val="0"/>
        <vertAlign val="baseline"/>
        <sz val="11"/>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64" formatCode="&quot;R$&quot;\ #,##0.0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 formatCode="0"/>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numFmt numFmtId="1" formatCode="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indexed="65"/>
        </patternFill>
      </fill>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auto="1"/>
        </patternFill>
      </fill>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1"/>
        <color auto="1"/>
        <name val="Aptos Narrow"/>
        <family val="2"/>
        <scheme val="minor"/>
      </font>
      <alignment horizontal="center" vertical="bottom"/>
      <border outline="0">
        <left style="dotted">
          <color indexed="64"/>
        </left>
        <right style="dotted">
          <color indexed="64"/>
        </right>
        <top style="dotted">
          <color indexed="64"/>
        </top>
        <bottom/>
      </border>
    </dxf>
    <dxf>
      <font>
        <strike val="0"/>
        <outline val="0"/>
        <shadow val="0"/>
        <vertAlign val="baseline"/>
        <sz val="11"/>
        <color auto="1"/>
        <name val="Aptos Narrow"/>
        <family val="2"/>
        <scheme val="minor"/>
      </font>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style="dotted">
          <color indexed="64"/>
        </vertical>
        <horizontal style="dotted">
          <color indexed="64"/>
        </horizontal>
      </border>
    </dxf>
    <dxf>
      <font>
        <strike val="0"/>
        <condense val="0"/>
        <extend val="0"/>
        <outline val="0"/>
        <shadow val="0"/>
        <vertAlign val="baseline"/>
        <sz val="11"/>
        <color auto="1"/>
        <name val="Aptos Narrow"/>
        <family val="2"/>
        <scheme val="minor"/>
      </font>
      <numFmt numFmtId="19" formatCode="dd/mm/yyyy"/>
      <alignment horizontal="center" vertical="bottom"/>
      <border outline="0">
        <left/>
        <right style="dotted">
          <color indexed="64"/>
        </right>
        <top style="dotted">
          <color indexed="64"/>
        </top>
        <bottom/>
      </border>
    </dxf>
    <dxf>
      <font>
        <strike val="0"/>
        <outline val="0"/>
        <shadow val="0"/>
        <vertAlign val="baseline"/>
        <sz val="11"/>
        <color auto="1"/>
        <name val="Aptos Narrow"/>
        <family val="2"/>
        <scheme val="minor"/>
      </font>
      <numFmt numFmtId="19" formatCode="dd/mm/yyyy"/>
      <alignment horizontal="center" vertical="bottom"/>
      <border>
        <left/>
        <right style="dotted">
          <color indexed="64"/>
        </right>
        <top style="dotted">
          <color indexed="64"/>
        </top>
        <bottom style="dotted">
          <color indexed="64"/>
        </bottom>
        <vertical style="dotted">
          <color indexed="64"/>
        </vertical>
        <horizontal style="dotted">
          <color indexed="64"/>
        </horizontal>
      </border>
    </dxf>
    <dxf>
      <border>
        <top style="dotted">
          <color rgb="FF000000"/>
        </top>
      </border>
    </dxf>
    <dxf>
      <border>
        <left style="dotted">
          <color rgb="FF000000"/>
        </left>
        <right style="dotted">
          <color rgb="FF000000"/>
        </right>
        <top/>
        <bottom/>
        <vertical style="dotted">
          <color rgb="FF000000"/>
        </vertical>
        <horizontal style="dotted">
          <color rgb="FF000000"/>
        </horizontal>
      </border>
    </dxf>
    <dxf>
      <border>
        <left style="dotted">
          <color rgb="FF000000"/>
        </left>
        <right style="dotted">
          <color rgb="FF000000"/>
        </right>
        <top style="dotted">
          <color rgb="FF000000"/>
        </top>
        <bottom style="dotted">
          <color rgb="FF000000"/>
        </bottom>
      </border>
    </dxf>
    <dxf>
      <font>
        <strike val="0"/>
        <outline val="0"/>
        <shadow val="0"/>
        <vertAlign val="baseline"/>
        <sz val="11"/>
        <color auto="1"/>
        <name val="Calibri"/>
        <family val="2"/>
      </font>
      <fill>
        <patternFill>
          <fgColor rgb="FF000000"/>
          <bgColor rgb="FFFFFFFF"/>
        </patternFill>
      </fill>
      <alignment horizontal="center" vertical="bottom"/>
    </dxf>
    <dxf>
      <border>
        <bottom style="dotted">
          <color rgb="FF000000"/>
        </bottom>
      </border>
    </dxf>
    <dxf>
      <font>
        <b/>
        <strike val="0"/>
        <condense val="0"/>
        <extend val="0"/>
        <outline val="0"/>
        <shadow val="0"/>
        <vertAlign val="baseline"/>
        <sz val="11"/>
        <color theme="0"/>
        <name val="Aptos Narrow"/>
        <family val="2"/>
        <scheme val="minor"/>
      </font>
      <fill>
        <patternFill patternType="solid">
          <fgColor indexed="64"/>
          <bgColor theme="0" tint="-0.499984740745262"/>
        </patternFill>
      </fill>
      <alignment horizontal="center" vertical="bottom"/>
      <border>
        <left style="dotted">
          <color indexed="64"/>
        </left>
        <right style="dotted">
          <color indexed="64"/>
        </right>
        <top/>
        <bottom/>
        <vertical style="dotted">
          <color indexed="64"/>
        </vertical>
        <horizontal style="dotted">
          <color indexed="64"/>
        </horizontal>
      </border>
    </dxf>
    <dxf>
      <font>
        <color theme="0"/>
      </font>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ont>
        <color theme="0"/>
      </font>
    </dxf>
    <dxf>
      <font>
        <color theme="0"/>
      </font>
    </dxf>
    <dxf>
      <font>
        <color theme="0"/>
      </font>
    </dxf>
    <dxf>
      <font>
        <color theme="0"/>
      </font>
    </dxf>
    <dxf>
      <font>
        <color theme="0"/>
      </font>
    </dxf>
    <dxf>
      <font>
        <color theme="0"/>
      </font>
    </dxf>
    <dxf>
      <font>
        <name val="Calibri Light"/>
      </font>
    </dxf>
    <dxf>
      <font>
        <name val="Calibri Light"/>
      </font>
    </dxf>
    <dxf>
      <font>
        <name val="Calibri Light"/>
      </font>
    </dxf>
    <dxf>
      <font>
        <name val="Calibri Light"/>
      </font>
    </dxf>
    <dxf>
      <font>
        <name val="Calibri Light"/>
      </font>
    </dxf>
    <dxf>
      <font>
        <name val="Calibri Light"/>
      </font>
    </dxf>
    <dxf>
      <font>
        <name val="Calibri Light"/>
      </font>
    </dxf>
    <dxf>
      <font>
        <name val="Calibri Light"/>
      </font>
    </dxf>
    <dxf>
      <font>
        <name val="Calibri Light"/>
      </font>
    </dxf>
    <dxf>
      <font>
        <name val="Calibri Light"/>
      </font>
    </dxf>
    <dxf>
      <numFmt numFmtId="1" formatCode="0"/>
    </dxf>
    <dxf>
      <font>
        <b/>
      </font>
    </dxf>
    <dxf>
      <font>
        <b/>
      </font>
    </dxf>
    <dxf>
      <font>
        <b/>
      </font>
    </dxf>
    <dxf>
      <font>
        <b/>
      </font>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name val="Calibri Light"/>
      </font>
    </dxf>
    <dxf>
      <font>
        <name val="Calibri Light"/>
      </font>
    </dxf>
    <dxf>
      <font>
        <name val="Calibri Light"/>
      </font>
    </dxf>
    <dxf>
      <font>
        <name val="Calibri Light"/>
      </font>
    </dxf>
    <dxf>
      <font>
        <name val="Calibri Light"/>
      </font>
    </dxf>
    <dxf>
      <font>
        <name val="Calibri Light"/>
      </font>
    </dxf>
    <dxf>
      <font>
        <sz val="10"/>
      </font>
    </dxf>
    <dxf>
      <font>
        <sz val="10"/>
      </font>
    </dxf>
    <dxf>
      <font>
        <sz val="10"/>
      </font>
    </dxf>
    <dxf>
      <font>
        <sz val="10"/>
      </font>
    </dxf>
    <dxf>
      <font>
        <sz val="10"/>
      </font>
    </dxf>
    <dxf>
      <font>
        <sz val="10"/>
      </font>
    </dxf>
    <dxf>
      <font>
        <name val="Calibri Light"/>
      </font>
    </dxf>
    <dxf>
      <font>
        <name val="Calibri Light"/>
      </font>
    </dxf>
    <dxf>
      <font>
        <name val="Calibri Light"/>
      </font>
    </dxf>
    <dxf>
      <font>
        <name val="Calibri Light"/>
      </font>
    </dxf>
    <dxf>
      <font>
        <name val="Calibri Light"/>
      </font>
    </dxf>
    <dxf>
      <font>
        <name val="Calibri Light"/>
      </font>
    </dxf>
    <dxf>
      <font>
        <b/>
      </font>
    </dxf>
    <dxf>
      <font>
        <b/>
      </font>
    </dxf>
    <dxf>
      <font>
        <color theme="0"/>
      </font>
    </dxf>
    <dxf>
      <font>
        <color theme="0"/>
      </font>
    </dxf>
    <dxf>
      <font>
        <b/>
      </font>
    </dxf>
    <dxf>
      <font>
        <b/>
      </font>
    </dxf>
    <dxf>
      <fill>
        <patternFill patternType="solid">
          <bgColor rgb="FFB8D2C9"/>
        </patternFill>
      </fill>
    </dxf>
    <dxf>
      <fill>
        <patternFill patternType="solid">
          <bgColor rgb="FFB8D2C9"/>
        </patternFill>
      </fill>
    </dxf>
    <dxf>
      <font>
        <name val="Courier New"/>
        <family val="3"/>
      </font>
    </dxf>
    <dxf>
      <font>
        <name val="Courier New"/>
        <family val="3"/>
      </font>
    </dxf>
    <dxf>
      <font>
        <color theme="0"/>
      </font>
    </dxf>
    <dxf>
      <font>
        <color theme="0"/>
      </font>
    </dxf>
    <dxf>
      <fill>
        <patternFill patternType="solid">
          <bgColor rgb="FFB8D2C9"/>
        </patternFill>
      </fill>
    </dxf>
    <dxf>
      <fill>
        <patternFill patternType="solid">
          <bgColor rgb="FFB8D2C9"/>
        </patternFill>
      </fill>
    </dxf>
    <dxf>
      <font>
        <color theme="0"/>
      </font>
    </dxf>
    <dxf>
      <font>
        <color theme="0"/>
      </font>
    </dxf>
    <dxf>
      <font>
        <color theme="0"/>
      </font>
    </dxf>
    <dxf>
      <font>
        <color theme="0"/>
      </font>
    </dxf>
    <dxf>
      <font>
        <sz val="10"/>
      </font>
    </dxf>
    <dxf>
      <font>
        <sz val="10"/>
      </font>
    </dxf>
    <dxf>
      <font>
        <sz val="10"/>
      </font>
    </dxf>
    <dxf>
      <font>
        <sz val="10"/>
      </font>
    </dxf>
    <dxf>
      <font>
        <sz val="10"/>
      </font>
    </dxf>
    <dxf>
      <font>
        <sz val="10"/>
      </font>
    </dxf>
    <dxf>
      <font>
        <name val="Calibri Light"/>
      </font>
    </dxf>
    <dxf>
      <font>
        <name val="Calibri Light"/>
      </font>
    </dxf>
    <dxf>
      <font>
        <name val="Calibri Light"/>
      </font>
    </dxf>
    <dxf>
      <font>
        <name val="Calibri Light"/>
      </font>
    </dxf>
    <dxf>
      <font>
        <name val="Calibri Light"/>
      </font>
    </dxf>
    <dxf>
      <font>
        <name val="Calibri Light"/>
      </font>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alignment horizontal="center"/>
    </dxf>
    <dxf>
      <fill>
        <patternFill patternType="solid">
          <bgColor rgb="FFB8D2C9"/>
        </patternFill>
      </fill>
    </dxf>
    <dxf>
      <numFmt numFmtId="1" formatCode="0"/>
    </dxf>
    <dxf>
      <numFmt numFmtId="34" formatCode="_-&quot;R$&quot;\ * #,##0.00_-;\-&quot;R$&quot;\ * #,##0.00_-;_-&quot;R$&quot;\ * &quot;-&quot;??_-;_-@_-"/>
    </dxf>
    <dxf>
      <alignment horizontal="right"/>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ill>
        <patternFill patternType="solid">
          <bgColor rgb="FFB8D2C9"/>
        </patternFill>
      </fill>
    </dxf>
    <dxf>
      <font>
        <strike val="0"/>
        <condense val="0"/>
        <extend val="0"/>
        <outline val="0"/>
        <shadow val="0"/>
        <vertAlign val="baseline"/>
        <sz val="10"/>
        <color auto="1"/>
        <name val="Calibri"/>
        <family val="2"/>
      </font>
      <alignment horizontal="center" vertical="bottom"/>
      <border outline="0">
        <left style="dotted">
          <color indexed="64"/>
        </left>
        <right/>
        <top style="dotted">
          <color indexed="64"/>
        </top>
        <bottom/>
      </border>
    </dxf>
    <dxf>
      <font>
        <strike val="0"/>
        <condense val="0"/>
        <extend val="0"/>
        <outline val="0"/>
        <shadow val="0"/>
        <vertAlign val="baseline"/>
        <sz val="10"/>
        <color auto="1"/>
        <name val="Calibri"/>
        <family val="2"/>
      </font>
      <alignment horizontal="center" vertical="bottom"/>
      <border outline="0">
        <left style="dotted">
          <color indexed="64"/>
        </left>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65" formatCode="&quot;R$&quot;#,##0.0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0" formatCode="General"/>
      <fill>
        <patternFill>
          <fgColor indexed="64"/>
          <bgColor indexed="65"/>
        </patternFill>
      </fill>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4" formatCode="0.00%"/>
      <fill>
        <patternFill>
          <fgColor indexed="64"/>
          <bgColor indexed="65"/>
        </patternFill>
      </fill>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0" formatCode="General"/>
      <fill>
        <patternFill>
          <fgColor indexed="64"/>
          <bgColor indexed="65"/>
        </patternFill>
      </fill>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4" formatCode="0.00%"/>
      <fill>
        <patternFill>
          <fgColor indexed="64"/>
          <bgColor indexed="65"/>
        </patternFill>
      </fill>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165" formatCode="&quot;R$&quot;#,##0.00"/>
      <fill>
        <patternFill>
          <fgColor indexed="64"/>
          <bgColor indexed="65"/>
        </patternFill>
      </fill>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65" formatCode="&quot;R$&quot;#,##0.00"/>
      <fill>
        <patternFill>
          <fgColor indexed="64"/>
          <bgColor indexed="65"/>
        </patternFill>
      </fill>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numFmt numFmtId="164" formatCode="&quot;R$&quot;\ #,##0.00"/>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64" formatCode="&quot;R$&quot;\ #,##0.0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 formatCode="0"/>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border>
    </dxf>
    <dxf>
      <font>
        <strike val="0"/>
        <condense val="0"/>
        <extend val="0"/>
        <outline val="0"/>
        <shadow val="0"/>
        <vertAlign val="baseline"/>
        <sz val="10"/>
        <color auto="1"/>
        <name val="Aptos Narrow"/>
        <family val="2"/>
        <scheme val="minor"/>
      </font>
      <alignment horizontal="center" vertical="bottom"/>
      <border outline="0">
        <left style="dotted">
          <color indexed="64"/>
        </left>
        <right style="dotted">
          <color indexed="64"/>
        </right>
        <top style="dotted">
          <color indexed="64"/>
        </top>
        <bottom style="dotted">
          <color indexed="64"/>
        </bottom>
      </border>
    </dxf>
    <dxf>
      <font>
        <strike val="0"/>
        <condense val="0"/>
        <extend val="0"/>
        <outline val="0"/>
        <shadow val="0"/>
        <vertAlign val="baseline"/>
        <sz val="10"/>
        <color auto="1"/>
        <name val="Aptos Narrow"/>
        <family val="2"/>
        <scheme val="minor"/>
      </font>
      <alignment horizontal="center" vertical="bottom"/>
      <border outline="0">
        <left/>
        <right style="dotted">
          <color indexed="64"/>
        </right>
        <top style="dotted">
          <color indexed="64"/>
        </top>
        <bottom/>
      </border>
    </dxf>
    <dxf>
      <font>
        <strike val="0"/>
        <condense val="0"/>
        <extend val="0"/>
        <outline val="0"/>
        <shadow val="0"/>
        <vertAlign val="baseline"/>
        <sz val="10"/>
        <color auto="1"/>
        <name val="Aptos Narrow"/>
        <family val="2"/>
        <scheme val="minor"/>
      </font>
      <numFmt numFmtId="19" formatCode="dd/mm/yyyy"/>
      <alignment horizontal="center" vertical="bottom"/>
      <border outline="0">
        <left/>
        <right style="dotted">
          <color indexed="64"/>
        </right>
        <top style="dotted">
          <color indexed="64"/>
        </top>
        <bottom style="dotted">
          <color indexed="64"/>
        </bottom>
      </border>
    </dxf>
    <dxf>
      <border outline="0">
        <top style="dotted">
          <color indexed="64"/>
        </top>
      </border>
    </dxf>
    <dxf>
      <font>
        <strike val="0"/>
        <outline val="0"/>
        <shadow val="0"/>
        <vertAlign val="baseline"/>
        <sz val="10"/>
      </font>
    </dxf>
    <dxf>
      <border outline="0">
        <bottom style="dotted">
          <color indexed="64"/>
        </bottom>
      </border>
    </dxf>
    <dxf>
      <font>
        <strike val="0"/>
        <condense val="0"/>
        <extend val="0"/>
        <outline val="0"/>
        <shadow val="0"/>
        <vertAlign val="baseline"/>
        <sz val="10"/>
        <color auto="1"/>
        <name val="Aptos Narrow"/>
        <family val="2"/>
        <scheme val="minor"/>
      </font>
      <alignment horizontal="center" vertical="bottom"/>
    </dxf>
    <dxf>
      <border outline="0">
        <bottom style="dotted">
          <color indexed="64"/>
        </bottom>
      </border>
    </dxf>
    <dxf>
      <font>
        <b/>
        <strike val="0"/>
        <condense val="0"/>
        <extend val="0"/>
        <outline val="0"/>
        <shadow val="0"/>
        <vertAlign val="baseline"/>
        <sz val="10"/>
        <color theme="0"/>
        <name val="Aptos Narrow"/>
        <family val="2"/>
        <scheme val="minor"/>
      </font>
      <fill>
        <patternFill patternType="solid">
          <fgColor indexed="64"/>
          <bgColor theme="1"/>
        </patternFill>
      </fill>
      <alignment horizontal="center" vertical="bottom"/>
      <border outline="0">
        <left style="dotted">
          <color indexed="64"/>
        </left>
        <right style="dotted">
          <color indexed="64"/>
        </right>
        <top/>
        <bottom/>
      </border>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0" formatCode="General"/>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0" formatCode="General"/>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34" formatCode="_-&quot;R$&quot;\ * #,##0.00_-;\-&quot;R$&quot;\ * #,##0.00_-;_-&quot;R$&quot;\ * &quot;-&quot;??_-;_-@_-"/>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alignment horizontal="center" vertical="bottom"/>
    </dxf>
    <dxf>
      <font>
        <strike val="0"/>
        <condense val="0"/>
        <extend val="0"/>
        <outline val="0"/>
        <shadow val="0"/>
        <vertAlign val="baseline"/>
        <sz val="10"/>
        <color theme="1"/>
        <name val="Calibri"/>
        <family val="2"/>
      </font>
      <alignment horizontal="center" vertical="bottom"/>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numFmt numFmtId="19" formatCode="dd/mm/yyyy"/>
    </dxf>
    <dxf>
      <font>
        <strike val="0"/>
        <condense val="0"/>
        <extend val="0"/>
        <outline val="0"/>
        <shadow val="0"/>
        <vertAlign val="baseline"/>
        <sz val="10"/>
        <color theme="1"/>
        <name val="Calibri"/>
        <family val="2"/>
      </font>
    </dxf>
    <dxf>
      <font>
        <strike val="0"/>
        <condense val="0"/>
        <extend val="0"/>
        <outline val="0"/>
        <shadow val="0"/>
        <vertAlign val="baseline"/>
        <sz val="10"/>
        <color theme="1"/>
        <name val="Calibri"/>
        <family val="2"/>
      </font>
    </dxf>
    <dxf>
      <font>
        <strike val="0"/>
        <condense val="0"/>
        <extend val="0"/>
        <outline val="0"/>
        <shadow val="0"/>
        <vertAlign val="baseline"/>
        <sz val="11"/>
        <color theme="1"/>
        <name val="Aptos Narrow"/>
        <family val="2"/>
        <scheme val="minor"/>
      </font>
      <numFmt numFmtId="13" formatCode="0%"/>
      <fill>
        <patternFill>
          <fgColor indexed="64"/>
          <bgColor indexed="65"/>
        </patternFill>
      </fill>
    </dxf>
    <dxf>
      <numFmt numFmtId="1" formatCode="0"/>
      <alignment horizontal="right" vertical="bottom"/>
    </dxf>
    <dxf>
      <numFmt numFmtId="34" formatCode="_-&quot;R$&quot;\ * #,##0.00_-;\-&quot;R$&quot;\ * #,##0.00_-;_-&quot;R$&quot;\ * &quot;-&quot;??_-;_-@_-"/>
      <alignment horizontal="right" vertical="bottom"/>
    </dxf>
    <dxf>
      <numFmt numFmtId="34" formatCode="_-&quot;R$&quot;\ * #,##0.00_-;\-&quot;R$&quot;\ * #,##0.00_-;_-&quot;R$&quot;\ * &quot;-&quot;??_-;_-@_-"/>
      <alignment horizontal="right" vertical="bottom"/>
    </dxf>
    <dxf>
      <font>
        <strike val="0"/>
        <condense val="0"/>
        <extend val="0"/>
        <outline val="0"/>
        <shadow val="0"/>
        <vertAlign val="baseline"/>
        <sz val="11"/>
        <color theme="1"/>
        <name val="Aptos Narrow"/>
        <family val="2"/>
        <scheme val="minor"/>
      </font>
      <numFmt numFmtId="0" formatCode="General"/>
      <fill>
        <patternFill>
          <fgColor indexed="64"/>
          <bgColor indexed="65"/>
        </patternFill>
      </fill>
    </dxf>
    <dxf>
      <font>
        <b/>
        <strike val="0"/>
        <condense val="0"/>
        <extend val="0"/>
        <outline val="0"/>
        <shadow val="0"/>
        <vertAlign val="baseline"/>
        <sz val="11"/>
        <color theme="1"/>
        <name val="Aptos Narrow"/>
        <family val="2"/>
        <scheme val="minor"/>
      </font>
    </dxf>
    <dxf>
      <alignment horizontal="right" vertical="bottom"/>
    </dxf>
    <dxf>
      <fill>
        <patternFill patternType="solid">
          <bgColor theme="0" tint="-0.499984740745262"/>
        </patternFill>
      </fill>
    </dxf>
    <dxf>
      <fill>
        <patternFill patternType="solid">
          <bgColor theme="0" tint="-0.499984740745262"/>
        </patternFill>
      </fill>
    </dxf>
    <dxf>
      <font>
        <sz val="10"/>
      </font>
    </dxf>
    <dxf>
      <font>
        <sz val="10"/>
      </font>
    </dxf>
    <dxf>
      <font>
        <sz val="10"/>
      </font>
    </dxf>
    <dxf>
      <font>
        <name val="Calibri Light"/>
        <family val="2"/>
      </font>
    </dxf>
    <dxf>
      <font>
        <name val="Calibri Light"/>
        <family val="2"/>
      </font>
    </dxf>
    <dxf>
      <font>
        <name val="Calibri Light"/>
        <family val="2"/>
      </font>
    </dxf>
    <dxf>
      <font>
        <sz val="10"/>
      </font>
    </dxf>
    <dxf>
      <font>
        <sz val="10"/>
      </font>
    </dxf>
    <dxf>
      <font>
        <sz val="10"/>
      </font>
    </dxf>
    <dxf>
      <font>
        <name val="Calibri Light"/>
        <family val="2"/>
      </font>
    </dxf>
    <dxf>
      <font>
        <name val="Calibri Light"/>
        <family val="2"/>
      </font>
    </dxf>
    <dxf>
      <font>
        <name val="Calibri Light"/>
        <family val="2"/>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font>
        <b/>
      </font>
    </dxf>
    <dxf>
      <font>
        <b/>
      </font>
    </dxf>
    <dxf>
      <font>
        <b/>
      </font>
    </dxf>
    <dxf>
      <font>
        <b/>
      </font>
    </dxf>
    <dxf>
      <font>
        <b/>
      </font>
    </dxf>
    <dxf>
      <font>
        <b/>
      </font>
    </dxf>
    <dxf>
      <font>
        <b/>
      </font>
    </dxf>
    <dxf>
      <font>
        <b/>
      </font>
    </dxf>
    <dxf>
      <font>
        <b/>
      </font>
    </dxf>
    <dxf>
      <font>
        <b/>
      </font>
    </dxf>
    <dxf>
      <font>
        <b/>
      </font>
    </dxf>
    <dxf>
      <font>
        <sz val="10"/>
      </font>
    </dxf>
    <dxf>
      <font>
        <sz val="10"/>
      </font>
    </dxf>
    <dxf>
      <font>
        <sz val="10"/>
      </font>
    </dxf>
    <dxf>
      <font>
        <name val="Calibri Light"/>
      </font>
    </dxf>
    <dxf>
      <font>
        <name val="Calibri Light"/>
      </font>
    </dxf>
    <dxf>
      <font>
        <name val="Calibri Light"/>
      </font>
    </dxf>
    <dxf>
      <numFmt numFmtId="14" formatCode="0.00%"/>
    </dxf>
    <dxf>
      <numFmt numFmtId="14" formatCode="0.00%"/>
    </dxf>
    <dxf>
      <numFmt numFmtId="34" formatCode="_-&quot;R$&quot;\ * #,##0.00_-;\-&quot;R$&quot;\ * #,##0.00_-;_-&quot;R$&quot;\ * &quot;-&quot;??_-;_-@_-"/>
    </dxf>
    <dxf>
      <numFmt numFmtId="2" formatCode="0.00"/>
    </dxf>
    <dxf>
      <numFmt numFmtId="2" formatCode="0.00"/>
    </dxf>
    <dxf>
      <numFmt numFmtId="34" formatCode="_-&quot;R$&quot;\ * #,##0.00_-;\-&quot;R$&quot;\ * #,##0.00_-;_-&quot;R$&quot;\ * &quot;-&quot;??_-;_-@_-"/>
      <alignment horizontal="center" vertical="bottom"/>
    </dxf>
    <dxf>
      <numFmt numFmtId="34" formatCode="_-&quot;R$&quot;\ * #,##0.00_-;\-&quot;R$&quot;\ * #,##0.00_-;_-&quot;R$&quot;\ * &quot;-&quot;??_-;_-@_-"/>
      <alignment horizontal="center" vertical="bottom"/>
    </dxf>
    <dxf>
      <numFmt numFmtId="34" formatCode="_-&quot;R$&quot;\ * #,##0.00_-;\-&quot;R$&quot;\ * #,##0.00_-;_-&quot;R$&quot;\ * &quot;-&quot;??_-;_-@_-"/>
      <alignment horizontal="center" vertical="bottom"/>
    </dxf>
    <dxf>
      <numFmt numFmtId="34" formatCode="_-&quot;R$&quot;\ * #,##0.00_-;\-&quot;R$&quot;\ * #,##0.00_-;_-&quot;R$&quot;\ * &quot;-&quot;??_-;_-@_-"/>
      <alignment horizontal="center" vertical="bottom"/>
    </dxf>
    <dxf>
      <alignment horizontal="center" vertical="bottom"/>
    </dxf>
    <dxf>
      <alignment horizontal="center" vertical="bottom"/>
    </dxf>
    <dxf>
      <alignment horizontal="center" vertical="bottom"/>
    </dxf>
    <dxf>
      <numFmt numFmtId="22" formatCode="mmm/yy"/>
      <alignment horizontal="center" vertical="bottom"/>
    </dxf>
    <dxf>
      <numFmt numFmtId="30" formatCode="@"/>
      <alignment horizontal="center" vertical="bottom"/>
    </dxf>
    <dxf>
      <numFmt numFmtId="22" formatCode="mmm/yy"/>
      <fill>
        <patternFill patternType="solid">
          <fgColor indexed="64"/>
          <bgColor rgb="FF95B9AC"/>
        </patternFill>
      </fill>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dotted">
          <color indexed="64"/>
        </left>
        <right/>
        <top style="dotted">
          <color indexed="64"/>
        </top>
        <bottom/>
      </border>
    </dxf>
    <dxf>
      <font>
        <strike val="0"/>
        <condense val="0"/>
        <extend val="0"/>
        <outline val="0"/>
        <shadow val="0"/>
        <vertAlign val="baseline"/>
        <sz val="11"/>
        <color auto="1"/>
        <name val="Calibri"/>
        <family val="2"/>
      </font>
      <alignment horizontal="center" vertical="bottom"/>
      <border>
        <left style="dotted">
          <color indexed="64"/>
        </left>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rgb="FFFF0000"/>
        </patternFill>
      </fill>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numFmt numFmtId="165" formatCode="&quot;R$&quot;#,##0.00"/>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numFmt numFmtId="165" formatCode="&quot;R$&quot;#,##0.00"/>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4" formatCode="0.00%"/>
      <fill>
        <patternFill>
          <fgColor indexed="64"/>
          <bgColor indexed="65"/>
        </patternFill>
      </fill>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4" formatCode="0.00%"/>
      <fill>
        <patternFill>
          <fgColor indexed="64"/>
          <bgColor indexed="65"/>
        </patternFill>
      </fill>
      <alignment horizontal="center" vertical="bottom"/>
      <border outline="0">
        <left style="dotted">
          <color indexed="64"/>
        </left>
        <right style="dotted">
          <color indexed="64"/>
        </right>
        <top style="dotted">
          <color indexed="64"/>
        </top>
        <bottom style="dotted">
          <color indexed="64"/>
        </bottom>
      </border>
    </dxf>
    <dxf>
      <font>
        <b val="0"/>
        <i val="0"/>
        <strike val="0"/>
        <condense val="0"/>
        <extend val="0"/>
        <outline val="0"/>
        <shadow val="0"/>
        <u val="none"/>
        <vertAlign val="baseline"/>
        <sz val="11"/>
        <color auto="1"/>
        <name val="Aptos Narrow"/>
        <family val="2"/>
        <scheme val="minor"/>
      </font>
      <numFmt numFmtId="165" formatCode="&quot;R$&quot;#,##0.00"/>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numFmt numFmtId="165" formatCode="&quot;R$&quot;#,##0.00"/>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5" formatCode="&quot;R$&quot;#,##0.00"/>
      <fill>
        <patternFill>
          <fgColor indexed="64"/>
          <bgColor auto="1"/>
        </patternFill>
      </fill>
      <alignment horizontal="center" vertical="bottom"/>
      <border outline="0">
        <left style="dotted">
          <color indexed="64"/>
        </left>
        <right style="dotted">
          <color indexed="64"/>
        </right>
        <top style="dotted">
          <color indexed="64"/>
        </top>
        <bottom style="dotted">
          <color indexed="64"/>
        </bottom>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64" formatCode="&quot;R$&quot;\ #,##0.00"/>
      <alignment horizontal="center" vertical="bottom"/>
      <border outline="0">
        <left style="dotted">
          <color indexed="64"/>
        </left>
        <right style="dotted">
          <color indexed="64"/>
        </right>
        <top style="dotted">
          <color indexed="64"/>
        </top>
        <bottom style="dotted">
          <color indexed="64"/>
        </bottom>
      </border>
    </dxf>
    <dxf>
      <font>
        <b val="0"/>
        <i val="0"/>
        <strike val="0"/>
        <condense val="0"/>
        <extend val="0"/>
        <outline val="0"/>
        <shadow val="0"/>
        <u val="none"/>
        <vertAlign val="baseline"/>
        <sz val="11"/>
        <color auto="1"/>
        <name val="Aptos Narrow"/>
        <family val="2"/>
        <scheme val="minor"/>
      </font>
      <numFmt numFmtId="1" formatCode="0"/>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 formatCode="0"/>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style="dotted">
          <color indexed="64"/>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style="dotted">
          <color indexed="64"/>
        </left>
        <right style="dotted">
          <color indexed="64"/>
        </right>
        <top style="dotted">
          <color indexed="64"/>
        </top>
        <bottom/>
      </border>
    </dxf>
    <dxf>
      <font>
        <strike val="0"/>
        <condense val="0"/>
        <extend val="0"/>
        <outline val="0"/>
        <shadow val="0"/>
        <vertAlign val="baseline"/>
        <sz val="11"/>
        <color auto="1"/>
        <name val="Aptos Narrow"/>
        <family val="2"/>
        <scheme val="minor"/>
      </font>
      <alignment horizontal="center" vertical="bottom"/>
      <border>
        <left style="dotted">
          <color indexed="64"/>
        </left>
        <right style="dotted">
          <color indexed="64"/>
        </right>
        <top style="dotted">
          <color indexed="64"/>
        </top>
        <bottom style="dotted">
          <color indexed="64"/>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outline="0">
        <left/>
        <right style="dotted">
          <color indexed="64"/>
        </right>
        <top style="dotted">
          <color indexed="64"/>
        </top>
        <bottom/>
      </border>
    </dxf>
    <dxf>
      <font>
        <strike val="0"/>
        <condense val="0"/>
        <extend val="0"/>
        <outline val="0"/>
        <shadow val="0"/>
        <vertAlign val="baseline"/>
        <sz val="11"/>
        <color auto="1"/>
        <name val="Aptos Narrow"/>
        <family val="2"/>
        <scheme val="minor"/>
      </font>
      <numFmt numFmtId="19" formatCode="dd/mm/yyyy"/>
      <alignment horizontal="center" vertical="bottom"/>
      <border>
        <left/>
        <right style="dotted">
          <color indexed="64"/>
        </right>
        <top style="dotted">
          <color indexed="64"/>
        </top>
        <bottom style="dotted">
          <color indexed="64"/>
        </bottom>
        <vertical/>
        <horizontal/>
      </border>
    </dxf>
    <dxf>
      <border outline="0">
        <top style="dotted">
          <color indexed="64"/>
        </top>
      </border>
    </dxf>
    <dxf>
      <border outline="0">
        <bottom style="dotted">
          <color indexed="64"/>
        </bottom>
      </border>
    </dxf>
    <dxf>
      <font>
        <strike val="0"/>
        <condense val="0"/>
        <extend val="0"/>
        <outline val="0"/>
        <shadow val="0"/>
        <vertAlign val="baseline"/>
        <sz val="11"/>
        <color auto="1"/>
        <name val="Aptos Narrow"/>
        <family val="2"/>
        <scheme val="minor"/>
      </font>
      <alignment horizontal="center" vertical="bottom"/>
    </dxf>
    <dxf>
      <border outline="0">
        <bottom style="dotted">
          <color indexed="64"/>
        </bottom>
      </border>
    </dxf>
    <dxf>
      <font>
        <b/>
        <strike val="0"/>
        <condense val="0"/>
        <extend val="0"/>
        <outline val="0"/>
        <shadow val="0"/>
        <vertAlign val="baseline"/>
        <sz val="11"/>
        <color theme="0"/>
        <name val="Aptos Narrow"/>
        <family val="2"/>
        <scheme val="minor"/>
      </font>
      <fill>
        <patternFill patternType="solid">
          <fgColor indexed="64"/>
          <bgColor theme="1"/>
        </patternFill>
      </fill>
      <alignment horizontal="center" vertical="bottom"/>
      <border outline="0">
        <left style="dotted">
          <color indexed="64"/>
        </left>
        <right style="dotted">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pivotSource>
    <c:name>[Vendas2026.xlsx]Resumo de Vendas!Tabela dinâmica4</c:name>
    <c:fmtId val="1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a:t>COBERTURA DE METAS</a:t>
            </a:r>
          </a:p>
        </c:rich>
      </c:tx>
      <c:overlay val="0"/>
      <c:spPr>
        <a:noFill/>
        <a:ln>
          <a:noFill/>
          <a:prstDash val="solid"/>
        </a:ln>
      </c:spPr>
    </c:title>
    <c:autoTitleDeleted val="0"/>
    <c:pivotFmts>
      <c:pivotFmt>
        <c:idx val="0"/>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4"/>
            </a:solidFill>
            <a:prstDash val="dash"/>
            <a:round/>
          </a:ln>
        </c:spPr>
        <c:marker>
          <c:symbol val="none"/>
        </c:marker>
        <c:dLbl>
          <c:idx val="0"/>
          <c:delete val="1"/>
          <c:extLst>
            <c:ext xmlns:c15="http://schemas.microsoft.com/office/drawing/2012/chart" uri="{CE6537A1-D6FC-4f65-9D91-7224C49458BB}"/>
          </c:extLst>
        </c:dLbl>
      </c:pivotFmt>
      <c:pivotFmt>
        <c:idx val="2"/>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4"/>
            </a:solidFill>
            <a:prstDash val="dash"/>
            <a:round/>
          </a:ln>
        </c:spPr>
        <c:marker>
          <c:symbol val="none"/>
        </c:marker>
        <c:dLbl>
          <c:idx val="0"/>
          <c:delete val="1"/>
          <c:extLst>
            <c:ext xmlns:c15="http://schemas.microsoft.com/office/drawing/2012/chart" uri="{CE6537A1-D6FC-4f65-9D91-7224C49458BB}"/>
          </c:extLst>
        </c:dLbl>
      </c:pivotFmt>
      <c:pivotFmt>
        <c:idx val="4"/>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5"/>
        <c:spPr>
          <a:ln w="28575" cap="rnd">
            <a:solidFill>
              <a:schemeClr val="accent4"/>
            </a:solidFill>
            <a:prstDash val="dash"/>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'Resumo de Vendas'!$H$516</c:f>
              <c:strCache>
                <c:ptCount val="1"/>
                <c:pt idx="0">
                  <c:v>Cobertura</c:v>
                </c:pt>
              </c:strCache>
            </c:strRef>
          </c:tx>
          <c:spPr>
            <a:solidFill>
              <a:srgbClr val="B8D2C9"/>
            </a:solidFill>
            <a:ln>
              <a:noFill/>
              <a:prstDash val="solid"/>
            </a:ln>
          </c:spPr>
          <c:invertIfNegative val="0"/>
          <c:cat>
            <c:strRef>
              <c:f>'Resumo de Vendas'!$G$517:$G$522</c:f>
              <c:strCache>
                <c:ptCount val="5"/>
                <c:pt idx="0">
                  <c:v>mai</c:v>
                </c:pt>
                <c:pt idx="1">
                  <c:v>abr</c:v>
                </c:pt>
                <c:pt idx="2">
                  <c:v>mar</c:v>
                </c:pt>
                <c:pt idx="3">
                  <c:v>fev</c:v>
                </c:pt>
                <c:pt idx="4">
                  <c:v>jan</c:v>
                </c:pt>
              </c:strCache>
            </c:strRef>
          </c:cat>
          <c:val>
            <c:numRef>
              <c:f>'Resumo de Vendas'!$H$517:$H$522</c:f>
              <c:numCache>
                <c:formatCode>0%</c:formatCode>
                <c:ptCount val="5"/>
                <c:pt idx="0">
                  <c:v>0.14790624999999999</c:v>
                </c:pt>
                <c:pt idx="1">
                  <c:v>0.358848</c:v>
                </c:pt>
                <c:pt idx="2">
                  <c:v>0.91789714285714286</c:v>
                </c:pt>
                <c:pt idx="3">
                  <c:v>0.37133538461538462</c:v>
                </c:pt>
                <c:pt idx="4">
                  <c:v>0.44970333333333329</c:v>
                </c:pt>
              </c:numCache>
            </c:numRef>
          </c:val>
          <c:extLst>
            <c:ext xmlns:c16="http://schemas.microsoft.com/office/drawing/2014/chart" uri="{C3380CC4-5D6E-409C-BE32-E72D297353CC}">
              <c16:uniqueId val="{00000000-DB64-4E80-AE17-E252FF8D5077}"/>
            </c:ext>
          </c:extLst>
        </c:ser>
        <c:dLbls>
          <c:showLegendKey val="0"/>
          <c:showVal val="0"/>
          <c:showCatName val="0"/>
          <c:showSerName val="0"/>
          <c:showPercent val="0"/>
          <c:showBubbleSize val="0"/>
        </c:dLbls>
        <c:gapWidth val="8"/>
        <c:overlap val="-27"/>
        <c:axId val="1614877295"/>
        <c:axId val="1614866735"/>
      </c:barChart>
      <c:lineChart>
        <c:grouping val="standard"/>
        <c:varyColors val="0"/>
        <c:ser>
          <c:idx val="1"/>
          <c:order val="1"/>
          <c:tx>
            <c:strRef>
              <c:f>'Resumo de Vendas'!$I$516</c:f>
              <c:strCache>
                <c:ptCount val="1"/>
                <c:pt idx="0">
                  <c:v>Objetivo</c:v>
                </c:pt>
              </c:strCache>
            </c:strRef>
          </c:tx>
          <c:spPr>
            <a:ln w="28575" cap="rnd">
              <a:solidFill>
                <a:schemeClr val="accent4"/>
              </a:solidFill>
              <a:prstDash val="dash"/>
              <a:round/>
            </a:ln>
          </c:spPr>
          <c:marker>
            <c:symbol val="none"/>
          </c:marker>
          <c:cat>
            <c:strRef>
              <c:f>'Resumo de Vendas'!$G$517:$G$522</c:f>
              <c:strCache>
                <c:ptCount val="5"/>
                <c:pt idx="0">
                  <c:v>mai</c:v>
                </c:pt>
                <c:pt idx="1">
                  <c:v>abr</c:v>
                </c:pt>
                <c:pt idx="2">
                  <c:v>mar</c:v>
                </c:pt>
                <c:pt idx="3">
                  <c:v>fev</c:v>
                </c:pt>
                <c:pt idx="4">
                  <c:v>jan</c:v>
                </c:pt>
              </c:strCache>
            </c:strRef>
          </c:cat>
          <c:val>
            <c:numRef>
              <c:f>'Resumo de Vendas'!$I$517:$I$522</c:f>
              <c:numCache>
                <c:formatCode>0</c:formatCode>
                <c:ptCount val="5"/>
                <c:pt idx="0">
                  <c:v>8</c:v>
                </c:pt>
                <c:pt idx="1">
                  <c:v>7.5</c:v>
                </c:pt>
                <c:pt idx="2">
                  <c:v>7</c:v>
                </c:pt>
                <c:pt idx="3">
                  <c:v>6.5</c:v>
                </c:pt>
                <c:pt idx="4">
                  <c:v>6</c:v>
                </c:pt>
              </c:numCache>
            </c:numRef>
          </c:val>
          <c:smooth val="0"/>
          <c:extLst>
            <c:ext xmlns:c16="http://schemas.microsoft.com/office/drawing/2014/chart" uri="{C3380CC4-5D6E-409C-BE32-E72D297353CC}">
              <c16:uniqueId val="{00000001-DB64-4E80-AE17-E252FF8D5077}"/>
            </c:ext>
          </c:extLst>
        </c:ser>
        <c:dLbls>
          <c:showLegendKey val="0"/>
          <c:showVal val="0"/>
          <c:showCatName val="0"/>
          <c:showSerName val="0"/>
          <c:showPercent val="0"/>
          <c:showBubbleSize val="0"/>
        </c:dLbls>
        <c:marker val="1"/>
        <c:smooth val="0"/>
        <c:axId val="1614875375"/>
        <c:axId val="1614879695"/>
      </c:lineChart>
      <c:catAx>
        <c:axId val="161487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66735"/>
        <c:crosses val="autoZero"/>
        <c:auto val="1"/>
        <c:lblAlgn val="ctr"/>
        <c:lblOffset val="100"/>
        <c:noMultiLvlLbl val="0"/>
      </c:catAx>
      <c:valAx>
        <c:axId val="1614866735"/>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77295"/>
        <c:crosses val="autoZero"/>
        <c:crossBetween val="between"/>
      </c:valAx>
      <c:catAx>
        <c:axId val="1614875375"/>
        <c:scaling>
          <c:orientation val="minMax"/>
        </c:scaling>
        <c:delete val="1"/>
        <c:axPos val="b"/>
        <c:numFmt formatCode="General" sourceLinked="1"/>
        <c:majorTickMark val="out"/>
        <c:minorTickMark val="none"/>
        <c:tickLblPos val="nextTo"/>
        <c:crossAx val="1614879695"/>
        <c:crosses val="autoZero"/>
        <c:auto val="1"/>
        <c:lblAlgn val="ctr"/>
        <c:lblOffset val="100"/>
        <c:noMultiLvlLbl val="0"/>
      </c:catAx>
      <c:valAx>
        <c:axId val="1614879695"/>
        <c:scaling>
          <c:orientation val="minMax"/>
        </c:scaling>
        <c:delete val="0"/>
        <c:axPos val="r"/>
        <c:numFmt formatCode="_(* #,##0.00_);_(* \(#,##0.00\);_(* &quot;-&quot;??_);_(@_)" sourceLinked="0"/>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75375"/>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noFill/>
    <a:ln w="9525" cap="flat" cmpd="sng" algn="ctr">
      <a:noFill/>
      <a:prstDash val="solid"/>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pivotSource>
    <c:name>[Vendas2026.xlsx]Resumo de Vendas!Tabela dinâmica5</c:name>
    <c:fmtId val="6"/>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sz="1400" b="0" i="0" strike="noStrike" kern="1200" spc="0" baseline="0">
                <a:solidFill>
                  <a:sysClr val="windowText" lastClr="000000">
                    <a:lumOff val="35000"/>
                    <a:lumMod val="65000"/>
                  </a:sysClr>
                </a:solidFill>
              </a:rPr>
              <a:t>COBERTURA DE METAS EQUIPE</a:t>
            </a:r>
          </a:p>
        </c:rich>
      </c:tx>
      <c:overlay val="0"/>
      <c:spPr>
        <a:noFill/>
        <a:ln>
          <a:noFill/>
          <a:prstDash val="solid"/>
        </a:ln>
      </c:spPr>
    </c:title>
    <c:autoTitleDeleted val="0"/>
    <c:pivotFmts>
      <c:pivotFmt>
        <c:idx val="0"/>
        <c:spPr>
          <a:solidFill>
            <a:schemeClr val="accent1"/>
          </a:solidFill>
          <a:ln w="28575" cap="rnd">
            <a:solidFill>
              <a:schemeClr val="accent4"/>
            </a:solidFill>
            <a:prstDash val="sysDash"/>
            <a:round/>
          </a:ln>
        </c:spPr>
        <c:marker>
          <c:symbol val="none"/>
        </c:marker>
        <c:dLbl>
          <c:idx val="0"/>
          <c:delete val="1"/>
          <c:extLst>
            <c:ext xmlns:c15="http://schemas.microsoft.com/office/drawing/2012/chart" uri="{CE6537A1-D6FC-4f65-9D91-7224C49458BB}"/>
          </c:extLst>
        </c:dLbl>
      </c:pivotFmt>
      <c:pivotFmt>
        <c:idx val="1"/>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4"/>
            </a:solidFill>
            <a:prstDash val="sysDash"/>
            <a:round/>
          </a:ln>
        </c:spPr>
        <c:marker>
          <c:symbol val="none"/>
        </c:marker>
        <c:dLbl>
          <c:idx val="0"/>
          <c:delete val="1"/>
          <c:extLst>
            <c:ext xmlns:c15="http://schemas.microsoft.com/office/drawing/2012/chart" uri="{CE6537A1-D6FC-4f65-9D91-7224C49458BB}"/>
          </c:extLst>
        </c:dLbl>
      </c:pivotFmt>
      <c:pivotFmt>
        <c:idx val="4"/>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5"/>
        <c:spPr>
          <a:ln w="28575" cap="rnd">
            <a:solidFill>
              <a:schemeClr val="accent4"/>
            </a:solidFill>
            <a:prstDash val="sysDash"/>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'Resumo de Vendas'!$H$537</c:f>
              <c:strCache>
                <c:ptCount val="1"/>
                <c:pt idx="0">
                  <c:v>Cobertura</c:v>
                </c:pt>
              </c:strCache>
            </c:strRef>
          </c:tx>
          <c:spPr>
            <a:solidFill>
              <a:srgbClr val="B8D2C9"/>
            </a:solidFill>
            <a:ln>
              <a:noFill/>
              <a:prstDash val="solid"/>
            </a:ln>
          </c:spPr>
          <c:invertIfNegative val="0"/>
          <c:cat>
            <c:strRef>
              <c:f>'Resumo de Vendas'!$G$538:$G$543</c:f>
              <c:strCache>
                <c:ptCount val="5"/>
                <c:pt idx="0">
                  <c:v>jan</c:v>
                </c:pt>
                <c:pt idx="1">
                  <c:v>fev</c:v>
                </c:pt>
                <c:pt idx="2">
                  <c:v>mar</c:v>
                </c:pt>
                <c:pt idx="3">
                  <c:v>abr</c:v>
                </c:pt>
                <c:pt idx="4">
                  <c:v>mai</c:v>
                </c:pt>
              </c:strCache>
            </c:strRef>
          </c:cat>
          <c:val>
            <c:numRef>
              <c:f>'Resumo de Vendas'!$H$538:$H$543</c:f>
              <c:numCache>
                <c:formatCode>0.00%</c:formatCode>
                <c:ptCount val="5"/>
                <c:pt idx="0">
                  <c:v>0.6733253846153846</c:v>
                </c:pt>
                <c:pt idx="1">
                  <c:v>2.7055294339622642</c:v>
                </c:pt>
                <c:pt idx="2">
                  <c:v>0.85241407407407399</c:v>
                </c:pt>
                <c:pt idx="3">
                  <c:v>0.56714945454545451</c:v>
                </c:pt>
                <c:pt idx="4">
                  <c:v>0.27155794117647059</c:v>
                </c:pt>
              </c:numCache>
            </c:numRef>
          </c:val>
          <c:extLst>
            <c:ext xmlns:c16="http://schemas.microsoft.com/office/drawing/2014/chart" uri="{C3380CC4-5D6E-409C-BE32-E72D297353CC}">
              <c16:uniqueId val="{00000000-FE53-4DB6-83BA-581CFC427704}"/>
            </c:ext>
          </c:extLst>
        </c:ser>
        <c:dLbls>
          <c:showLegendKey val="0"/>
          <c:showVal val="0"/>
          <c:showCatName val="0"/>
          <c:showSerName val="0"/>
          <c:showPercent val="0"/>
          <c:showBubbleSize val="0"/>
        </c:dLbls>
        <c:gapWidth val="8"/>
        <c:axId val="1741318639"/>
        <c:axId val="1741319119"/>
      </c:barChart>
      <c:lineChart>
        <c:grouping val="standard"/>
        <c:varyColors val="0"/>
        <c:ser>
          <c:idx val="1"/>
          <c:order val="1"/>
          <c:tx>
            <c:strRef>
              <c:f>'Resumo de Vendas'!$I$537</c:f>
              <c:strCache>
                <c:ptCount val="1"/>
                <c:pt idx="0">
                  <c:v>Objetivo</c:v>
                </c:pt>
              </c:strCache>
            </c:strRef>
          </c:tx>
          <c:spPr>
            <a:ln w="28575" cap="rnd">
              <a:solidFill>
                <a:schemeClr val="accent4"/>
              </a:solidFill>
              <a:prstDash val="sysDash"/>
              <a:round/>
            </a:ln>
          </c:spPr>
          <c:marker>
            <c:symbol val="none"/>
          </c:marker>
          <c:cat>
            <c:strRef>
              <c:f>'Resumo de Vendas'!$G$538:$G$543</c:f>
              <c:strCache>
                <c:ptCount val="5"/>
                <c:pt idx="0">
                  <c:v>jan</c:v>
                </c:pt>
                <c:pt idx="1">
                  <c:v>fev</c:v>
                </c:pt>
                <c:pt idx="2">
                  <c:v>mar</c:v>
                </c:pt>
                <c:pt idx="3">
                  <c:v>abr</c:v>
                </c:pt>
                <c:pt idx="4">
                  <c:v>mai</c:v>
                </c:pt>
              </c:strCache>
            </c:strRef>
          </c:cat>
          <c:val>
            <c:numRef>
              <c:f>'Resumo de Vendas'!$I$538:$I$543</c:f>
              <c:numCache>
                <c:formatCode>0.00</c:formatCode>
                <c:ptCount val="5"/>
                <c:pt idx="0">
                  <c:v>78</c:v>
                </c:pt>
                <c:pt idx="1">
                  <c:v>79.5</c:v>
                </c:pt>
                <c:pt idx="2">
                  <c:v>81</c:v>
                </c:pt>
                <c:pt idx="3">
                  <c:v>82.5</c:v>
                </c:pt>
                <c:pt idx="4">
                  <c:v>136</c:v>
                </c:pt>
              </c:numCache>
            </c:numRef>
          </c:val>
          <c:smooth val="0"/>
          <c:extLst>
            <c:ext xmlns:c16="http://schemas.microsoft.com/office/drawing/2014/chart" uri="{C3380CC4-5D6E-409C-BE32-E72D297353CC}">
              <c16:uniqueId val="{00000001-FE53-4DB6-83BA-581CFC427704}"/>
            </c:ext>
          </c:extLst>
        </c:ser>
        <c:dLbls>
          <c:showLegendKey val="0"/>
          <c:showVal val="0"/>
          <c:showCatName val="0"/>
          <c:showSerName val="0"/>
          <c:showPercent val="0"/>
          <c:showBubbleSize val="0"/>
        </c:dLbls>
        <c:marker val="1"/>
        <c:smooth val="0"/>
        <c:axId val="583645983"/>
        <c:axId val="583646463"/>
      </c:lineChart>
      <c:catAx>
        <c:axId val="174131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741319119"/>
        <c:crosses val="autoZero"/>
        <c:auto val="1"/>
        <c:lblAlgn val="ctr"/>
        <c:lblOffset val="100"/>
        <c:noMultiLvlLbl val="0"/>
      </c:catAx>
      <c:valAx>
        <c:axId val="1741319119"/>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741318639"/>
        <c:crosses val="autoZero"/>
        <c:crossBetween val="between"/>
      </c:valAx>
      <c:catAx>
        <c:axId val="583645983"/>
        <c:scaling>
          <c:orientation val="minMax"/>
        </c:scaling>
        <c:delete val="1"/>
        <c:axPos val="b"/>
        <c:numFmt formatCode="General" sourceLinked="1"/>
        <c:majorTickMark val="out"/>
        <c:minorTickMark val="none"/>
        <c:tickLblPos val="nextTo"/>
        <c:crossAx val="583646463"/>
        <c:crosses val="autoZero"/>
        <c:auto val="1"/>
        <c:lblAlgn val="ctr"/>
        <c:lblOffset val="100"/>
        <c:noMultiLvlLbl val="0"/>
      </c:catAx>
      <c:valAx>
        <c:axId val="583646463"/>
        <c:scaling>
          <c:orientation val="minMax"/>
          <c:max val="100"/>
          <c:min val="50"/>
        </c:scaling>
        <c:delete val="0"/>
        <c:axPos val="r"/>
        <c:numFmt formatCode="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583645983"/>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noFill/>
      <a:prstDash val="solid"/>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pivotSource>
    <c:name>[Vendas2026.xlsx]Resumo de Vendas!Tabela dinâmica4</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a:t>COBERTURA DE METAS</a:t>
            </a:r>
          </a:p>
        </c:rich>
      </c:tx>
      <c:overlay val="0"/>
      <c:spPr>
        <a:noFill/>
        <a:ln>
          <a:noFill/>
          <a:prstDash val="solid"/>
        </a:ln>
      </c:spPr>
    </c:title>
    <c:autoTitleDeleted val="0"/>
    <c:pivotFmts>
      <c:pivotFmt>
        <c:idx val="0"/>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
        <c:idx val="1"/>
        <c:spPr>
          <a:ln w="28575" cap="rnd">
            <a:solidFill>
              <a:schemeClr val="accent4"/>
            </a:solidFill>
            <a:prstDash val="dash"/>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'Resumo de Vendas'!$H$516</c:f>
              <c:strCache>
                <c:ptCount val="1"/>
                <c:pt idx="0">
                  <c:v>Cobertura</c:v>
                </c:pt>
              </c:strCache>
            </c:strRef>
          </c:tx>
          <c:spPr>
            <a:solidFill>
              <a:srgbClr val="B8D2C9"/>
            </a:solidFill>
            <a:ln>
              <a:noFill/>
              <a:prstDash val="solid"/>
            </a:ln>
          </c:spPr>
          <c:invertIfNegative val="0"/>
          <c:cat>
            <c:strRef>
              <c:f>'Resumo de Vendas'!$G$517:$G$522</c:f>
              <c:strCache>
                <c:ptCount val="5"/>
                <c:pt idx="0">
                  <c:v>mai</c:v>
                </c:pt>
                <c:pt idx="1">
                  <c:v>abr</c:v>
                </c:pt>
                <c:pt idx="2">
                  <c:v>mar</c:v>
                </c:pt>
                <c:pt idx="3">
                  <c:v>fev</c:v>
                </c:pt>
                <c:pt idx="4">
                  <c:v>jan</c:v>
                </c:pt>
              </c:strCache>
            </c:strRef>
          </c:cat>
          <c:val>
            <c:numRef>
              <c:f>'Resumo de Vendas'!$H$517:$H$522</c:f>
              <c:numCache>
                <c:formatCode>0%</c:formatCode>
                <c:ptCount val="5"/>
                <c:pt idx="0">
                  <c:v>0.14790624999999999</c:v>
                </c:pt>
                <c:pt idx="1">
                  <c:v>0.358848</c:v>
                </c:pt>
                <c:pt idx="2">
                  <c:v>0.91789714285714286</c:v>
                </c:pt>
                <c:pt idx="3">
                  <c:v>0.37133538461538462</c:v>
                </c:pt>
                <c:pt idx="4">
                  <c:v>0.44970333333333329</c:v>
                </c:pt>
              </c:numCache>
            </c:numRef>
          </c:val>
          <c:extLst>
            <c:ext xmlns:c16="http://schemas.microsoft.com/office/drawing/2014/chart" uri="{C3380CC4-5D6E-409C-BE32-E72D297353CC}">
              <c16:uniqueId val="{00000000-3EA0-4617-AF4C-7372ACF3C19A}"/>
            </c:ext>
          </c:extLst>
        </c:ser>
        <c:dLbls>
          <c:showLegendKey val="0"/>
          <c:showVal val="0"/>
          <c:showCatName val="0"/>
          <c:showSerName val="0"/>
          <c:showPercent val="0"/>
          <c:showBubbleSize val="0"/>
        </c:dLbls>
        <c:gapWidth val="8"/>
        <c:overlap val="-27"/>
        <c:axId val="1614877295"/>
        <c:axId val="1614866735"/>
      </c:barChart>
      <c:lineChart>
        <c:grouping val="standard"/>
        <c:varyColors val="0"/>
        <c:ser>
          <c:idx val="1"/>
          <c:order val="1"/>
          <c:tx>
            <c:strRef>
              <c:f>'Resumo de Vendas'!$I$516</c:f>
              <c:strCache>
                <c:ptCount val="1"/>
                <c:pt idx="0">
                  <c:v>Objetivo</c:v>
                </c:pt>
              </c:strCache>
            </c:strRef>
          </c:tx>
          <c:spPr>
            <a:ln w="28575" cap="rnd">
              <a:solidFill>
                <a:schemeClr val="accent4"/>
              </a:solidFill>
              <a:prstDash val="dash"/>
              <a:round/>
            </a:ln>
          </c:spPr>
          <c:marker>
            <c:symbol val="none"/>
          </c:marker>
          <c:cat>
            <c:strRef>
              <c:f>'Resumo de Vendas'!$G$517:$G$522</c:f>
              <c:strCache>
                <c:ptCount val="5"/>
                <c:pt idx="0">
                  <c:v>mai</c:v>
                </c:pt>
                <c:pt idx="1">
                  <c:v>abr</c:v>
                </c:pt>
                <c:pt idx="2">
                  <c:v>mar</c:v>
                </c:pt>
                <c:pt idx="3">
                  <c:v>fev</c:v>
                </c:pt>
                <c:pt idx="4">
                  <c:v>jan</c:v>
                </c:pt>
              </c:strCache>
            </c:strRef>
          </c:cat>
          <c:val>
            <c:numRef>
              <c:f>'Resumo de Vendas'!$I$517:$I$522</c:f>
              <c:numCache>
                <c:formatCode>0</c:formatCode>
                <c:ptCount val="5"/>
                <c:pt idx="0">
                  <c:v>8</c:v>
                </c:pt>
                <c:pt idx="1">
                  <c:v>7.5</c:v>
                </c:pt>
                <c:pt idx="2">
                  <c:v>7</c:v>
                </c:pt>
                <c:pt idx="3">
                  <c:v>6.5</c:v>
                </c:pt>
                <c:pt idx="4">
                  <c:v>6</c:v>
                </c:pt>
              </c:numCache>
            </c:numRef>
          </c:val>
          <c:smooth val="0"/>
          <c:extLst>
            <c:ext xmlns:c16="http://schemas.microsoft.com/office/drawing/2014/chart" uri="{C3380CC4-5D6E-409C-BE32-E72D297353CC}">
              <c16:uniqueId val="{00000001-3EA0-4617-AF4C-7372ACF3C19A}"/>
            </c:ext>
          </c:extLst>
        </c:ser>
        <c:dLbls>
          <c:showLegendKey val="0"/>
          <c:showVal val="0"/>
          <c:showCatName val="0"/>
          <c:showSerName val="0"/>
          <c:showPercent val="0"/>
          <c:showBubbleSize val="0"/>
        </c:dLbls>
        <c:marker val="1"/>
        <c:smooth val="0"/>
        <c:axId val="1614875375"/>
        <c:axId val="1614879695"/>
      </c:lineChart>
      <c:catAx>
        <c:axId val="161487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66735"/>
        <c:crosses val="autoZero"/>
        <c:auto val="1"/>
        <c:lblAlgn val="ctr"/>
        <c:lblOffset val="100"/>
        <c:noMultiLvlLbl val="0"/>
      </c:catAx>
      <c:valAx>
        <c:axId val="1614866735"/>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77295"/>
        <c:crosses val="autoZero"/>
        <c:crossBetween val="between"/>
      </c:valAx>
      <c:catAx>
        <c:axId val="1614875375"/>
        <c:scaling>
          <c:orientation val="minMax"/>
        </c:scaling>
        <c:delete val="1"/>
        <c:axPos val="b"/>
        <c:numFmt formatCode="General" sourceLinked="1"/>
        <c:majorTickMark val="out"/>
        <c:minorTickMark val="none"/>
        <c:tickLblPos val="nextTo"/>
        <c:crossAx val="1614879695"/>
        <c:crosses val="autoZero"/>
        <c:auto val="1"/>
        <c:lblAlgn val="ctr"/>
        <c:lblOffset val="100"/>
        <c:noMultiLvlLbl val="0"/>
      </c:catAx>
      <c:valAx>
        <c:axId val="1614879695"/>
        <c:scaling>
          <c:orientation val="minMax"/>
        </c:scaling>
        <c:delete val="0"/>
        <c:axPos val="r"/>
        <c:numFmt formatCode="_(* #,##0.00_);_(* \(#,##0.00\);_(* &quot;-&quot;??_);_(@_)" sourceLinked="0"/>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614875375"/>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noFill/>
    <a:ln w="9525" cap="flat" cmpd="sng" algn="ctr">
      <a:noFill/>
      <a:prstDash val="solid"/>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pivotSource>
    <c:name>[Vendas2026.xlsx]Resumo de Vendas!Tabela dinâmica5</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sz="1400" b="0" i="0" strike="noStrike" kern="1200" spc="0" baseline="0">
                <a:solidFill>
                  <a:sysClr val="windowText" lastClr="000000">
                    <a:lumOff val="35000"/>
                    <a:lumMod val="65000"/>
                  </a:sysClr>
                </a:solidFill>
              </a:rPr>
              <a:t>COBERTURA DE METAS EQUIPE</a:t>
            </a:r>
          </a:p>
        </c:rich>
      </c:tx>
      <c:overlay val="0"/>
      <c:spPr>
        <a:noFill/>
        <a:ln>
          <a:noFill/>
          <a:prstDash val="solid"/>
        </a:ln>
      </c:spPr>
    </c:title>
    <c:autoTitleDeleted val="0"/>
    <c:pivotFmts>
      <c:pivotFmt>
        <c:idx val="0"/>
        <c:spPr>
          <a:ln w="28575" cap="rnd">
            <a:solidFill>
              <a:schemeClr val="accent4"/>
            </a:solidFill>
            <a:prstDash val="sysDash"/>
            <a:round/>
          </a:ln>
        </c:spPr>
        <c:marker>
          <c:symbol val="none"/>
        </c:marker>
        <c:dLbl>
          <c:idx val="0"/>
          <c:delete val="1"/>
          <c:extLst>
            <c:ext xmlns:c15="http://schemas.microsoft.com/office/drawing/2012/chart" uri="{CE6537A1-D6FC-4f65-9D91-7224C49458BB}"/>
          </c:extLst>
        </c:dLbl>
      </c:pivotFmt>
      <c:pivotFmt>
        <c:idx val="1"/>
        <c:spPr>
          <a:solidFill>
            <a:srgbClr val="B8D2C9"/>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'Resumo de Vendas'!$H$537</c:f>
              <c:strCache>
                <c:ptCount val="1"/>
                <c:pt idx="0">
                  <c:v>Cobertura</c:v>
                </c:pt>
              </c:strCache>
            </c:strRef>
          </c:tx>
          <c:spPr>
            <a:solidFill>
              <a:srgbClr val="B8D2C9"/>
            </a:solidFill>
            <a:ln>
              <a:noFill/>
              <a:prstDash val="solid"/>
            </a:ln>
          </c:spPr>
          <c:invertIfNegative val="0"/>
          <c:cat>
            <c:strRef>
              <c:f>'Resumo de Vendas'!$G$538:$G$543</c:f>
              <c:strCache>
                <c:ptCount val="5"/>
                <c:pt idx="0">
                  <c:v>jan</c:v>
                </c:pt>
                <c:pt idx="1">
                  <c:v>fev</c:v>
                </c:pt>
                <c:pt idx="2">
                  <c:v>mar</c:v>
                </c:pt>
                <c:pt idx="3">
                  <c:v>abr</c:v>
                </c:pt>
                <c:pt idx="4">
                  <c:v>mai</c:v>
                </c:pt>
              </c:strCache>
            </c:strRef>
          </c:cat>
          <c:val>
            <c:numRef>
              <c:f>'Resumo de Vendas'!$H$538:$H$543</c:f>
              <c:numCache>
                <c:formatCode>0.00%</c:formatCode>
                <c:ptCount val="5"/>
                <c:pt idx="0">
                  <c:v>0.6733253846153846</c:v>
                </c:pt>
                <c:pt idx="1">
                  <c:v>2.7055294339622642</c:v>
                </c:pt>
                <c:pt idx="2">
                  <c:v>0.85241407407407399</c:v>
                </c:pt>
                <c:pt idx="3">
                  <c:v>0.56714945454545451</c:v>
                </c:pt>
                <c:pt idx="4">
                  <c:v>0.27155794117647059</c:v>
                </c:pt>
              </c:numCache>
            </c:numRef>
          </c:val>
          <c:extLst>
            <c:ext xmlns:c16="http://schemas.microsoft.com/office/drawing/2014/chart" uri="{C3380CC4-5D6E-409C-BE32-E72D297353CC}">
              <c16:uniqueId val="{00000000-C51B-4F9B-8AB8-2C0F302DBD14}"/>
            </c:ext>
          </c:extLst>
        </c:ser>
        <c:dLbls>
          <c:showLegendKey val="0"/>
          <c:showVal val="0"/>
          <c:showCatName val="0"/>
          <c:showSerName val="0"/>
          <c:showPercent val="0"/>
          <c:showBubbleSize val="0"/>
        </c:dLbls>
        <c:gapWidth val="8"/>
        <c:axId val="1741318639"/>
        <c:axId val="1741319119"/>
      </c:barChart>
      <c:lineChart>
        <c:grouping val="standard"/>
        <c:varyColors val="0"/>
        <c:ser>
          <c:idx val="1"/>
          <c:order val="1"/>
          <c:tx>
            <c:strRef>
              <c:f>'Resumo de Vendas'!$I$537</c:f>
              <c:strCache>
                <c:ptCount val="1"/>
                <c:pt idx="0">
                  <c:v>Objetivo</c:v>
                </c:pt>
              </c:strCache>
            </c:strRef>
          </c:tx>
          <c:spPr>
            <a:ln w="28575" cap="rnd">
              <a:solidFill>
                <a:schemeClr val="accent4"/>
              </a:solidFill>
              <a:prstDash val="sysDash"/>
              <a:round/>
            </a:ln>
          </c:spPr>
          <c:marker>
            <c:symbol val="none"/>
          </c:marker>
          <c:cat>
            <c:strRef>
              <c:f>'Resumo de Vendas'!$G$538:$G$543</c:f>
              <c:strCache>
                <c:ptCount val="5"/>
                <c:pt idx="0">
                  <c:v>jan</c:v>
                </c:pt>
                <c:pt idx="1">
                  <c:v>fev</c:v>
                </c:pt>
                <c:pt idx="2">
                  <c:v>mar</c:v>
                </c:pt>
                <c:pt idx="3">
                  <c:v>abr</c:v>
                </c:pt>
                <c:pt idx="4">
                  <c:v>mai</c:v>
                </c:pt>
              </c:strCache>
            </c:strRef>
          </c:cat>
          <c:val>
            <c:numRef>
              <c:f>'Resumo de Vendas'!$I$538:$I$543</c:f>
              <c:numCache>
                <c:formatCode>0.00</c:formatCode>
                <c:ptCount val="5"/>
                <c:pt idx="0">
                  <c:v>78</c:v>
                </c:pt>
                <c:pt idx="1">
                  <c:v>79.5</c:v>
                </c:pt>
                <c:pt idx="2">
                  <c:v>81</c:v>
                </c:pt>
                <c:pt idx="3">
                  <c:v>82.5</c:v>
                </c:pt>
                <c:pt idx="4">
                  <c:v>136</c:v>
                </c:pt>
              </c:numCache>
            </c:numRef>
          </c:val>
          <c:smooth val="0"/>
          <c:extLst>
            <c:ext xmlns:c16="http://schemas.microsoft.com/office/drawing/2014/chart" uri="{C3380CC4-5D6E-409C-BE32-E72D297353CC}">
              <c16:uniqueId val="{00000001-C51B-4F9B-8AB8-2C0F302DBD14}"/>
            </c:ext>
          </c:extLst>
        </c:ser>
        <c:dLbls>
          <c:showLegendKey val="0"/>
          <c:showVal val="0"/>
          <c:showCatName val="0"/>
          <c:showSerName val="0"/>
          <c:showPercent val="0"/>
          <c:showBubbleSize val="0"/>
        </c:dLbls>
        <c:marker val="1"/>
        <c:smooth val="0"/>
        <c:axId val="583645983"/>
        <c:axId val="583646463"/>
      </c:lineChart>
      <c:catAx>
        <c:axId val="174131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741319119"/>
        <c:crosses val="autoZero"/>
        <c:auto val="1"/>
        <c:lblAlgn val="ctr"/>
        <c:lblOffset val="100"/>
        <c:noMultiLvlLbl val="0"/>
      </c:catAx>
      <c:valAx>
        <c:axId val="1741319119"/>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741318639"/>
        <c:crosses val="autoZero"/>
        <c:crossBetween val="between"/>
      </c:valAx>
      <c:catAx>
        <c:axId val="583645983"/>
        <c:scaling>
          <c:orientation val="minMax"/>
        </c:scaling>
        <c:delete val="1"/>
        <c:axPos val="b"/>
        <c:numFmt formatCode="General" sourceLinked="1"/>
        <c:majorTickMark val="out"/>
        <c:minorTickMark val="none"/>
        <c:tickLblPos val="nextTo"/>
        <c:crossAx val="583646463"/>
        <c:crosses val="autoZero"/>
        <c:auto val="1"/>
        <c:lblAlgn val="ctr"/>
        <c:lblOffset val="100"/>
        <c:noMultiLvlLbl val="0"/>
      </c:catAx>
      <c:valAx>
        <c:axId val="583646463"/>
        <c:scaling>
          <c:orientation val="minMax"/>
          <c:max val="100"/>
          <c:min val="50"/>
        </c:scaling>
        <c:delete val="0"/>
        <c:axPos val="r"/>
        <c:numFmt formatCode="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583645983"/>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noFill/>
      <a:prstDash val="solid"/>
      <a:round/>
    </a:ln>
  </c:sp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2020</a:t>
            </a:r>
          </a:p>
          <a:p>
            <a:pPr>
              <a:defRPr sz="1400" b="0" i="0" strike="noStrike" kern="1200" spc="0" baseline="0">
                <a:solidFill>
                  <a:schemeClr val="tx1">
                    <a:lumMod val="65000"/>
                    <a:lumOff val="35000"/>
                  </a:schemeClr>
                </a:solidFill>
                <a:latin typeface="+mn-lt"/>
                <a:ea typeface="+mn-ea"/>
                <a:cs typeface="+mn-cs"/>
              </a:defRPr>
            </a:pPr>
            <a:r>
              <a:rPr lang="en-US">
                <a:solidFill>
                  <a:srgbClr val="90F9FE"/>
                </a:solidFill>
              </a:rPr>
              <a:t>(Vendedor)</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0F9FE"/>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90F9FE"/>
            </a:solidFill>
            <a:ln>
              <a:noFill/>
              <a:prstDash val="solid"/>
            </a:ln>
          </c:spPr>
          <c:invertIfNegative val="0"/>
          <c:cat>
            <c:strLit>
              <c:ptCount val="12"/>
              <c:pt idx="0">
                <c:v>jan</c:v>
              </c:pt>
              <c:pt idx="1">
                <c:v>fev</c:v>
              </c:pt>
              <c:pt idx="2">
                <c:v>mar</c:v>
              </c:pt>
              <c:pt idx="3">
                <c:v>abr</c:v>
              </c:pt>
              <c:pt idx="4">
                <c:v>mai</c:v>
              </c:pt>
              <c:pt idx="5">
                <c:v>jun</c:v>
              </c:pt>
              <c:pt idx="6">
                <c:v>jul</c:v>
              </c:pt>
              <c:pt idx="7">
                <c:v>ago</c:v>
              </c:pt>
              <c:pt idx="8">
                <c:v>set</c:v>
              </c:pt>
              <c:pt idx="9">
                <c:v>out</c:v>
              </c:pt>
              <c:pt idx="10">
                <c:v>nov</c:v>
              </c:pt>
              <c:pt idx="11">
                <c:v>dez</c:v>
              </c:pt>
            </c:strLit>
          </c:cat>
          <c:val>
            <c:numLit>
              <c:formatCode>General</c:formatCode>
              <c:ptCount val="12"/>
              <c:pt idx="0">
                <c:v>3217.42</c:v>
              </c:pt>
              <c:pt idx="1">
                <c:v>7003.56</c:v>
              </c:pt>
              <c:pt idx="2">
                <c:v>3870</c:v>
              </c:pt>
              <c:pt idx="3">
                <c:v>1543.84</c:v>
              </c:pt>
              <c:pt idx="4">
                <c:v>2556.61</c:v>
              </c:pt>
              <c:pt idx="5">
                <c:v>2351.86</c:v>
              </c:pt>
              <c:pt idx="6">
                <c:v>3620.72</c:v>
              </c:pt>
              <c:pt idx="7">
                <c:v>6740.76</c:v>
              </c:pt>
              <c:pt idx="8">
                <c:v>3943.33</c:v>
              </c:pt>
              <c:pt idx="9">
                <c:v>3688.83</c:v>
              </c:pt>
              <c:pt idx="10">
                <c:v>6021.58</c:v>
              </c:pt>
              <c:pt idx="11">
                <c:v>8115.23</c:v>
              </c:pt>
            </c:numLit>
          </c:val>
          <c:extLst>
            <c:ext xmlns:c16="http://schemas.microsoft.com/office/drawing/2014/chart" uri="{C3380CC4-5D6E-409C-BE32-E72D297353CC}">
              <c16:uniqueId val="{00000000-F52A-4A9B-91E1-73877B86DFAC}"/>
            </c:ext>
          </c:extLst>
        </c:ser>
        <c:dLbls>
          <c:showLegendKey val="0"/>
          <c:showVal val="0"/>
          <c:showCatName val="0"/>
          <c:showSerName val="0"/>
          <c:showPercent val="0"/>
          <c:showBubbleSize val="0"/>
        </c:dLbls>
        <c:gapWidth val="8"/>
        <c:overlap val="-27"/>
        <c:axId val="1969592943"/>
        <c:axId val="1969593903"/>
      </c:barChart>
      <c:catAx>
        <c:axId val="196959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593903"/>
        <c:crosses val="autoZero"/>
        <c:auto val="1"/>
        <c:lblAlgn val="ctr"/>
        <c:lblOffset val="100"/>
        <c:noMultiLvlLbl val="0"/>
      </c:catAx>
      <c:valAx>
        <c:axId val="19695939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59294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COMISSÃO 2021(Vendedor)</a:t>
            </a:r>
            <a:br>
              <a:rPr lang="en-US"/>
            </a:br>
            <a:endParaRPr lang="en-US"/>
          </a:p>
        </c:rich>
      </c:tx>
      <c:overlay val="0"/>
      <c:spPr>
        <a:noFill/>
        <a:ln>
          <a:noFill/>
          <a:prstDash val="solid"/>
        </a:ln>
      </c:spPr>
    </c:title>
    <c:autoTitleDeleted val="0"/>
    <c:pivotFmts>
      <c:pivotFmt>
        <c:idx val="0"/>
        <c:spPr>
          <a:solidFill>
            <a:srgbClr val="90F9FE"/>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rgbClr val="90F9FE"/>
          </a:solidFill>
          <a:ln>
            <a:noFill/>
            <a:prstDash val="solid"/>
          </a:ln>
        </c:spPr>
      </c:pivotFmt>
      <c:pivotFmt>
        <c:idx val="2"/>
        <c:spPr>
          <a:solidFill>
            <a:srgbClr val="90F9FE"/>
          </a:solidFill>
          <a:ln>
            <a:noFill/>
            <a:prstDash val="solid"/>
          </a:ln>
        </c:spPr>
      </c:pivotFmt>
      <c:pivotFmt>
        <c:idx val="3"/>
        <c:spPr>
          <a:solidFill>
            <a:srgbClr val="90F9FE"/>
          </a:solidFill>
          <a:ln>
            <a:noFill/>
            <a:prstDash val="solid"/>
          </a:ln>
        </c:spPr>
      </c:pivotFmt>
      <c:pivotFmt>
        <c:idx val="4"/>
        <c:spPr>
          <a:solidFill>
            <a:srgbClr val="90F9FE"/>
          </a:solidFill>
          <a:ln>
            <a:noFill/>
            <a:prstDash val="solid"/>
          </a:ln>
        </c:spPr>
      </c:pivotFmt>
      <c:pivotFmt>
        <c:idx val="5"/>
        <c:spPr>
          <a:solidFill>
            <a:srgbClr val="90F9FE"/>
          </a:solidFill>
          <a:ln>
            <a:noFill/>
            <a:prstDash val="solid"/>
          </a:ln>
        </c:spPr>
      </c:pivotFmt>
    </c:pivotFmts>
    <c:plotArea>
      <c:layout/>
      <c:barChart>
        <c:barDir val="col"/>
        <c:grouping val="clustered"/>
        <c:varyColors val="0"/>
        <c:ser>
          <c:idx val="0"/>
          <c:order val="0"/>
          <c:tx>
            <c:v>Total</c:v>
          </c:tx>
          <c:spPr>
            <a:solidFill>
              <a:srgbClr val="90F9FE"/>
            </a:solidFill>
            <a:ln>
              <a:noFill/>
              <a:prstDash val="solid"/>
            </a:ln>
          </c:spPr>
          <c:invertIfNegative val="0"/>
          <c:cat>
            <c:strLit>
              <c:ptCount val="12"/>
              <c:pt idx="0">
                <c:v>jan</c:v>
              </c:pt>
              <c:pt idx="1">
                <c:v>fev</c:v>
              </c:pt>
              <c:pt idx="2">
                <c:v>mar</c:v>
              </c:pt>
              <c:pt idx="3">
                <c:v>abr</c:v>
              </c:pt>
              <c:pt idx="4">
                <c:v>mai</c:v>
              </c:pt>
              <c:pt idx="5">
                <c:v>jun</c:v>
              </c:pt>
              <c:pt idx="6">
                <c:v>jul</c:v>
              </c:pt>
              <c:pt idx="7">
                <c:v>ago</c:v>
              </c:pt>
              <c:pt idx="8">
                <c:v>set</c:v>
              </c:pt>
              <c:pt idx="9">
                <c:v>out</c:v>
              </c:pt>
              <c:pt idx="10">
                <c:v>nov</c:v>
              </c:pt>
              <c:pt idx="11">
                <c:v>dez</c:v>
              </c:pt>
            </c:strLit>
          </c:cat>
          <c:val>
            <c:numLit>
              <c:formatCode>General</c:formatCode>
              <c:ptCount val="12"/>
              <c:pt idx="0">
                <c:v>9551.7900000000009</c:v>
              </c:pt>
              <c:pt idx="1">
                <c:v>11005.93</c:v>
              </c:pt>
              <c:pt idx="2">
                <c:v>8850.1</c:v>
              </c:pt>
              <c:pt idx="3">
                <c:v>6846.17</c:v>
              </c:pt>
              <c:pt idx="4">
                <c:v>10860.43</c:v>
              </c:pt>
              <c:pt idx="5">
                <c:v>7115.54</c:v>
              </c:pt>
              <c:pt idx="6">
                <c:v>6085.95</c:v>
              </c:pt>
              <c:pt idx="7">
                <c:v>6042.51</c:v>
              </c:pt>
              <c:pt idx="8">
                <c:v>12879.46</c:v>
              </c:pt>
              <c:pt idx="9">
                <c:v>4137.12</c:v>
              </c:pt>
              <c:pt idx="10">
                <c:v>9441.0400000000009</c:v>
              </c:pt>
              <c:pt idx="11">
                <c:v>11233.63</c:v>
              </c:pt>
            </c:numLit>
          </c:val>
          <c:extLst>
            <c:ext xmlns:c16="http://schemas.microsoft.com/office/drawing/2014/chart" uri="{C3380CC4-5D6E-409C-BE32-E72D297353CC}">
              <c16:uniqueId val="{00000000-7394-424A-AEB9-20F37FAD7649}"/>
            </c:ext>
          </c:extLst>
        </c:ser>
        <c:dLbls>
          <c:showLegendKey val="0"/>
          <c:showVal val="0"/>
          <c:showCatName val="0"/>
          <c:showSerName val="0"/>
          <c:showPercent val="0"/>
          <c:showBubbleSize val="0"/>
        </c:dLbls>
        <c:gapWidth val="8"/>
        <c:overlap val="-27"/>
        <c:axId val="1969658703"/>
        <c:axId val="1969672143"/>
      </c:barChart>
      <c:catAx>
        <c:axId val="196965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72143"/>
        <c:crosses val="autoZero"/>
        <c:auto val="1"/>
        <c:lblAlgn val="ctr"/>
        <c:lblOffset val="100"/>
        <c:noMultiLvlLbl val="0"/>
      </c:catAx>
      <c:valAx>
        <c:axId val="196967214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5870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COMISSÃO 2022</a:t>
            </a:r>
            <a:r>
              <a:rPr lang="en-US">
                <a:solidFill>
                  <a:schemeClr val="accent1"/>
                </a:solidFill>
              </a:rPr>
              <a:t>(Supervisor)</a:t>
            </a:r>
            <a:br>
              <a:rPr lang="en-US"/>
            </a:br>
            <a:endParaRPr lang="en-US"/>
          </a:p>
        </c:rich>
      </c:tx>
      <c:layout>
        <c:manualLayout>
          <c:xMode val="edge"/>
          <c:yMode val="edge"/>
          <c:x val="0.3909687196422032"/>
          <c:y val="5.8143773694954798E-2"/>
        </c:manualLayout>
      </c:layout>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12"/>
              <c:pt idx="0">
                <c:v>jan</c:v>
              </c:pt>
              <c:pt idx="1">
                <c:v>fev</c:v>
              </c:pt>
              <c:pt idx="2">
                <c:v>mar</c:v>
              </c:pt>
              <c:pt idx="3">
                <c:v>abr</c:v>
              </c:pt>
              <c:pt idx="4">
                <c:v>mai</c:v>
              </c:pt>
              <c:pt idx="5">
                <c:v>jun</c:v>
              </c:pt>
              <c:pt idx="6">
                <c:v>jul</c:v>
              </c:pt>
              <c:pt idx="7">
                <c:v>ago</c:v>
              </c:pt>
              <c:pt idx="8">
                <c:v>set</c:v>
              </c:pt>
              <c:pt idx="9">
                <c:v>out</c:v>
              </c:pt>
              <c:pt idx="10">
                <c:v>nov</c:v>
              </c:pt>
              <c:pt idx="11">
                <c:v>dez</c:v>
              </c:pt>
            </c:strLit>
          </c:cat>
          <c:val>
            <c:numLit>
              <c:formatCode>General</c:formatCode>
              <c:ptCount val="12"/>
              <c:pt idx="0">
                <c:v>10325.030000000001</c:v>
              </c:pt>
              <c:pt idx="1">
                <c:v>6014.19</c:v>
              </c:pt>
              <c:pt idx="2">
                <c:v>7501</c:v>
              </c:pt>
              <c:pt idx="3">
                <c:v>7160.99</c:v>
              </c:pt>
              <c:pt idx="4">
                <c:v>8225.76</c:v>
              </c:pt>
              <c:pt idx="5">
                <c:v>13521.65</c:v>
              </c:pt>
              <c:pt idx="6">
                <c:v>9935.31</c:v>
              </c:pt>
              <c:pt idx="7">
                <c:v>8170.34</c:v>
              </c:pt>
              <c:pt idx="8">
                <c:v>14096.05</c:v>
              </c:pt>
              <c:pt idx="9">
                <c:v>8938.44</c:v>
              </c:pt>
              <c:pt idx="10">
                <c:v>9477.94</c:v>
              </c:pt>
              <c:pt idx="11">
                <c:v>8535.09</c:v>
              </c:pt>
            </c:numLit>
          </c:val>
          <c:extLst>
            <c:ext xmlns:c16="http://schemas.microsoft.com/office/drawing/2014/chart" uri="{C3380CC4-5D6E-409C-BE32-E72D297353CC}">
              <c16:uniqueId val="{00000000-FBB4-45D5-BB14-8485403AC429}"/>
            </c:ext>
          </c:extLst>
        </c:ser>
        <c:dLbls>
          <c:showLegendKey val="0"/>
          <c:showVal val="0"/>
          <c:showCatName val="0"/>
          <c:showSerName val="0"/>
          <c:showPercent val="0"/>
          <c:showBubbleSize val="0"/>
        </c:dLbls>
        <c:gapWidth val="8"/>
        <c:overlap val="-27"/>
        <c:axId val="1969667343"/>
        <c:axId val="1969666863"/>
      </c:barChart>
      <c:catAx>
        <c:axId val="19696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66863"/>
        <c:crosses val="autoZero"/>
        <c:auto val="1"/>
        <c:lblAlgn val="ctr"/>
        <c:lblOffset val="100"/>
        <c:noMultiLvlLbl val="0"/>
      </c:catAx>
      <c:valAx>
        <c:axId val="196966686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6734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COMISSÃO 2023</a:t>
            </a:r>
            <a:r>
              <a:rPr lang="en-US">
                <a:solidFill>
                  <a:schemeClr val="accent1"/>
                </a:solidFill>
              </a:rPr>
              <a:t>(Supervisor)</a:t>
            </a:r>
            <a:br>
              <a:rPr lang="en-US"/>
            </a:b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12"/>
              <c:pt idx="0">
                <c:v>jan</c:v>
              </c:pt>
              <c:pt idx="1">
                <c:v>fev</c:v>
              </c:pt>
              <c:pt idx="2">
                <c:v>mar</c:v>
              </c:pt>
              <c:pt idx="3">
                <c:v>abr</c:v>
              </c:pt>
              <c:pt idx="4">
                <c:v>mai</c:v>
              </c:pt>
              <c:pt idx="5">
                <c:v>jun</c:v>
              </c:pt>
              <c:pt idx="6">
                <c:v>jul</c:v>
              </c:pt>
              <c:pt idx="7">
                <c:v>ago</c:v>
              </c:pt>
              <c:pt idx="8">
                <c:v>set</c:v>
              </c:pt>
              <c:pt idx="9">
                <c:v>out</c:v>
              </c:pt>
              <c:pt idx="10">
                <c:v>nov</c:v>
              </c:pt>
              <c:pt idx="11">
                <c:v>dez</c:v>
              </c:pt>
            </c:strLit>
          </c:cat>
          <c:val>
            <c:numLit>
              <c:formatCode>General</c:formatCode>
              <c:ptCount val="12"/>
              <c:pt idx="0">
                <c:v>6512.53</c:v>
              </c:pt>
              <c:pt idx="1">
                <c:v>8564.0300000000007</c:v>
              </c:pt>
              <c:pt idx="2">
                <c:v>6481.14</c:v>
              </c:pt>
              <c:pt idx="3">
                <c:v>7030.18</c:v>
              </c:pt>
              <c:pt idx="4">
                <c:v>3211.2</c:v>
              </c:pt>
              <c:pt idx="5">
                <c:v>3262.91</c:v>
              </c:pt>
              <c:pt idx="6">
                <c:v>7708.11</c:v>
              </c:pt>
              <c:pt idx="7">
                <c:v>7985.31</c:v>
              </c:pt>
              <c:pt idx="8">
                <c:v>16102.45</c:v>
              </c:pt>
              <c:pt idx="9">
                <c:v>16753.759999999998</c:v>
              </c:pt>
              <c:pt idx="10">
                <c:v>9095.16</c:v>
              </c:pt>
              <c:pt idx="11">
                <c:v>4520.88</c:v>
              </c:pt>
            </c:numLit>
          </c:val>
          <c:extLst>
            <c:ext xmlns:c16="http://schemas.microsoft.com/office/drawing/2014/chart" uri="{C3380CC4-5D6E-409C-BE32-E72D297353CC}">
              <c16:uniqueId val="{00000000-7A0B-4DA2-910C-441086EE7F31}"/>
            </c:ext>
          </c:extLst>
        </c:ser>
        <c:dLbls>
          <c:showLegendKey val="0"/>
          <c:showVal val="0"/>
          <c:showCatName val="0"/>
          <c:showSerName val="0"/>
          <c:showPercent val="0"/>
          <c:showBubbleSize val="0"/>
        </c:dLbls>
        <c:gapWidth val="8"/>
        <c:overlap val="-27"/>
        <c:axId val="1969636143"/>
        <c:axId val="1969650063"/>
      </c:barChart>
      <c:catAx>
        <c:axId val="196963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50063"/>
        <c:crosses val="autoZero"/>
        <c:auto val="1"/>
        <c:lblAlgn val="ctr"/>
        <c:lblOffset val="100"/>
        <c:noMultiLvlLbl val="0"/>
      </c:catAx>
      <c:valAx>
        <c:axId val="196965006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3614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0" i="0" strike="noStrike" kern="1200" spc="0" baseline="0">
                <a:solidFill>
                  <a:sysClr val="windowText" lastClr="000000">
                    <a:lumOff val="35000"/>
                    <a:lumMod val="65000"/>
                  </a:sysClr>
                </a:solidFill>
              </a:rPr>
              <a:t>COMISSÃO 2024</a:t>
            </a:r>
            <a:r>
              <a:rPr lang="en-US" sz="1400" b="0" i="0" strike="noStrike" kern="1200" spc="0" baseline="0">
                <a:solidFill>
                  <a:schemeClr val="accent1"/>
                </a:solidFill>
              </a:rPr>
              <a:t>(Supervisor)</a:t>
            </a:r>
            <a:br>
              <a:rPr lang="en-US" sz="1400" b="0" i="0" strike="noStrike" kern="1200" spc="0" baseline="0">
                <a:solidFill>
                  <a:sysClr val="windowText" lastClr="000000">
                    <a:lumOff val="35000"/>
                    <a:lumMod val="65000"/>
                  </a:sysClr>
                </a:solidFill>
              </a:rPr>
            </a:br>
            <a:endParaRPr lang="en-US" sz="1400" b="0" i="0" strike="noStrike" kern="1200" spc="0" baseline="0">
              <a:solidFill>
                <a:sysClr val="windowText" lastClr="000000">
                  <a:lumOff val="35000"/>
                  <a:lumMod val="65000"/>
                </a:sysClr>
              </a:solidFill>
            </a:endParaRP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11"/>
              <c:pt idx="0">
                <c:v>fev</c:v>
              </c:pt>
              <c:pt idx="1">
                <c:v>mar</c:v>
              </c:pt>
              <c:pt idx="2">
                <c:v>abr</c:v>
              </c:pt>
              <c:pt idx="3">
                <c:v>mai</c:v>
              </c:pt>
              <c:pt idx="4">
                <c:v>jun</c:v>
              </c:pt>
              <c:pt idx="5">
                <c:v>jul</c:v>
              </c:pt>
              <c:pt idx="6">
                <c:v>ago</c:v>
              </c:pt>
              <c:pt idx="7">
                <c:v>set</c:v>
              </c:pt>
              <c:pt idx="8">
                <c:v>out</c:v>
              </c:pt>
              <c:pt idx="9">
                <c:v>nov</c:v>
              </c:pt>
              <c:pt idx="10">
                <c:v>dez</c:v>
              </c:pt>
            </c:strLit>
          </c:cat>
          <c:val>
            <c:numLit>
              <c:formatCode>General</c:formatCode>
              <c:ptCount val="11"/>
              <c:pt idx="0">
                <c:v>5298.52</c:v>
              </c:pt>
              <c:pt idx="1">
                <c:v>13119.38</c:v>
              </c:pt>
              <c:pt idx="2">
                <c:v>9686.09</c:v>
              </c:pt>
              <c:pt idx="3">
                <c:v>11569.26</c:v>
              </c:pt>
              <c:pt idx="4">
                <c:v>7174.82</c:v>
              </c:pt>
              <c:pt idx="5">
                <c:v>677.04</c:v>
              </c:pt>
              <c:pt idx="6">
                <c:v>6751.9</c:v>
              </c:pt>
              <c:pt idx="7">
                <c:v>4793.07</c:v>
              </c:pt>
              <c:pt idx="8">
                <c:v>8631.26</c:v>
              </c:pt>
              <c:pt idx="9">
                <c:v>21011.54</c:v>
              </c:pt>
              <c:pt idx="10">
                <c:v>4347.93</c:v>
              </c:pt>
            </c:numLit>
          </c:val>
          <c:extLst>
            <c:ext xmlns:c16="http://schemas.microsoft.com/office/drawing/2014/chart" uri="{C3380CC4-5D6E-409C-BE32-E72D297353CC}">
              <c16:uniqueId val="{00000000-E997-427D-9369-C17A1801759E}"/>
            </c:ext>
          </c:extLst>
        </c:ser>
        <c:dLbls>
          <c:showLegendKey val="0"/>
          <c:showVal val="0"/>
          <c:showCatName val="0"/>
          <c:showSerName val="0"/>
          <c:showPercent val="0"/>
          <c:showBubbleSize val="0"/>
        </c:dLbls>
        <c:gapWidth val="8"/>
        <c:overlap val="-27"/>
        <c:axId val="1969668783"/>
        <c:axId val="1969674063"/>
      </c:barChart>
      <c:catAx>
        <c:axId val="196966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74063"/>
        <c:crosses val="autoZero"/>
        <c:auto val="1"/>
        <c:lblAlgn val="ctr"/>
        <c:lblOffset val="100"/>
        <c:noMultiLvlLbl val="0"/>
      </c:catAx>
      <c:valAx>
        <c:axId val="196967406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96966878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sz="1200"/>
              <a:t>Salário</a:t>
            </a:r>
            <a:r>
              <a:rPr lang="pt-BR" sz="1200" baseline="0"/>
              <a:t>s             Vendedor Pleno I                    Supervisor Pleno I                                       </a:t>
            </a:r>
            <a:endParaRPr lang="pt-BR" sz="1200"/>
          </a:p>
        </c:rich>
      </c:tx>
      <c:layout>
        <c:manualLayout>
          <c:xMode val="edge"/>
          <c:yMode val="edge"/>
          <c:x val="0.1402024374790812"/>
          <c:y val="5.289673243509159E-2"/>
        </c:manualLayout>
      </c:layout>
      <c:overlay val="0"/>
      <c:spPr>
        <a:noFill/>
        <a:ln>
          <a:noFill/>
          <a:prstDash val="solid"/>
        </a:ln>
      </c:spPr>
    </c:title>
    <c:autoTitleDeleted val="0"/>
    <c:plotArea>
      <c:layout/>
      <c:barChart>
        <c:barDir val="col"/>
        <c:grouping val="clustered"/>
        <c:varyColors val="0"/>
        <c:ser>
          <c:idx val="0"/>
          <c:order val="0"/>
          <c:tx>
            <c:strRef>
              <c:f>'[1]Comissão Paga'!$Q$869</c:f>
              <c:strCache>
                <c:ptCount val="1"/>
                <c:pt idx="0">
                  <c:v>Bruto</c:v>
                </c:pt>
              </c:strCache>
            </c:strRef>
          </c:tx>
          <c:spPr>
            <a:solidFill>
              <a:schemeClr val="accent1"/>
            </a:solidFill>
            <a:ln>
              <a:noFill/>
              <a:prstDash val="solid"/>
            </a:ln>
          </c:spPr>
          <c:invertIfNegative val="0"/>
          <c:cat>
            <c:strRef>
              <c:f>'[1]Comissão Paga'!$P$870:$P$871</c:f>
              <c:strCache>
                <c:ptCount val="2"/>
                <c:pt idx="0">
                  <c:v>Vendedor</c:v>
                </c:pt>
                <c:pt idx="1">
                  <c:v>Supervisor</c:v>
                </c:pt>
              </c:strCache>
            </c:strRef>
          </c:cat>
          <c:val>
            <c:numRef>
              <c:f>'[1]Comissão Paga'!$Q$870:$Q$871</c:f>
              <c:numCache>
                <c:formatCode>General</c:formatCode>
                <c:ptCount val="2"/>
                <c:pt idx="0">
                  <c:v>2887.7</c:v>
                </c:pt>
                <c:pt idx="1">
                  <c:v>5557.27</c:v>
                </c:pt>
              </c:numCache>
            </c:numRef>
          </c:val>
          <c:extLst>
            <c:ext xmlns:c16="http://schemas.microsoft.com/office/drawing/2014/chart" uri="{C3380CC4-5D6E-409C-BE32-E72D297353CC}">
              <c16:uniqueId val="{00000000-00E1-498E-92C5-1267E3BE07B8}"/>
            </c:ext>
          </c:extLst>
        </c:ser>
        <c:ser>
          <c:idx val="1"/>
          <c:order val="1"/>
          <c:tx>
            <c:strRef>
              <c:f>'[1]Comissão Paga'!$R$869</c:f>
              <c:strCache>
                <c:ptCount val="1"/>
                <c:pt idx="0">
                  <c:v>Líquido</c:v>
                </c:pt>
              </c:strCache>
            </c:strRef>
          </c:tx>
          <c:spPr>
            <a:solidFill>
              <a:schemeClr val="accent2"/>
            </a:solidFill>
            <a:ln>
              <a:noFill/>
              <a:prstDash val="solid"/>
            </a:ln>
          </c:spPr>
          <c:invertIfNegative val="0"/>
          <c:cat>
            <c:strRef>
              <c:f>'[1]Comissão Paga'!$P$870:$P$871</c:f>
              <c:strCache>
                <c:ptCount val="2"/>
                <c:pt idx="0">
                  <c:v>Vendedor</c:v>
                </c:pt>
                <c:pt idx="1">
                  <c:v>Supervisor</c:v>
                </c:pt>
              </c:strCache>
            </c:strRef>
          </c:cat>
          <c:val>
            <c:numRef>
              <c:f>'[1]Comissão Paga'!$R$870:$R$871</c:f>
              <c:numCache>
                <c:formatCode>General</c:formatCode>
                <c:ptCount val="2"/>
                <c:pt idx="0">
                  <c:v>2139</c:v>
                </c:pt>
                <c:pt idx="1">
                  <c:v>3968.3200000000006</c:v>
                </c:pt>
              </c:numCache>
            </c:numRef>
          </c:val>
          <c:extLst>
            <c:ext xmlns:c16="http://schemas.microsoft.com/office/drawing/2014/chart" uri="{C3380CC4-5D6E-409C-BE32-E72D297353CC}">
              <c16:uniqueId val="{00000001-00E1-498E-92C5-1267E3BE07B8}"/>
            </c:ext>
          </c:extLst>
        </c:ser>
        <c:dLbls>
          <c:showLegendKey val="0"/>
          <c:showVal val="0"/>
          <c:showCatName val="0"/>
          <c:showSerName val="0"/>
          <c:showPercent val="0"/>
          <c:showBubbleSize val="0"/>
        </c:dLbls>
        <c:gapWidth val="219"/>
        <c:overlap val="-27"/>
        <c:axId val="2099783583"/>
        <c:axId val="2099773023"/>
      </c:barChart>
      <c:catAx>
        <c:axId val="20997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2099773023"/>
        <c:crosses val="autoZero"/>
        <c:auto val="1"/>
        <c:lblAlgn val="ctr"/>
        <c:lblOffset val="100"/>
        <c:noMultiLvlLbl val="0"/>
      </c:catAx>
      <c:valAx>
        <c:axId val="20997730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209978358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pt-BR"/>
              <a:t>Média de Comissão</a:t>
            </a:r>
            <a:r>
              <a:rPr lang="pt-BR" baseline="0"/>
              <a:t> Anual</a:t>
            </a:r>
            <a:endParaRPr lang="pt-B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rgbClr val="FF0000"/>
              </a:solidFill>
              <a:ln>
                <a:noFill/>
                <a:prstDash val="solid"/>
              </a:ln>
            </c:spPr>
            <c:extLst>
              <c:ext xmlns:c16="http://schemas.microsoft.com/office/drawing/2014/chart" uri="{C3380CC4-5D6E-409C-BE32-E72D297353CC}">
                <c16:uniqueId val="{00000001-28B7-4486-8D8D-BA200E1C0F8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'[1]Comissão Paga'!$AN$5:$AN$8</c:f>
              <c:strCache>
                <c:ptCount val="4"/>
                <c:pt idx="0">
                  <c:v>Vendeor</c:v>
                </c:pt>
                <c:pt idx="1">
                  <c:v>2022</c:v>
                </c:pt>
                <c:pt idx="2">
                  <c:v>2023</c:v>
                </c:pt>
                <c:pt idx="3">
                  <c:v>2024</c:v>
                </c:pt>
              </c:strCache>
            </c:strRef>
          </c:cat>
          <c:val>
            <c:numRef>
              <c:f>'[1]Comissão Paga'!$AO$5:$AO$8</c:f>
              <c:numCache>
                <c:formatCode>General</c:formatCode>
                <c:ptCount val="4"/>
                <c:pt idx="0">
                  <c:v>8670.8058333333338</c:v>
                </c:pt>
                <c:pt idx="1">
                  <c:v>9325.149166666668</c:v>
                </c:pt>
                <c:pt idx="2">
                  <c:v>8102.3050000000003</c:v>
                </c:pt>
                <c:pt idx="3">
                  <c:v>7755.0675000000001</c:v>
                </c:pt>
              </c:numCache>
            </c:numRef>
          </c:val>
          <c:extLst>
            <c:ext xmlns:c16="http://schemas.microsoft.com/office/drawing/2014/chart" uri="{C3380CC4-5D6E-409C-BE32-E72D297353CC}">
              <c16:uniqueId val="{00000002-28B7-4486-8D8D-BA200E1C0F8E}"/>
            </c:ext>
          </c:extLst>
        </c:ser>
        <c:dLbls>
          <c:showLegendKey val="0"/>
          <c:showVal val="0"/>
          <c:showCatName val="0"/>
          <c:showSerName val="0"/>
          <c:showPercent val="0"/>
          <c:showBubbleSize val="0"/>
        </c:dLbls>
        <c:gapWidth val="10"/>
        <c:overlap val="-27"/>
        <c:axId val="736335727"/>
        <c:axId val="736336207"/>
      </c:barChart>
      <c:catAx>
        <c:axId val="7363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736336207"/>
        <c:crosses val="autoZero"/>
        <c:auto val="1"/>
        <c:lblAlgn val="ctr"/>
        <c:lblOffset val="100"/>
        <c:noMultiLvlLbl val="0"/>
      </c:catAx>
      <c:valAx>
        <c:axId val="736336207"/>
        <c:scaling>
          <c:orientation val="minMax"/>
        </c:scaling>
        <c:delete val="1"/>
        <c:axPos val="l"/>
        <c:numFmt formatCode="General" sourceLinked="1"/>
        <c:majorTickMark val="none"/>
        <c:minorTickMark val="none"/>
        <c:tickLblPos val="nextTo"/>
        <c:crossAx val="736335727"/>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430530</xdr:colOff>
      <xdr:row>0</xdr:row>
      <xdr:rowOff>170497</xdr:rowOff>
    </xdr:from>
    <xdr:to>
      <xdr:col>6</xdr:col>
      <xdr:colOff>314325</xdr:colOff>
      <xdr:row>17</xdr:row>
      <xdr:rowOff>18097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428625</xdr:colOff>
      <xdr:row>1</xdr:row>
      <xdr:rowOff>23812</xdr:rowOff>
    </xdr:from>
    <xdr:to>
      <xdr:col>11</xdr:col>
      <xdr:colOff>352425</xdr:colOff>
      <xdr:row>15</xdr:row>
      <xdr:rowOff>100012</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161925</xdr:colOff>
      <xdr:row>2</xdr:row>
      <xdr:rowOff>85725</xdr:rowOff>
    </xdr:from>
    <xdr:to>
      <xdr:col>2</xdr:col>
      <xdr:colOff>360044</xdr:colOff>
      <xdr:row>9</xdr:row>
      <xdr:rowOff>54232</xdr:rowOff>
    </xdr:to>
    <xdr:pic>
      <xdr:nvPicPr>
        <xdr:cNvPr id="4" name="Imagem 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61925" y="466725"/>
          <a:ext cx="1409699" cy="1298197"/>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278130</xdr:colOff>
      <xdr:row>511</xdr:row>
      <xdr:rowOff>180022</xdr:rowOff>
    </xdr:from>
    <xdr:to>
      <xdr:col>14</xdr:col>
      <xdr:colOff>209550</xdr:colOff>
      <xdr:row>527</xdr:row>
      <xdr:rowOff>27622</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333375</xdr:colOff>
      <xdr:row>533</xdr:row>
      <xdr:rowOff>33337</xdr:rowOff>
    </xdr:from>
    <xdr:to>
      <xdr:col>14</xdr:col>
      <xdr:colOff>257175</xdr:colOff>
      <xdr:row>547</xdr:row>
      <xdr:rowOff>109537</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114300</xdr:colOff>
      <xdr:row>4</xdr:row>
      <xdr:rowOff>16329</xdr:rowOff>
    </xdr:from>
    <xdr:to>
      <xdr:col>19</xdr:col>
      <xdr:colOff>142875</xdr:colOff>
      <xdr:row>18</xdr:row>
      <xdr:rowOff>149679</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800100</xdr:colOff>
      <xdr:row>19</xdr:row>
      <xdr:rowOff>76200</xdr:rowOff>
    </xdr:from>
    <xdr:to>
      <xdr:col>28</xdr:col>
      <xdr:colOff>1143000</xdr:colOff>
      <xdr:row>882</xdr:row>
      <xdr:rowOff>133350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23812</xdr:colOff>
      <xdr:row>19</xdr:row>
      <xdr:rowOff>80962</xdr:rowOff>
    </xdr:from>
    <xdr:to>
      <xdr:col>33</xdr:col>
      <xdr:colOff>333375</xdr:colOff>
      <xdr:row>867</xdr:row>
      <xdr:rowOff>0</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23811</xdr:colOff>
      <xdr:row>867</xdr:row>
      <xdr:rowOff>71437</xdr:rowOff>
    </xdr:from>
    <xdr:to>
      <xdr:col>33</xdr:col>
      <xdr:colOff>333374</xdr:colOff>
      <xdr:row>882</xdr:row>
      <xdr:rowOff>123825</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404812</xdr:colOff>
      <xdr:row>19</xdr:row>
      <xdr:rowOff>80962</xdr:rowOff>
    </xdr:from>
    <xdr:to>
      <xdr:col>37</xdr:col>
      <xdr:colOff>108858</xdr:colOff>
      <xdr:row>867</xdr:row>
      <xdr:rowOff>9525</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560613</xdr:colOff>
      <xdr:row>21</xdr:row>
      <xdr:rowOff>110219</xdr:rowOff>
    </xdr:from>
    <xdr:to>
      <xdr:col>20</xdr:col>
      <xdr:colOff>250371</xdr:colOff>
      <xdr:row>866</xdr:row>
      <xdr:rowOff>185058</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297180</xdr:colOff>
      <xdr:row>10</xdr:row>
      <xdr:rowOff>11430</xdr:rowOff>
    </xdr:from>
    <xdr:to>
      <xdr:col>44</xdr:col>
      <xdr:colOff>441960</xdr:colOff>
      <xdr:row>23</xdr:row>
      <xdr:rowOff>38100</xdr:rowOff>
    </xdr:to>
    <xdr:graphicFrame macro="">
      <xdr:nvGraphicFramePr>
        <xdr:cNvPr id="8" name="Chart 7">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nk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cket Médio"/>
      <sheetName val="Indique e Ganhe"/>
      <sheetName val="Grandes Números"/>
      <sheetName val="Ranking Vendedor"/>
      <sheetName val="Cloud"/>
      <sheetName val="Resumo Vendas"/>
      <sheetName val="GraficoMetas"/>
      <sheetName val="Forecast"/>
      <sheetName val="QtdeMetas"/>
      <sheetName val="Vendas2026"/>
      <sheetName val="Vendas2025"/>
      <sheetName val="Comissão Paga"/>
      <sheetName val="||"/>
      <sheetName val="Vendas2024"/>
      <sheetName val="Vendas2023"/>
      <sheetName val="Vendas 2022"/>
      <sheetName val="Vendas 2021"/>
      <sheetName val="Meu primeiro ERP"/>
      <sheetName val="Radar"/>
      <sheetName val="Projetos Fernando"/>
      <sheetName val="Biblio"/>
      <sheetName val="DadosVendas"/>
      <sheetName val="Painel"/>
      <sheetName val="dados"/>
      <sheetName val="Sorteio Lead"/>
      <sheetName val="Licenças Ingá"/>
    </sheetNames>
    <sheetDataSet>
      <sheetData sheetId="0"/>
      <sheetData sheetId="1"/>
      <sheetData sheetId="2"/>
      <sheetData sheetId="3"/>
      <sheetData sheetId="4"/>
      <sheetData sheetId="5"/>
      <sheetData sheetId="6"/>
      <sheetData sheetId="7"/>
      <sheetData sheetId="8"/>
      <sheetData sheetId="9"/>
      <sheetData sheetId="10"/>
      <sheetData sheetId="11">
        <row r="5">
          <cell r="AN5" t="str">
            <v>Vendeor</v>
          </cell>
          <cell r="AO5">
            <v>8670.8058333333338</v>
          </cell>
        </row>
        <row r="6">
          <cell r="AN6">
            <v>2022</v>
          </cell>
          <cell r="AO6">
            <v>9325.149166666668</v>
          </cell>
        </row>
        <row r="7">
          <cell r="AN7">
            <v>2023</v>
          </cell>
          <cell r="AO7">
            <v>8102.3050000000003</v>
          </cell>
        </row>
        <row r="8">
          <cell r="AN8">
            <v>2024</v>
          </cell>
          <cell r="AO8">
            <v>7755.0675000000001</v>
          </cell>
        </row>
        <row r="869">
          <cell r="Q869" t="str">
            <v>Bruto</v>
          </cell>
          <cell r="R869" t="str">
            <v>Líquido</v>
          </cell>
        </row>
        <row r="870">
          <cell r="P870" t="str">
            <v>Vendedor</v>
          </cell>
          <cell r="Q870">
            <v>2887.7</v>
          </cell>
          <cell r="R870">
            <v>2139</v>
          </cell>
        </row>
        <row r="871">
          <cell r="P871" t="str">
            <v>Supervisor</v>
          </cell>
          <cell r="Q871">
            <v>5557.27</v>
          </cell>
          <cell r="R871">
            <v>3968.3200000000006</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Santos de Souza" refreshedDate="46162.316966666673" createdVersion="8" refreshedVersion="8" minRefreshableVersion="3" recordCount="716" xr:uid="{00000000-000A-0000-FFFF-FFFF06000000}">
  <cacheSource type="worksheet">
    <worksheetSource name="_325"/>
  </cacheSource>
  <cacheFields count="50">
    <cacheField name="Responsável" numFmtId="0">
      <sharedItems count="4">
        <s v="Paulo Souza"/>
        <s v="Junior Lopes"/>
        <s v="Rayssa Karapeticov"/>
        <s v="Ronaldo Nascimento"/>
      </sharedItems>
    </cacheField>
    <cacheField name="ID Oportunidade" numFmtId="0">
      <sharedItems containsSemiMixedTypes="0" containsString="0" containsNumber="1" containsInteger="1" minValue="87" maxValue="1240"/>
    </cacheField>
    <cacheField name="ID Cliente" numFmtId="0">
      <sharedItems containsString="0" containsBlank="1" containsNumber="1" containsInteger="1" minValue="155" maxValue="291"/>
    </cacheField>
    <cacheField name="ID Contato" numFmtId="0">
      <sharedItems containsString="0" containsBlank="1" containsNumber="1" containsInteger="1" minValue="12" maxValue="3962"/>
    </cacheField>
    <cacheField name="Descrição" numFmtId="0">
      <sharedItems longText="1"/>
    </cacheField>
    <cacheField name="Razão social" numFmtId="0">
      <sharedItems/>
    </cacheField>
    <cacheField name="Título do negócio" numFmtId="0">
      <sharedItems count="711">
        <s v="teste paulo"/>
        <s v="eddi casa - afv"/>
        <s v="plascity - erp"/>
        <s v="casa freitas - afv"/>
        <s v="grupo kwi - afv"/>
        <s v="utiliplas - afv"/>
        <s v="lojas primus"/>
        <s v="ga ceramica - afv"/>
        <s v="aloe baf"/>
        <s v="baag-bahia artes gráficas(erp)"/>
        <s v="baag-bahia artes gráficas(cloud)"/>
        <s v="vaso forte (erp)"/>
        <s v="negócio plásticos santana ltda"/>
        <s v="vaso forte (cloud)"/>
        <s v="editora online"/>
        <s v="precisa import"/>
        <s v="polimax (erp+afv)"/>
        <s v="md importação"/>
        <s v="dpot plasticos"/>
        <s v="dpot plasticos (cloud)"/>
        <s v="grupo gala (b2b)"/>
        <s v="polimax- cloud"/>
        <s v="negócio fosboi da bahia"/>
        <s v="tek mix distribuicao"/>
        <s v="tek mix distr (cloud)"/>
        <s v="elmo atacado (mdfe)"/>
        <s v="md importação - cloud"/>
        <s v="gb. importadora"/>
        <s v="injeplastec"/>
        <s v="porto brasil cerâmica - afv"/>
        <s v="gb importadora - clou"/>
        <s v="e s maia distribuidora ltda"/>
        <s v="culturama (ad. link cielo, imp. xml)"/>
        <s v="rigomal"/>
        <s v="viva vidros"/>
        <s v="star distribuidora (afv)"/>
        <s v="dcl editora"/>
        <s v="star distribuidora (erp)"/>
        <s v="preciza import (cloud)"/>
        <s v="star distribuidora (cloud)"/>
        <s v="luz e real aluminios - grupo laminor"/>
        <s v="mba aluminios"/>
        <s v="afv - etruria"/>
        <s v="c.a teles armarinhos e papelaria ltda"/>
        <s v="global mix atacadista ltda"/>
        <s v="fuxing cloud"/>
        <s v="eco foods"/>
        <s v="versiva comercial versiva distribuidora"/>
        <s v="jmd import"/>
        <s v="ecolimp distribuidora atacadista de produtos de higiene - eireli"/>
        <s v="distribuidora champion limitada"/>
        <s v="royal toys"/>
        <s v="atacado junior"/>
        <s v="multiflon"/>
        <s v="metalmix tanque"/>
        <s v="c.a teles arma. (cloud)"/>
        <s v="atacado junior - cloud"/>
        <s v="bolplast"/>
        <s v="tramadaré distribuidora"/>
        <s v="livelli"/>
        <s v="malvi distribuidora"/>
        <s v="pz presentes loja"/>
        <s v="edinelson revenda"/>
        <s v="alumínio higsberg"/>
        <s v="vr_distribuidora - regis"/>
        <s v="viva vidros - cloud"/>
        <s v="stamaco"/>
        <s v="elmo atacado"/>
        <s v="terra boa"/>
        <s v="newell brands"/>
        <s v="paramount"/>
        <s v="giftutil"/>
        <s v="maxximo utilidades"/>
        <s v="plastutti - erp"/>
        <s v="plastutti - cloud"/>
        <s v="cozzillar - afv"/>
        <s v="marca textil"/>
        <s v="eskinão e opa atacado"/>
        <s v="p&amp;s distribuidora ud"/>
        <s v="nixhouse afv"/>
        <s v="oikos"/>
        <s v="campos di aromas"/>
        <s v="adriana"/>
        <s v="ad &amp; ad comercio de importacao"/>
        <s v="chamma festas"/>
        <s v="p10 importadora -erp"/>
        <s v="p10 importadora - b2b"/>
        <s v="plasberg"/>
        <s v="adere"/>
        <s v="jlk plasticos"/>
        <s v="envio de boleto e ts licença"/>
        <s v="casa da fé"/>
        <s v="solrac"/>
        <s v="day home - afv"/>
        <s v="tuut"/>
        <s v="lojas okey"/>
        <s v="taumer"/>
        <s v="jl distribuidora"/>
        <s v="geloni sorvetes"/>
        <s v="frutyba"/>
        <s v="cabo fix"/>
        <s v="fizz acessórios"/>
        <s v="prioridade 10 - (cloud)"/>
        <s v="sunguider importador/distribuidor"/>
        <s v="comercio de produtos veterinarios bernardi &amp; bernardi ltda"/>
        <s v="acomix soluções para o lar"/>
        <s v="elgin sa"/>
        <s v="elmo atacado (mde + mdfe)"/>
        <s v="123 util"/>
        <s v="couselo - erp - afv"/>
        <s v="erca aluminio - mdfe"/>
        <s v="claudi b2b"/>
        <s v="açomix soluções - cloud)"/>
        <s v="plasberg - cloud"/>
        <s v="pupi import - erp - afv - wms"/>
        <s v="pupi imports - cloud"/>
        <s v="pupi imports - b2b"/>
        <s v="xeryus afv"/>
        <s v="ponto 10"/>
        <s v="atacado irmão vaquero"/>
        <s v="araujo vertice"/>
        <s v="gbl import - erp"/>
        <s v="gbl import - cloud"/>
        <s v="erca alumínio (horas)"/>
        <s v="tecelagem castilho - erp + afv"/>
        <s v="erca alumínio - wms"/>
        <s v="sk importacao - erp"/>
        <s v="tritec"/>
        <s v="styroform isopor"/>
        <s v="giro center"/>
        <s v="tecelagem castitho - cloud"/>
        <s v="sk importacao - cloud"/>
        <s v="comércio  bernardi e bernardi - erp"/>
        <s v="comércio bernardi e bernardi - cloud"/>
        <s v="culturama - horas"/>
        <s v="gb . importadora - xml"/>
        <s v="ark brasil"/>
        <s v="casa ambiente"/>
        <s v="mdl import - erp"/>
        <s v="pimpinella sorvetes - erp - afv - pcp - wms"/>
        <s v="xiexie com. de brinquedos - erp"/>
        <s v="bruver crc ltda"/>
        <s v="almapy - contábil"/>
        <s v="renovação porcelanas"/>
        <s v="renovação porcelanas - afv"/>
        <s v="unik"/>
        <s v="xiexie comercio de brinquedos - b2b"/>
        <s v="xiexie com. de brinquedos - bi"/>
        <s v="y 888 importacao - erp"/>
        <s v="y 888 importação - cloud"/>
        <s v="mdl import - cloud"/>
        <s v="cassio importadora - erp"/>
        <s v="flor de seda"/>
        <s v="pop disc"/>
        <s v="cassio importadora - b2b"/>
        <s v="renovação porcelanas - cloud"/>
        <s v="creative - erp"/>
        <s v="cassio importadora - cloud"/>
        <s v="l&amp;t importadora"/>
        <s v="sakes"/>
        <s v="sal trading"/>
        <s v="mundial log - erp"/>
        <s v="mundial log - cloud"/>
        <s v="mmo &amp; mnipharma"/>
        <s v="amandfast (fest bubble) rms"/>
        <s v="arrtef brasil (prendebem)- rms"/>
        <s v="fa fa import - erp"/>
        <s v="fa fa import - cloud"/>
        <s v="amazonia aromas"/>
        <s v="azpr - erp"/>
        <s v="azpr - cloud"/>
        <s v="erca alumínio"/>
        <s v="xiexie mais barato - erp"/>
        <s v="xiexie comercio de brinquedos ltda"/>
        <s v="gala - b2b"/>
        <s v="flora nectar - afv"/>
        <s v="xpert - erp"/>
        <s v="xpert - cloud"/>
        <s v="ponto das festas"/>
        <s v="oikos - cloud"/>
        <s v="atacadão das tripas (erp)"/>
        <s v="pimpinella -  guarani afv"/>
        <s v="brinquedos alf (rms_afv)"/>
        <s v="brinquedos anjo"/>
        <s v="meio atacado - erp"/>
        <s v="goal comercial ltda"/>
        <s v="galpão importadora"/>
        <s v="fina ideia"/>
        <s v="industria elementos filtrantes"/>
        <s v="vitoria cortinas (mdfe)"/>
        <s v="atacadao das tripas (cloud)"/>
        <s v="mdl import - int.wms"/>
        <s v="bs toys (rms)"/>
        <s v="dielu (rms)"/>
        <s v="ceramica salute (rms)"/>
        <s v="serraria chiari  - erp"/>
        <s v="serraria chiari - cloud"/>
        <s v="vitoria cortinas - user afv"/>
        <s v="meio atacado - cloud"/>
        <s v="emporio villamarin ltda"/>
        <s v="elmo atacado (horas exc)"/>
        <s v="moveis kappesberg"/>
        <s v="trilharty - erp - afv"/>
        <s v="tiago  eletronicos - erp"/>
        <s v="tiago  eletronicos - cloud"/>
        <s v="star distribuidora - expede"/>
        <s v="tiago eletrônicos - b2b"/>
        <s v="mdl comércio importação (erp+afv)"/>
        <s v="mdl comércio de importação (int.wms)"/>
        <s v="germer porcenalas"/>
        <s v="editora dcl"/>
        <s v="fuzipar (afv)"/>
        <s v="adelmo jeronimo"/>
        <s v="fuzipar (erp)"/>
        <s v="fuzipar (cloud)"/>
        <s v="grupo ecoa (erp)"/>
        <s v="grupo ecoa (b2b)"/>
        <s v="vitoria cortinas  (horas)"/>
        <s v="maxsoy alimentos ltda"/>
        <s v="brinquemix - erp"/>
        <s v="tapetes oasis"/>
        <s v="sanremo"/>
        <s v="industria oyshi"/>
        <s v="tray jlk importadora"/>
        <s v="deltamax importadora"/>
        <s v="rpa technology industria e comercio ltda"/>
        <s v="tropical aromas"/>
        <s v="usual plastic - (afv)"/>
        <s v="amilplast ind - erp"/>
        <s v="pracaza decor comercio importacao e exportacao de artigos para decoracao ltda."/>
        <s v="aluminio marcolar ltda"/>
        <s v="off paper (afv)"/>
        <s v="shinytoys"/>
        <s v="dgb comex"/>
        <s v="duarte estofaria"/>
        <s v="aluminio ramos"/>
        <s v="bezavel cnpj"/>
        <s v="tooltec injecoes plasticas"/>
        <s v="brinquemix"/>
        <s v="baag (bahia artes gráficas) wms"/>
        <s v="amilplast industria - cloud"/>
        <s v="off paper (cloud)"/>
        <s v="off paper (erp)"/>
        <s v="usual plastic (bi)"/>
        <s v="jr comercio de motos e pecas"/>
        <s v="jomafe brasil - comercio de utensilios domesticos e cutelarias ltda."/>
        <s v="natalia damaceno"/>
        <s v="casa bonitta - pdv"/>
        <s v="bella refratarios"/>
        <s v="sidney stabile"/>
        <s v="futuro brasil"/>
        <s v="fantoys brinquedos - erp"/>
        <s v="rb malls - guarani erp"/>
        <s v="central raçoes - erp"/>
        <s v="central distribuidora de produtos agropecuarios"/>
        <s v="ilumac industria - erp"/>
        <s v="mewoof importadora"/>
        <s v="fantoys brinquedos - cloud"/>
        <s v="principios"/>
        <s v="luzia lara guilhen- mei"/>
        <s v="luzia lara guilhen"/>
        <s v="chame rio (cloud)"/>
        <s v="dvidros (cnpj)"/>
        <s v="central rações - bi"/>
        <s v="central das rações - cloud"/>
        <s v="facinato bi"/>
        <s v="plasbrink embalagens plasticas ltda - erp"/>
        <s v="wellmix erp"/>
        <s v="tms imports"/>
        <s v="dolce home comercio de utilidades domesticas ltda."/>
        <s v="ilumac industria - cloud"/>
        <s v="chame rio - horas"/>
        <s v="bionov"/>
        <s v="vitoria cortinas - horas"/>
        <s v="casa bonitta - cloud"/>
        <s v="casa bonitta - erp"/>
        <s v="961 importadora"/>
        <s v="sol pratae"/>
        <s v="artesanato uni-art ind. - erp"/>
        <s v="star distribuidora (wms)"/>
        <s v="distribuidora papagaio"/>
        <s v="preciza import"/>
        <s v="artesanato uni-art ind.- cloud"/>
        <s v="plasbrink embalagens plasticas ltda - cloud"/>
        <s v="preciza import - boleto whatsapp"/>
        <s v="marka textil - erp"/>
        <s v="marka textil - cloud"/>
        <s v="imprime industria e comercio de plasticos"/>
        <s v="distribuidora prime - erp"/>
        <s v="karam kaiss"/>
        <s v="sevilla trade - erp"/>
        <s v="sevilha trade - cloud"/>
        <s v="distribuidora prime - cloud"/>
        <s v="tritec - proposta web"/>
        <s v="evolux - erp - pcp  - wms - afv"/>
        <s v="medihosp"/>
        <s v="salopet embalagens plasticas - erp"/>
        <s v="tecelegam castilho - mdfe"/>
        <s v="atacadao montebello - b2b"/>
        <s v="newbaby - erp"/>
        <s v="kitay industria e comercio de alimentos ltda"/>
        <s v="mdl - wms"/>
        <s v="newbaby - cloud"/>
        <s v="baag - incl.cnpj"/>
        <s v="e.s maia - afv"/>
        <s v="phabllo parambu atacado - erp"/>
        <s v="phabllo parambu atacado - cloud"/>
        <s v="salopet embalagens plasticas - cloud"/>
        <s v="lojas tem"/>
        <s v="bela flor"/>
        <s v="imev proteinas"/>
        <s v="aih importadora de artigos de presentes ltda"/>
        <s v="plastcap treinamento"/>
        <s v="platcap cloud"/>
        <s v="distribuidora explosão 10"/>
        <s v="luz wms"/>
        <s v="agua sana cnpj"/>
        <s v="fafa import - wms"/>
        <s v="tecelagem castilho - proposta web"/>
        <s v="maia 4"/>
        <s v="zomax"/>
        <s v="val port"/>
        <s v="tron"/>
        <s v="sago impor wms"/>
        <s v="hf utilidades"/>
        <s v="valport b2b"/>
        <s v="atual mix"/>
        <s v="vic import - erp"/>
        <s v="vic import - afv"/>
        <s v="vic import - cloud"/>
        <s v="conthey - erp"/>
        <s v="conthey - afv"/>
        <s v="conthey - cloud"/>
        <s v="star - b2b"/>
        <s v="tecelagem castilho - contábil"/>
        <s v="erca alumínio - imp.xml"/>
        <s v="union rebite"/>
        <s v="toptem - erp"/>
        <s v="toptem - afv"/>
        <s v="atacado sibras 1.99"/>
        <s v="bj engenharia"/>
        <s v="chavetas comercio de pecas e ferramentas ltda"/>
        <s v="colorunhas"/>
        <s v="doce festa - erp - afv + bi"/>
        <s v="irriga house"/>
        <s v="distribuidora do wicca"/>
        <s v="jp distribuidora - agenda visita"/>
        <s v="aki tem  - cnpj"/>
        <s v="aluminio nacional"/>
        <s v="pcp engenharia"/>
        <s v="afey peças"/>
        <s v="folha dourada tabacos ltda"/>
        <s v="cls industria de produtos quimicos ltda"/>
        <s v="nvt importadora"/>
        <s v="olé alimentos"/>
        <s v="maral"/>
        <s v="loggix serviços material escolar"/>
        <s v="zini home"/>
        <s v="russa 7 berg distribuidora"/>
        <s v="riofix parafuso"/>
        <s v="stok frios"/>
        <s v="atacadão delfino"/>
        <s v="bk comercio"/>
        <s v="fisiohosp"/>
        <s v="vida fitness"/>
        <s v="hortodasacacias"/>
        <s v="devons hair"/>
        <s v="deltamed comercio"/>
        <s v="alpinpro"/>
        <s v="tapecaria e acessorios maraba"/>
        <s v="carlinhos doces artesanais"/>
        <s v="kuff consultoria"/>
        <s v="renato de mattos malaquias"/>
        <s v="ana maria fonseca garcia"/>
        <s v="ricieri maquinas &amp; ferramentas"/>
        <s v="alfa seven embalagens industria e comercio ltda"/>
        <s v="casa amiga - b2b"/>
        <s v="casa bom dia"/>
        <s v="wb engenharia"/>
        <s v="central eletrica solar"/>
        <s v="marques embalagens"/>
        <s v="valport cloud"/>
        <s v="vinicius monteiro"/>
        <s v="cloud nvt"/>
        <s v="panveiga"/>
        <s v="autõnomo"/>
        <s v="quimica haller ltda"/>
        <s v="claudio texeira"/>
        <s v="recanto agricola"/>
        <s v="maurício jorge lima"/>
        <s v="max club"/>
        <s v="ramfisa participacoes e investimentos s/a"/>
        <s v="purai souvenirs ltda"/>
        <s v="bem bom pescados"/>
        <s v="possani mix"/>
        <s v="bombemi comercial ltda"/>
        <s v="edy distribuidora d alimentos"/>
        <s v="acn comercial"/>
        <s v="mundo das águas turismo"/>
        <s v="bral-max industria e comercio de plasticos ltda"/>
        <s v="multiple business service"/>
        <s v="dinatale import ltda"/>
        <s v="sultex comex"/>
        <s v="toy e home importadora e distribuidora ltda"/>
        <s v="lcosmeticos"/>
        <s v="minas mix"/>
        <s v="brasa e malte"/>
        <s v="leme"/>
        <s v="kicollaadesivos.com.br"/>
        <s v="giacom distribuidora de pecas ltda"/>
        <s v="auto volth"/>
        <s v="fb dis"/>
        <s v="scientech ambiental"/>
        <s v="orbhes espumas e colchoes ltda"/>
        <s v="atacado forte vale"/>
        <s v="portal importação"/>
        <s v="plasberg - erp"/>
        <s v="plasberg - afv"/>
        <s v="pino lar industria e comercio ltda"/>
        <s v="claudio teixeira - cloud"/>
        <s v="mauricio jorge lima - cloud"/>
        <s v="folha dourada tabacos - cloud"/>
        <s v="minas mix - cloud"/>
        <s v="tenneco"/>
        <s v="certo"/>
        <s v="plastianna"/>
        <s v="armando nacionais e importados"/>
        <s v="mobal"/>
        <s v="buteco &amp; decor"/>
        <s v="rg moto peças"/>
        <s v="solimp"/>
        <s v="monteiro alimentos"/>
        <s v="2vo"/>
        <s v="grupo micromax"/>
        <s v="iracema importadora"/>
        <s v="casart importadora"/>
        <s v="encartelados nina - erp"/>
        <s v="ad &amp; ad (comex)"/>
        <s v="reobote mult-service"/>
        <s v="rg distribuidora de bebidas ltda"/>
        <s v="loja da construção"/>
        <s v="gisele - zzz"/>
        <s v="gs atacado"/>
        <s v="lm bebidas"/>
        <s v="ck hospitalar - afv"/>
        <s v="rp pisos"/>
        <s v="dede acessorios"/>
        <s v="atacadão das tripas - erp"/>
        <s v="bazar importadora ltda"/>
        <s v="super zinca comercio e reformas de carrinhos ltda"/>
        <s v="micromax industria e comercio ltda"/>
        <s v="startools ferramentas (erp)"/>
        <s v="clean tech - erp"/>
        <s v="pamela cristina da fonseca"/>
        <s v="atacadão das tripas"/>
        <s v="eletro fort ltda"/>
        <s v="j. a. marinho itapeva ltda"/>
        <s v="angel"/>
        <s v="cia atacadista"/>
        <s v="ama"/>
        <s v="industrial san marcus"/>
        <s v="fa de doces"/>
        <s v="metal adm"/>
        <s v="new"/>
        <s v="grupo alves consultoria empresarial"/>
        <s v="home brands - erp - afv"/>
        <s v="home brands - afv"/>
        <s v="compuleme"/>
        <s v="trivale tecnologia"/>
        <s v="adriana brandão"/>
        <s v="leticia - aliança"/>
        <s v="infraloc"/>
        <s v="centrolar"/>
        <s v="vitta estrutural"/>
        <s v="flavio storino"/>
        <s v="on import ltda"/>
        <s v="sunred ind da confeccao ltda"/>
        <s v="teodoro cosmeticos - erp"/>
        <s v="revisao autopecas"/>
        <s v="jlj transportes e locações"/>
        <s v="agropecuaria agromais"/>
        <s v="sucos prats"/>
        <s v="teodoro cosméticos - afv"/>
        <s v="teodoro cosméticos - cloud"/>
        <s v="mc flores"/>
        <s v="encartelados nina - cloud"/>
        <s v="atacadão das tripas - cloud"/>
        <s v="clean tech - cloud"/>
        <s v="startools - comex"/>
        <s v="azul importadora"/>
        <s v="kopermax"/>
        <s v="lojas veste 10"/>
        <s v="plug lar u.d."/>
        <s v="bene tu confeccoes ltda"/>
        <s v="industria e comercio jolitex ltda"/>
        <s v="vaeso"/>
        <s v="globalmix - erp"/>
        <s v="irmãos capuci"/>
        <s v="fcabrasil"/>
        <s v="danrib"/>
        <s v="matrix brinquedos"/>
        <s v="terra brasil"/>
        <s v="farmacia boa sorte"/>
        <s v="brl alimentos wms"/>
        <s v="ags administracao de bens sociedade unipessoal ltda"/>
        <s v="brota company"/>
        <s v="4 distribuidora"/>
        <s v="crx comercio, importacao e exportacao ltda"/>
        <s v="banana toys - erp"/>
        <s v="comercial gaviao"/>
        <s v="fratelli / euroquadros"/>
        <s v="simao distribuidora"/>
        <s v="mundial importacao e exportacao ltda"/>
        <s v="brisa artes industria e comercio ltda"/>
        <s v="nemoaprds"/>
        <s v="soberana agrorural"/>
        <s v="verti flores e plantas permanentes"/>
        <s v="otimiza"/>
        <s v="javeh"/>
        <s v="biricutico"/>
        <s v="plus atacadista"/>
        <s v="master consultorias em vedacoes industriais"/>
        <s v="colonia hortifruti"/>
        <s v="vivazhigienização"/>
        <s v="master"/>
        <s v="aalquimya"/>
        <s v="pão de alho"/>
        <s v="inovapet"/>
        <s v="inovapet industria e comercio de embalagens ltda"/>
        <s v="a2 tecnologia industrial"/>
        <s v="fm negocios"/>
        <s v="concreps"/>
        <s v="auto peças taurus"/>
        <s v="grupo kimura"/>
        <s v="hidroar industria quimica"/>
        <s v="ventmar ventilacao"/>
        <s v="vilela &amp; vilela ltda"/>
        <s v="maismendes distribuidora materiais para construção"/>
        <s v="distribom"/>
        <s v="preciza imports"/>
        <s v="reciclanorte"/>
        <s v="globalmix - cloud"/>
        <s v="globalmix - b2b"/>
        <s v="jundcoat"/>
        <s v="indukraft industria e comercio de embalagens ltda"/>
        <s v="b&amp;g comércio"/>
        <s v="leondilmo mat const ltda"/>
        <s v="banana toys - cloud"/>
        <s v="util ud - pcp / wms"/>
        <s v="weck - horas"/>
        <s v="casabella claudio teixeira - erp"/>
        <s v="casabella claudio teixeira - cloud"/>
        <s v="distribuidora anderson corrado"/>
        <s v="nat art papelaria"/>
        <s v="forte e limpo"/>
        <s v="finance coop"/>
        <s v="baag - cloud"/>
        <s v="baag - televendas"/>
        <s v="badux auto eletrica pecas e servicos"/>
        <s v="lavanderia e tinturaria lavinorte ltda."/>
        <s v="tecalhas ind. com. ferragens em geral"/>
        <s v="eletro+"/>
        <s v="pra mim mesmo"/>
        <s v="coelhos automacao"/>
        <s v="baag - bi"/>
        <s v="eduardo marino coelho"/>
        <s v="unitermi"/>
        <s v="martiplast industria e comercio de plasticos ltda"/>
        <s v="vidal"/>
        <s v="metalurgica valentini ltda"/>
        <s v="camelo distribuidora"/>
        <s v="compec auto pecas"/>
        <s v="marcamix (comex)"/>
        <s v="magazine raissa"/>
        <s v="jh navegação e logística ltda"/>
        <s v="marlim azul turismo"/>
        <s v="mercado do bairro"/>
        <s v="guri cervejaria"/>
        <s v="up &amp; ib embalagens industriais"/>
        <s v="raryplast industria e comercio ltda"/>
        <s v="embalageral distribuidora"/>
        <s v="simas"/>
        <s v="cks importadora"/>
        <s v="pracaza"/>
        <s v="malinha plus size"/>
        <s v="mabel"/>
        <s v="u4 group"/>
        <s v="ns iguacu eletronicos"/>
        <s v="etilux"/>
        <s v="sqcomercio"/>
        <s v="comblocos materiais de construção"/>
        <s v="araguaia materiais para construcao"/>
        <s v="teodoro cosméticos"/>
        <s v="dsg"/>
        <s v="logrosoft comercio erp"/>
        <s v="logro soft"/>
        <s v="rk assessoria contábil"/>
        <s v="autofoz"/>
        <s v="ferragens negrao comercial ltda"/>
        <s v="nova casa distribuidora"/>
        <s v="bartofil distribuidora sa"/>
        <s v="grupo lle"/>
        <s v="brasil rural"/>
        <s v="comercial o manoel"/>
        <s v="garrama com essência eirele"/>
        <s v="supermercado mathur"/>
        <s v="cafe santa monica"/>
        <s v="north acai foods"/>
        <s v="lpx"/>
        <s v="governo do estado de são paulo"/>
        <s v="hober artefatos plasticos ltda"/>
        <s v="bia alimentos"/>
        <s v="quality medical"/>
        <s v="autônomo"/>
        <s v="plaslumy distribuidora de embalagens ltda"/>
        <s v="shopping do parafuso ltda"/>
        <s v="max led"/>
        <s v="tres americas alimentos"/>
        <s v="alexdan importacao e exportacao ltda"/>
        <s v="bitilila nails"/>
        <s v="abc internacional"/>
        <s v="oneclick"/>
        <s v="jj soluções industriais"/>
        <s v="big plastic"/>
        <s v="invictus soluções integradas ltda"/>
        <s v="paulo sergio"/>
        <s v="grijalba aguiar linhares"/>
        <s v="megacenter trading company ltda"/>
        <s v="distribuidora robaski"/>
        <s v="alex martelinho servicos automotivos"/>
        <s v="bem estar industrial ltda"/>
        <s v="br safe"/>
        <s v="mdl (horas)"/>
        <s v="tecelagem castilho (e-commerce)"/>
        <s v="logro soft - comex"/>
        <s v="infinittec.com.br"/>
        <s v="eficaz atacadao da limpeza"/>
        <s v="rosh distribuidora"/>
        <s v="edu autoparts"/>
        <s v="bornia metais ltda."/>
        <s v="proprietario"/>
        <s v="bc"/>
        <s v="presystem"/>
        <s v="ivan edson dias"/>
        <s v="ellform"/>
        <s v="morefix comercio e importacao ltda"/>
        <s v="resende &amp; santos de moc ltda"/>
        <s v="distribuidora renova"/>
        <s v="rv distribuidora"/>
        <s v="aparecido ribeiro molina junior"/>
        <s v="istok comercio importacao (erp)"/>
        <s v="petiko"/>
        <s v="querosmais"/>
        <s v="fikssar distribuidora"/>
        <s v="krieger ind e com fé madeiras"/>
        <s v="tiago sandavid"/>
        <s v="torrefacao mineira ltda"/>
        <s v="jcs perfis"/>
        <s v="andre"/>
        <s v="gsh marketing solutions"/>
        <s v="contade"/>
        <s v="estilo ar"/>
        <s v="fernandopolis industria e comercio de piscinas e acessorios ltda"/>
        <s v="marden medical"/>
        <s v="ordene"/>
        <s v="industrias nigro"/>
        <s v="emblemax"/>
        <s v="mm optics"/>
        <s v="volmed brasil"/>
        <s v="mundial distribuidora de produtos de consumo ltda"/>
        <s v="carbonaro distribuidora ltda"/>
        <s v="nk distribuidora de cosmeticos"/>
        <s v="la rocha"/>
        <s v="arcobello participacoes"/>
        <s v="nsf equipamentos comerciais"/>
        <s v="hortron produtos medicos"/>
        <s v="hece maquinas"/>
        <s v="setormed"/>
        <s v="casa bonitta"/>
        <s v="utilimix utilidade domestica"/>
        <s v="analu parafusos ltda"/>
        <s v="belapin"/>
        <s v="istok comercio importação (cloud)"/>
        <s v="newlar"/>
        <s v="gifran industria de artigos texteis ltda"/>
        <s v="plasnew"/>
        <s v="ambiente verde"/>
        <s v="baag - horas"/>
        <s v="goedert ltda"/>
        <s v="mercapet"/>
        <s v="future"/>
        <s v="primavera"/>
        <s v="evol clean"/>
        <s v="uninjet industria e comercio de plasticos ltda"/>
        <s v="gioplast industria e comercio ltda"/>
        <s v="neoplas"/>
        <s v="plast.co"/>
        <s v="forfest industria de descartaveis ltda"/>
        <s v="comfort door"/>
        <s v="startools ferramentas, comercio, importacao e exportacao ltda"/>
        <s v="abtec.eng.br"/>
        <s v="mdl - comex"/>
        <s v="mdl - boleto whats"/>
        <s v="star distribuidora - boleto whats"/>
        <s v="fuzipar - erp"/>
        <s v="silk flowers" u="1"/>
        <s v="istok comercio importacao e exportacao ltda" u="1"/>
        <s v="ns iguacu eletronicos ltda" u="1"/>
        <s v="alexandre biassio" u="1"/>
        <s v="marca mix (comex)" u="1"/>
        <s v="up" u="1"/>
      </sharedItems>
    </cacheField>
    <cacheField name="CNPJ" numFmtId="0">
      <sharedItems containsString="0" containsBlank="1" containsNumber="1" containsInteger="1" minValue="221294000181" maxValue="96280292000809"/>
    </cacheField>
    <cacheField name="Nome do Cliente" numFmtId="0">
      <sharedItems/>
    </cacheField>
    <cacheField name="Nome do Contato" numFmtId="0">
      <sharedItems/>
    </cacheField>
    <cacheField name="Telefone do Contato" numFmtId="0">
      <sharedItems/>
    </cacheField>
    <cacheField name="Celular do Contato" numFmtId="0">
      <sharedItems/>
    </cacheField>
    <cacheField name="E-mail do contato" numFmtId="0">
      <sharedItems/>
    </cacheField>
    <cacheField name="Grupo do cliente" numFmtId="0">
      <sharedItems/>
    </cacheField>
    <cacheField name="Contatos" numFmtId="0">
      <sharedItems/>
    </cacheField>
    <cacheField name="Endereço" numFmtId="0">
      <sharedItems/>
    </cacheField>
    <cacheField name="Cidade" numFmtId="0">
      <sharedItems/>
    </cacheField>
    <cacheField name="Estado" numFmtId="0">
      <sharedItems/>
    </cacheField>
    <cacheField name="Origem" numFmtId="0">
      <sharedItems/>
    </cacheField>
    <cacheField name="Origem do cliente" numFmtId="0">
      <sharedItems/>
    </cacheField>
    <cacheField name="Categoria do cliente" numFmtId="0">
      <sharedItems/>
    </cacheField>
    <cacheField name="TAGS" numFmtId="0">
      <sharedItems/>
    </cacheField>
    <cacheField name="Funil de vendas" numFmtId="0">
      <sharedItems/>
    </cacheField>
    <cacheField name="Etapa do funil de vendas" numFmtId="0">
      <sharedItems/>
    </cacheField>
    <cacheField name="Forma de Pagamento" numFmtId="0">
      <sharedItems/>
    </cacheField>
    <cacheField name="Data esperada de fechamento" numFmtId="14">
      <sharedItems containsNonDate="0" containsDate="1" containsString="0" containsBlank="1" minDate="2024-12-06T00:00:00" maxDate="2028-07-02T00:00:00"/>
    </cacheField>
    <cacheField name="Valor Total" numFmtId="0">
      <sharedItems containsString="0" containsBlank="1" containsNumber="1" containsInteger="1" minValue="0" maxValue="15359994"/>
    </cacheField>
    <cacheField name="Valor mensal" numFmtId="0">
      <sharedItems containsString="0" containsBlank="1" containsNumber="1" containsInteger="1" minValue="0" maxValue="2713706"/>
    </cacheField>
    <cacheField name="Tempo como oportunidade" numFmtId="0">
      <sharedItems containsSemiMixedTypes="0" containsString="0" containsNumber="1" containsInteger="1" minValue="0" maxValue="540"/>
    </cacheField>
    <cacheField name="Criado por" numFmtId="0">
      <sharedItems/>
    </cacheField>
    <cacheField name="Data de Criação" numFmtId="14">
      <sharedItems containsSemiMixedTypes="0" containsNonDate="0" containsDate="1" containsString="0" minDate="2024-11-26T00:00:00" maxDate="2026-05-20T00:00:00"/>
    </cacheField>
    <cacheField name="Hora de Criação" numFmtId="44">
      <sharedItems containsSemiMixedTypes="0" containsNonDate="0" containsDate="1" containsString="0" minDate="1899-12-30T01:46:53" maxDate="1899-12-30T22:55:41"/>
    </cacheField>
    <cacheField name="Código externo" numFmtId="0">
      <sharedItems/>
    </cacheField>
    <cacheField name="Status" numFmtId="0">
      <sharedItems/>
    </cacheField>
    <cacheField name="Data de Perda/Ganho" numFmtId="14">
      <sharedItems containsNonDate="0" containsDate="1" containsString="0" containsBlank="1" minDate="2024-12-12T00:00:00" maxDate="2026-05-20T00:00:00"/>
    </cacheField>
    <cacheField name="Hora de Perda/Ganho" numFmtId="44">
      <sharedItems containsNonDate="0" containsDate="1" containsString="0" containsBlank="1" minDate="1899-12-30T01:00:16" maxDate="1899-12-30T23:13:47"/>
    </cacheField>
    <cacheField name="Motivo de perda" numFmtId="0">
      <sharedItems/>
    </cacheField>
    <cacheField name="Razão de Perda" numFmtId="0">
      <sharedItems longText="1"/>
    </cacheField>
    <cacheField name="Data Venda  Agenda" numFmtId="0">
      <sharedItems/>
    </cacheField>
    <cacheField name="Data Proposta" numFmtId="0">
      <sharedItems count="219">
        <s v=""/>
        <s v="29/11/2024"/>
        <s v="07/03/2025"/>
        <s v="04/12/2024"/>
        <s v="09/12/2024"/>
        <s v="27/09/2024"/>
        <s v="06/01/2025"/>
        <s v="18/10/2024"/>
        <s v="25/10/2024"/>
        <s v="18/12/2024"/>
        <s v="28/11/2024"/>
        <s v="06/11/2024"/>
        <s v="12/11/2024"/>
        <s v="28/01/2025"/>
        <s v="20/11/2024"/>
        <s v="06/12/2024"/>
        <s v="12/12/2024"/>
        <s v="30/01/2025"/>
        <s v="10/12/2024"/>
        <s v="05/12/2024"/>
        <s v="16/12/2024"/>
        <s v="20/01/2025"/>
        <s v="17/12/2024"/>
        <s v="20/12/2024"/>
        <s v="29/01/2025"/>
        <s v="07/01/2025 00:00"/>
        <s v="21/01/2025"/>
        <s v="10/01/2025 00:00"/>
        <s v="20/01/2025 00:00"/>
        <s v="22/01/2025"/>
        <s v="27/01/2025"/>
        <s v="24/01/2025"/>
        <s v="28/01/2025 00:00"/>
        <s v="16/01/2025"/>
        <s v="07/01/2025"/>
        <s v="05/02/2025"/>
        <s v="07/02/2025"/>
        <s v="03/02/2025 00:00"/>
        <s v="07/02/2025 00:00"/>
        <s v="06/02/2025 00:00"/>
        <s v="24/02/2025"/>
        <s v="14/02/2025"/>
        <s v="17/02/2025"/>
        <s v="13/02/2025"/>
        <s v="14/03/2025"/>
        <s v="02/05/2025"/>
        <s v="25/02/2025"/>
        <s v="17/02/2025 00:00"/>
        <s v="25/11/2025"/>
        <s v="21/02/2025"/>
        <s v="20/02/2025"/>
        <s v="20/02/2025 00:00"/>
        <s v="26/02/2025"/>
        <s v="04/03/2025 00:00"/>
        <s v="10/03/2025 00:00"/>
        <s v="10/03/2025 15:00"/>
        <s v="13/03/2025"/>
        <s v="17/03/2025 00:00"/>
        <s v="19/03/2025"/>
        <s v="20/03/2025"/>
        <s v="28/03/2025"/>
        <s v="26/03/2025"/>
        <s v="27/03/2025"/>
        <s v="04/04/2025"/>
        <s v="30/04/2025"/>
        <s v="09/04/2025"/>
        <s v="07/04/2025 00:00"/>
        <s v="11/04/2025"/>
        <s v="15/04/2025"/>
        <s v="18/04/2025"/>
        <s v="10/04/2025"/>
        <s v="29/04/2025 00:00"/>
        <s v="24/04/2025 00:00"/>
        <s v="15/04/2025 00:00"/>
        <s v="08/05/2025"/>
        <s v="15/05/2025"/>
        <s v="29/05/2025"/>
        <s v="27/05/2025"/>
        <s v="22/05/2025"/>
        <s v="23/05/2025"/>
        <s v="26/05/2025"/>
        <s v="16/06/2025"/>
        <s v="02/06/2025 00:00"/>
        <s v="18/06/2025"/>
        <s v="13/03/2026"/>
        <s v="10/06/2025"/>
        <s v="13/06/2025"/>
        <s v="25/06/2025"/>
        <s v="12/06/2025"/>
        <s v="18/07/2025"/>
        <s v="01/07/2025"/>
        <s v="02/09/2025"/>
        <s v="16/07/2025"/>
        <s v="11/07/2025"/>
        <s v="07/07/2025"/>
        <s v="18/08/2025"/>
        <s v="30/07/2025"/>
        <s v="22/07/2025"/>
        <s v="17/09/2025"/>
        <s v="11/08/2025"/>
        <s v="04/08/2025"/>
        <s v="02/03/2026"/>
        <s v="05/08/2025 00:00"/>
        <s v="28/08/2025"/>
        <s v="29/08/2025"/>
        <s v="21/10/2025"/>
        <s v="21/08/2025"/>
        <s v="20/08/2025"/>
        <s v="29/09/2025"/>
        <s v="18/08/2025 00:00"/>
        <s v="25/08/2025 00:00"/>
        <s v="06/08/2025"/>
        <s v="05/08/2025"/>
        <s v="25/08/2025"/>
        <s v="19/09/2025"/>
        <s v="10/09/2025"/>
        <s v="11/09/2025 00:00"/>
        <s v="05/09/2025"/>
        <s v="06/02/2026"/>
        <s v="12/09/2025"/>
        <s v="15/09/2025 00:00"/>
        <s v="30/09/2025"/>
        <s v="04/09/2025"/>
        <s v="28/10/2025"/>
        <s v="09/09/2025 00:00"/>
        <s v="02/09/2025 00:00"/>
        <s v="16/09/2025 00:00"/>
        <s v="22/10/2025"/>
        <s v="30/09/2025 00:00"/>
        <s v="10/10/2025"/>
        <s v="15/10/2025 00:00"/>
        <s v="16/10/2025"/>
        <s v="26/11/2025"/>
        <s v="13/10/2025"/>
        <s v="14/11/2025"/>
        <s v="29/10/2025"/>
        <s v="03/11/2025 00:00"/>
        <s v="05/11/2025 00:00"/>
        <s v="12/11/2025"/>
        <s v="04/11/2025"/>
        <s v="24/11/2025"/>
        <s v="05/11/2025"/>
        <s v="28/11/2025"/>
        <s v="26/11/2025 00:00"/>
        <s v="19/11/2025 00:00"/>
        <s v="21/11/2025 00:00"/>
        <s v="11/11/2025 00:00"/>
        <s v="24/11/2025 00:00"/>
        <s v="12/11/2025 00:00"/>
        <s v="10/11/2025 00:00"/>
        <s v="01/12/2025 00:00"/>
        <s v="05/12/2025 00:00"/>
        <s v="02/12/2025 00:00"/>
        <s v="10/12/2025 00:00"/>
        <s v="15/12/2025 00:00"/>
        <s v="14/01/2026"/>
        <s v="16/12/2025"/>
        <s v="11/12/2025"/>
        <s v="02/12/2025"/>
        <s v="12/12/2025"/>
        <s v="27/03/2026"/>
        <s v="22/12/2025"/>
        <s v="05/02/2026"/>
        <s v="19/01/2026"/>
        <s v="08/01/2026 00:00"/>
        <s v="09/01/2026 00:00"/>
        <s v="13/01/2026"/>
        <s v="05/01/2026 00:00"/>
        <s v="27/02/2026"/>
        <s v="13/01/2026 00:00"/>
        <s v="16/01/2026"/>
        <s v="14/01/2026 00:00"/>
        <s v="20/01/2026"/>
        <s v="13/02/2026"/>
        <s v="10/03/2026"/>
        <s v="28/01/2026"/>
        <s v="23/01/2026 00:00"/>
        <s v="02/02/2026"/>
        <s v="30/01/2026"/>
        <s v="21/01/2026"/>
        <s v="09/03/2026"/>
        <s v="06/02/2026 00:00"/>
        <s v="05/05/2026"/>
        <s v="11/02/2026"/>
        <s v="25/02/2026"/>
        <s v="23/02/2026"/>
        <s v="20/02/2026"/>
        <s v="16/03/2026"/>
        <s v="20/02/2026 00:00"/>
        <s v="11/03/2026"/>
        <s v="26/02/2026"/>
        <s v="19/02/2026"/>
        <s v="05/03/2026"/>
        <s v="06/03/2026"/>
        <s v="26/03/2026"/>
        <s v="18/03/2026"/>
        <s v="09/04/2026"/>
        <s v="20/03/2026"/>
        <s v="04/05/2026"/>
        <s v="23/03/2026"/>
        <s v="24/03/2026"/>
        <s v="30/03/2026 00:00"/>
        <s v="11/03/2026 00:00"/>
        <s v="27/03/2026 00:00"/>
        <s v="26/03/2026 00:00"/>
        <s v="08/04/2026 00:00"/>
        <s v="28/04/2026"/>
        <s v="16/04/2026"/>
        <s v="23/04/2026"/>
        <s v="14/04/2026"/>
        <s v="08/05/2026"/>
        <s v="Alexandre"/>
        <s v="14/05/2026"/>
        <s v="16/04/2026 00:00"/>
        <s v="14/04/2026 00:00"/>
        <s v="12/05/2026"/>
        <s v="07/05/2026 00:00"/>
        <s v="18/05/2026 00:00"/>
        <s v="24/04/2026" u="1"/>
      </sharedItems>
    </cacheField>
    <cacheField name="SDRResponsável" numFmtId="0">
      <sharedItems/>
    </cacheField>
    <cacheField name="DataApresentação1" numFmtId="0">
      <sharedItems count="242">
        <s v=""/>
        <s v="27/11/2024"/>
        <s v="05/12/2024"/>
        <s v="02/12/2024"/>
        <s v="02/12/2024 00:00"/>
        <s v="27/09/2024"/>
        <s v="11/10/2024"/>
        <s v="01/10/2024"/>
        <s v="18/10/2024"/>
        <s v="21/10/2024"/>
        <s v="18/12/2024"/>
        <s v="19/11/2024"/>
        <s v="05/11/2024"/>
        <s v="12/11/2024"/>
        <s v="18/11/2024"/>
        <s v="04/12/2024 00:00"/>
        <s v="06/12/2024"/>
        <s v="09/12/2024 00:00"/>
        <s v="04/12/2024"/>
        <s v="11/12/2024"/>
        <s v="16/12/2024"/>
        <s v="12/12/2024"/>
        <s v="19/12/2024"/>
        <s v="07/01/2025 00:00"/>
        <s v="28/01/2025"/>
        <s v="14/01/2025 15:00"/>
        <s v="10/01/2025"/>
        <s v="10/01/2025 16:00"/>
        <s v="10/01/2025 00:00"/>
        <s v="22/01/2025 15:00"/>
        <s v="21/01/2025 09:00"/>
        <s v="20/01/2025 00:00"/>
        <s v="22/01/2025 10:00"/>
        <s v="24/01/2025 15:00"/>
        <s v="17/01/2025"/>
        <s v="23/01/2025"/>
        <s v="27/01/2025"/>
        <s v="28/01/2025 00:00"/>
        <s v="29/01/2025"/>
        <s v="30/01/2025 15:30"/>
        <s v="31/01/2025"/>
        <s v="06/01/2025"/>
        <s v="16/01/2025"/>
        <s v="07/01/2025"/>
        <s v="05/02/2025"/>
        <s v="03/02/2025 00:00"/>
        <s v="06/02/2025 00:00"/>
        <s v="12/02/2025"/>
        <s v="13/02/2025 11:00"/>
        <s v="13/02/2025 15:00"/>
        <s v="11/02/2025"/>
        <s v="14/02/2025 00:00"/>
        <s v="14/02/2025"/>
        <s v="17/02/2025"/>
        <s v="17/02/2025 00:00"/>
        <s v="04/02/2025 00:00"/>
        <s v="21/11/2025"/>
        <s v="21/02/2025"/>
        <s v="21/02/2025 00:00"/>
        <s v="26/02/2025"/>
        <s v="04/03/2025 00:00"/>
        <s v="10/03/2025 00:00"/>
        <s v="07/03/2025 00:00"/>
        <s v="13/03/2025"/>
        <s v="17/03/2025 00:00"/>
        <s v="18/03/2025"/>
        <s v="27/03/2025"/>
        <s v="26/03/2025"/>
        <s v="02/04/2025 00:00"/>
        <s v="28/03/2025 00:00"/>
        <s v="21/03/2025"/>
        <s v="28/03/2025"/>
        <s v="04/04/2025"/>
        <s v="02/06/2025"/>
        <s v="04/04/2025 00:00"/>
        <s v="11/04/2025"/>
        <s v="14/04/2025"/>
        <s v="09/04/2025"/>
        <s v="30/04/2025"/>
        <s v="28/04/2025 00:00"/>
        <s v="24/04/2025 00:00"/>
        <s v="15/04/2025 00:00"/>
        <s v="02/05/2025 00:00"/>
        <s v="08/05/2025"/>
        <s v="15/05/2025"/>
        <s v="07/05/2025"/>
        <s v="29/05/2025"/>
        <s v="26/05/2025"/>
        <s v="30/05/2025"/>
        <s v="27/05/2025"/>
        <s v="06/06/2025"/>
        <s v="02/06/2025 00:00"/>
        <s v="09/06/2025"/>
        <s v="13/06/2025"/>
        <s v="10/06/2025"/>
        <s v="18/06/2025"/>
        <s v="11/06/2025"/>
        <s v="25/06/2025"/>
        <s v="16/06/2025"/>
        <s v="18/07/2025"/>
        <s v="01/07/2025"/>
        <s v="04/07/2025"/>
        <s v="15/07/2025"/>
        <s v="11/07/2025"/>
        <s v="07/07/2025"/>
        <s v="08/07/2025"/>
        <s v="30/07/2025"/>
        <s v="17/09/2025"/>
        <s v="11/08/2025"/>
        <s v="04/08/2025"/>
        <s v="11/08/2025 00:00"/>
        <s v="09/02/2026"/>
        <s v="05/08/2025 00:00"/>
        <s v="18/08/2025"/>
        <s v="14/08/2025"/>
        <s v="21/08/2025"/>
        <s v="15/10/2025"/>
        <s v="15/08/2025"/>
        <s v="29/09/2025"/>
        <s v="18/08/2025 00:00"/>
        <s v="25/08/2025 00:00"/>
        <s v="06/08/2025"/>
        <s v="16/09/2025"/>
        <s v="10/09/2025"/>
        <s v="11/09/2025 00:00"/>
        <s v="05/09/2025"/>
        <s v="06/02/2026"/>
        <s v="12/09/2025"/>
        <s v="10/09/2025 00:00"/>
        <s v="16/09/2025 00:00"/>
        <s v="19/09/2025"/>
        <s v="23/09/2025 00:00"/>
        <s v="24/09/2025 00:00"/>
        <s v="04/09/2025"/>
        <s v="30/09/2025"/>
        <s v="26/09/2025 00:00"/>
        <s v="09/09/2025 00:00"/>
        <s v="02/09/2025 00:00"/>
        <s v="30/09/2025 00:00"/>
        <s v="10/10/2025"/>
        <s v="15/10/2025 00:00"/>
        <s v="08/10/2025"/>
        <s v="09/10/2025"/>
        <s v="14/11/2025"/>
        <s v="27/10/2025"/>
        <s v="28/10/2025"/>
        <s v="13/10/2025"/>
        <s v="01/12/2025"/>
        <s v="04/11/2025 00:00"/>
        <s v="12/11/2025"/>
        <s v="04/11/2025"/>
        <s v="24/11/2025"/>
        <s v="05/11/2025"/>
        <s v="26/11/2025"/>
        <s v="26/11/2025 00:00"/>
        <s v="19/11/2025 00:00"/>
        <s v="25/11/2025"/>
        <s v="11/11/2025 00:00"/>
        <s v="24/11/2025 00:00"/>
        <s v="12/11/2025 00:00"/>
        <s v="10/11/2025 00:00"/>
        <s v="28/11/2025"/>
        <s v="02/12/2025 00:00"/>
        <s v="03/12/2025 00:00"/>
        <s v="05/12/2025 00:00"/>
        <s v="10/12/2025 00:00"/>
        <s v="15/12/2025 00:00"/>
        <s v="07/01/2026"/>
        <s v="15/12/2025"/>
        <s v="09/12/2025"/>
        <s v="02/12/2025"/>
        <s v="11/12/2025"/>
        <s v="12/12/2025"/>
        <s v="27/03/2026"/>
        <s v="16/12/2025"/>
        <s v="21/01/2026"/>
        <s v="13/01/2026"/>
        <s v="08/01/2026 00:00"/>
        <s v="09/01/2026 00:00"/>
        <s v="12/01/2026"/>
        <s v="15/01/2026"/>
        <s v="05/01/2026 00:00"/>
        <s v="27/02/2026"/>
        <s v="19/01/2026"/>
        <s v="13/01/2026 00:00"/>
        <s v="14/01/2026 00:00"/>
        <s v="20/01/2026"/>
        <s v="13/02/2026"/>
        <s v="05/03/2026"/>
        <s v="27/01/2026"/>
        <s v="23/01/2026 00:00"/>
        <s v="28/01/2026"/>
        <s v="02/02/2026"/>
        <s v="26/01/2026"/>
        <s v="05/02/2026 00:00"/>
        <s v="09/03/2026"/>
        <s v="11/02/2026"/>
        <s v="06/02/2026 00:00"/>
        <s v="04/05/2026"/>
        <s v="24/02/2026"/>
        <s v="26/02/2026"/>
        <s v="12/02/2026"/>
        <s v="18/03/2026"/>
        <s v="23/02/2026"/>
        <s v="08/05/2026"/>
        <s v="20/02/2026"/>
        <s v="20/02/2026 00:00"/>
        <s v="03/03/2026"/>
        <s v="26/02/2026 00:00"/>
        <s v="29/04/2026"/>
        <s v="02/03/2026 00:00"/>
        <s v="09/03/2026 00:00"/>
        <s v="06/03/2026"/>
        <s v="13/03/2026"/>
        <s v="10/03/2026"/>
        <s v="16/03/2026"/>
        <s v="12/03/2026 00:00"/>
        <s v="04/03/2026"/>
        <s v="26/03/2026"/>
        <s v="24/03/2026"/>
        <s v="23/03/2026"/>
        <s v="25/03/2026"/>
        <s v="17/03/2026"/>
        <s v="19/03/2026"/>
        <s v="11/03/2026 00:00"/>
        <s v="26/03/2026 00:00"/>
        <s v="08/04/2026"/>
        <s v="27/04/2026"/>
        <s v="15/04/2026"/>
        <s v="16/04/2026"/>
        <s v="17/04/2026"/>
        <s v="14/04/2026 00:00"/>
        <s v="14/04/2026"/>
        <s v="02/04/2026 00:00"/>
        <s v="18/05/2026"/>
        <s v="05/05/2026"/>
        <s v="07/05/2026"/>
        <s v="13/05/2026"/>
        <s v="28/05/2026"/>
        <s v="08/05/2026 00:00"/>
        <s v="18/05/2026 00:00"/>
        <s v="11/05/2026" u="1"/>
      </sharedItems>
    </cacheField>
    <cacheField name="DataApresentação2" numFmtId="0">
      <sharedItems/>
    </cacheField>
    <cacheField name="Data UltContato" numFmtId="14">
      <sharedItems containsNonDate="0" containsDate="1" containsString="0" containsBlank="1" minDate="2025-12-10T00:00:00" maxDate="2026-05-20T00:00:00"/>
    </cacheField>
    <cacheField name="Temperatura" numFmtId="0">
      <sharedItems containsString="0" containsBlank="1" containsNumber="1" containsInteger="1" minValue="27" maxValue="90"/>
    </cacheField>
    <cacheField name="Horas" numFmtId="0">
      <sharedItems/>
    </cacheField>
    <cacheField name="Produtos" numFmtId="0">
      <sharedItems/>
    </cacheField>
    <cacheField name="Vlr Projeto" numFmtId="0">
      <sharedItems/>
    </cacheField>
    <cacheField name="Vlr Mensalidade" numFmtId="0">
      <sharedItems/>
    </cacheField>
    <cacheField name="qtde"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antos de Souza" refreshedDate="46162.31696423611" createdVersion="8" refreshedVersion="8" minRefreshableVersion="3" recordCount="502" xr:uid="{00000000-000A-0000-FFFF-FFFF01000000}">
  <cacheSource type="worksheet">
    <worksheetSource name="_329"/>
  </cacheSource>
  <cacheFields count="43">
    <cacheField name="Responsável" numFmtId="0">
      <sharedItems count="146" longText="1">
        <s v="Damián Muñoz"/>
        <s v="Rayssa Karapeticov"/>
        <s v="Junior Lopes"/>
        <s v="Paulo Souza"/>
        <s v="Passei as opções que temos integrações porém como quer uma funcionalidade especifica" u="1"/>
        <s v="Espero que esteja tudo bem com você." u="1"/>
        <s v="No dia 06/01 encaminhei a proposta para inclusão de CNPJ. Caso já tenha alguma previsão para início do uso dessa empresa" u="1"/>
        <s v="Vou dar baixa na proposta por enquanto e" u="1"/>
        <s v="Atenciosamente" u="1"/>
        <s v="14:44" u="1"/>
        <s v="14:45" u="1"/>
        <s v="enviei proposta comercial para o integrador&quot;" u="1"/>
        <s v="05.02 - Gustavo pediu para procura-lo na feira&quot;" u="1"/>
        <s v="1) Como esta a sua relação com a Guarani Sistemas" u="1"/>
        <s v="R: Falou sobre a liberação dos ajustes para reforma tributária e que foi perceptível a redução nos erros de atualização. " u="1"/>
        <s v="Estarão na Abup visitando nos dias 03 e 04 e combinamos de tomar um café lá." u="1"/>
        <s v="2) Para 2026" u="1"/>
        <s v="Falei com o Charles decidiram mudar a estratégia da empresa em questão de vendas e comercialização de produtos" u="1"/>
        <s v="E estão focando em prestação de serviços.&quot;" u="1"/>
        <s v="29//01 - não tive nenhum retorno&quot;" u="1"/>
        <s v="27/0 1 - encerrando tentativas com o Gustavo e o Marcos&quot;" u="1"/>
        <s v="22/01 negocio fechado" u="1"/>
        <s v="18.03 Tinhamos um" u="1"/>
        <s v="25.03 - Bom dia Emerson" u="1"/>
        <s v="Sobre as pendencias que falamos ontem:" u="1"/>
        <s v="- Alinhamento suporte: agendado reunião com o gerente Max" u="1"/>
        <s v="- Licenças Cloud: O Banco de dados da Facinato será migrado para um novo servidor" u="1"/>
        <s v="- Upgrade Cloud: Esta demanda esta com o Paulo" u="1"/>
        <s v="- Proposta BI: Estou enviando a proposta atualizada com a condição comercial do referente ao mês de março; - Pendente Facinato" u="1"/>
        <s v="- Comex: Aguardo avaliação e retorno sobre a viabilidade do módulo; - Pendente Facinato&quot;" u="1"/>
        <s v="23-02 Boa tarde Carlos" u="1"/>
        <s v="NO dia 20/01 fizemos uma reunião para levantar algumas questões que estão tendo ai na Mares e em conversa te passei algumas soluções" u="1"/>
        <s v="Pode me passar  como quer avançar com essas demandas e se tem interesse?" u="1"/>
        <s v="25.03 entrei em contato com o Carlos para saber como vamos avançar com os modulos que estão estudando&quot;" u="1"/>
        <s v="R: Falei como o Wheber" u="1"/>
        <s v="R:  Esse ano e sem projetos para 2026&quot;" u="1"/>
        <s v="É a Rayssa da Guarani Sistemas" u="1"/>
        <s v="Quando puder me avisa para te retornar" u="1"/>
        <s v="11:24" u="1"/>
        <s v="11:25" u="1"/>
        <s v="11:26" u="1"/>
        <s v="Perfeito" u="1"/>
        <s v="21/01 - Welsey pediu para entrar em contato com um funcionário dele" u="1"/>
        <s v="29/01 - sem retorno dele" u="1"/>
        <s v="R: Falei com o Leonardo não tem nada a relatar." u="1"/>
        <s v="R: Disse que agora em 2026 vai voltar a faturar. E caso precise de algum suporte entra em contato&quot;" u="1"/>
        <s v="27/01 - 3° tentativa de contato com o Alexandre" u="1"/>
        <s v="20/01 - Em contato como Carlos estão buscando automatizar processos e melhor a performance da equipe. " u="1"/>
        <s v="Pediu para apresentar todos os serviços integrados e osmodulos que não possuem no Guarani" u="1"/>
        <s v="falamos de um por um e pediu para enviar o materia dos serviços que mais atende a necessidade deles" u="1"/>
        <s v="Lexos - Natalia da Lexos irá agendar como cliente" u="1"/>
        <s v="Neocredit - vai conhecer o serviço como alternativa para o Serasa" u="1"/>
        <s v="Power BI  - Agendar apresentção" u="1"/>
        <s v="CRM Rd Station - Vai entrar em contato com a RD para conhecer " u="1"/>
        <s v="Interlipost - video enviado de cotação de frete" u="1"/>
        <s v="E passou vários pontos de WMS que trataremos em uma reunião com o Munhoz no dia 02/02" u="1"/>
        <s v="E passou vários pontos de WMS que trataremos em uma reunião com o Munhoz no dia 02/02&quot;" u="1"/>
        <s v="23/01 - Falei com o Rafael" u="1"/>
        <s v="Disse que se precisar de algo entra em contato comigo&quot;" u="1"/>
        <s v="R: Nesse inicio de ano estamos focado 100% na reforma tributário e até resolver esse problema não focaremos em nenhum outro assunto. Estamos recebendo todo auxilio necessário do suporte para atender esta demanda . Não temo nenhum queixa em relação ao guarani sistemas." u="1"/>
        <s v="após o assunto reforma tributária ser resolvido. Podemos conversa logo após o carnaval" u="1"/>
        <s v="Estão construindo um novo galpão que vão implementar o WMS e atualziei a proposta do BI com a condição comercial atualizada" u="1"/>
        <s v="Falou que esta muito satisfeito com o Guarani&quot;" u="1"/>
        <s v="Status de Satisfação: Muito Alto (ERP + Força de Vendas)." u="1"/>
        <s v="Projeção do Cliente: Expansão de 35% para 2026." u="1"/>
        <s v="Ponto de Atenção: Implantação do PCP pausada por decisão do cliente." u="1"/>
        <s v="Planejamento PCP: Retomada das pendências e ajustes prevista para 2026." u="1"/>
        <s v="Rone pediu para falar com Rogério sobre solução B2B " u="1"/>
        <s v="Status de Satisfação: Alto  dentro das suas atividades diárias " u="1"/>
        <s v="Projeção do Cliente: Bruno informou que está criando estratégias comerciais e desenvolvendo novos produtos para buscar um resultado melhor em suas vendas " u="1"/>
        <s v="Ponto de Atenção: nada relatado " u="1"/>
        <s v="Planejamento : enviar informações sobre B2B e percentual de crescimento dos clientes que hoje usam " u="1"/>
        <s v="Estou em contato com Aradia para alimentar mais informações&quot;" u="1"/>
        <s v="Passou alguns pontos" u="1"/>
        <s v="Porém" u="1"/>
        <s v="Atualizações emergenciais para correções dayzero" u="1"/>
        <s v="Falou que no porte da Guarani e principalmente para Plasduran isso nao pode acontecer" u="1"/>
        <s v="Alem disso são muitos chamados abertos semanalmente" u="1"/>
        <s v="Disse que esta tudo OK" u="1"/>
        <s v="05.02 custo alto&quot;" u="1"/>
        <s v="23-02 - Boa tarde Carlos" u="1"/>
        <s v="11.02 - Proposta enviada para visita do consultor para 5 dias" u="1"/>
        <s v="25.03 - entrei em contato com o Carlos para saber como vamos avançar com os modulos que estão estudando" u="1"/>
        <s v="15.04 - Boa Tarde Carlos" u="1"/>
        <s v="Como não tive retorno sobre o avanço do Interlipost" u="1"/>
        <s v="Quando fizer sentido para vocês podem me chamar e voltamos a negocia&quot;" u="1"/>
        <s v="Destoa forma precisa de um treinamento para implamentar esse processo na empresa" u="1"/>
        <s v="horas: 8 horas&quot;" u="1"/>
        <s v="É a Rayssa da Guarani Sistemas " u="1"/>
        <s v="Recebeu o email com a proposta?" u="1"/>
        <s v="17:42" u="1"/>
        <s v="Tudo bem?" u="1"/>
        <s v="17:45" u="1"/>
        <s v="Para que eu possa entender o que estão analisando?" u="1"/>
        <s v="17:46" u="1"/>
        <s v="17:51" u="1"/>
        <s v="17:53" u="1"/>
        <s v="17:58" u="1"/>
        <s v="Só para alinhar expectativas: a proposta que enviamos não é um “produto de prateleira”" u="1"/>
        <s v="Sobre os pontos que você comentou:" u="1"/>
        <s v="* Código: nos responsabilizamos pelo código para que o produto não perca qualidade e nem performance" u="1"/>
        <s v="* Integrações: já trabalhamos com integrações via API/ERP e isso costuma ser um dos principais ganhos do B2B." u="1"/>
        <s v="* Custo: a diferença normalmente está no médio prazo" u="1"/>
        <s v="18:00" u="1"/>
        <s v="18:03" u="1"/>
        <s v="13.02 vão retomar o assunto após a Abrin" u="1"/>
        <s v="15.04 Boa Tarde Arlington" u="1"/>
        <s v="Como não tive retorno sobre o avanço do B2B" u="1"/>
        <s v="Quando fizer sentido para vocês podem me chamar e voltamos a negociar&quot;" u="1"/>
        <s v="05.02 - negociaremos na feira&quot;" u="1"/>
        <s v="Negociaremos as horas no final do projeto&quot;" u="1"/>
        <s v="Atualizei a proposta comercial" u="1"/>
        <s v="25.03 - acabaram congelando o projeto para dar frente a outras demandas" u="1"/>
        <s v="Vai entrar em contato com a plataforma para conhecer o CRM deles" u="1"/>
        <s v="31.03 tentei vários contatos para avaçar e não consigo retorno.&quot;" u="1"/>
        <s v="Estão com um novo CEO - Eduardo" u="1"/>
        <s v="Apresentamos o Guarani ERP" u="1"/>
        <s v="Na reunião foi apresentando o BI" u="1"/>
        <s v="15.04 estão primeiro fazendo uma reciclagem para depois seguir com outros módulos&quot;" u="1"/>
        <s v="Na Reunião falamos sobre o Cloud&quot;" u="1"/>
        <s v="1803 - B2b ainda estamos vendo - Retorno Gustavo&quot;" u="1"/>
        <s v="18/03 - previsão de fechamento  á partir do dia 01/04" u="1"/>
        <s v="31.03 - avançaremos na quinta" u="1"/>
        <s v="Proposta enviada e negociando&quot;" u="1"/>
        <s v="18.03 Realizei a apresentação do B2B para equipe da Sultex" u="1"/>
        <s v="24.03 Bom dia Junior" u="1"/>
        <s v="Sobre o B2B pessoal te retornou com alguma duvida ou alguma questão da plataforma?" u="1"/>
        <s v="31.03 Boa tarde Junior" u="1"/>
        <s v="Consegue me posicionar o status do projeto do B2B?" u="1"/>
        <s v="07.04 Estão avaliando a ferramenta e esta com a diretoria" u="1"/>
        <s v="O processo dentro da Sultex são bem demorados" u="1"/>
        <s v="São 2 bancos separados Embalavi e Embalave&quot;" u="1"/>
        <s v="18.03 Eu já pedi internamente lá pra ele.. Só que.. essa semana eles estão em uma feira lá no Rio Grande do Sul&quot;" u="1"/>
        <s v="15.04 15:13" u="1"/>
        <s v="Queria retomar contigo o assunto do Comex. Na última vez você comentou que a diretoria tinha achado a mensalidade alta e que a proposta estava com eles para avaliação." u="1"/>
        <s v="Conseguiram avançar internamente nesse ponto. Se a questão ainda for valor" u="1"/>
        <s v="Minha ideia é ou ajustar a proposta para a realidade de vocês" u="1"/>
        <s v="22.04 Cliente pediu para deixar em stad-by&quot;" u="1"/>
        <s v="22.04 - Boa Tarde Emerson" u="1"/>
        <s v="Como não tive retorno sobre o avanço do BI" u="1"/>
        <s v="Quando fizer sentido para vocês podem me chamar e voltamos a negociar" u="1"/>
        <s v="Pediu para atualizar a proposta do BI e mandei com as condições comerciais atualizadas&quot;" u="1"/>
        <s v="31.03 - fase de assinatura de contrato&quot;" u="1"/>
        <s v="Detalhamento enviado aguardando termo aditivo&quot;" u="1"/>
        <s v="Desta forma foi enviado a proposta comercial&quot;" u="1"/>
        <s v="Passei a analise para o Paulo avaliar o que podemos fazer&quot;" u="1"/>
      </sharedItems>
    </cacheField>
    <cacheField name="ID Pós-vendas" numFmtId="0">
      <sharedItems containsSemiMixedTypes="0" containsString="0" containsNumber="1" containsInteger="1" minValue="1" maxValue="1239"/>
    </cacheField>
    <cacheField name="ID Cliente" numFmtId="0">
      <sharedItems containsString="0" containsBlank="1" containsNumber="1" containsInteger="1" minValue="0" maxValue="212"/>
    </cacheField>
    <cacheField name="ID Contato" numFmtId="0">
      <sharedItems containsSemiMixedTypes="0" containsString="0" containsNumber="1" containsInteger="1" minValue="39" maxValue="3930"/>
    </cacheField>
    <cacheField name="Descrição" numFmtId="0">
      <sharedItems longText="1"/>
    </cacheField>
    <cacheField name="Razão social" numFmtId="0">
      <sharedItems/>
    </cacheField>
    <cacheField name="Título do negócio" numFmtId="0">
      <sharedItems count="489">
        <s v="Master Ud"/>
        <s v="Orgon"/>
        <s v="Shangri-La"/>
        <s v="Mta Panelas"/>
        <s v="Rbo"/>
        <s v="Util"/>
        <s v="Mario Silva Das Merces Junior"/>
        <s v="Devito"/>
        <s v="Especial Cafés"/>
        <s v="Libra Gestao"/>
        <s v="Mega Lux"/>
        <s v="Sm Bom Preço"/>
        <s v="Dvidros"/>
        <s v="Amigold"/>
        <s v="Kaskin"/>
        <s v="Aliança Importadora"/>
        <s v="Jd Imports"/>
        <s v="Rio De Ouro Wincy"/>
        <s v="Ts Brasil"/>
        <s v="Fonte Boa"/>
        <s v="Plasduran"/>
        <s v="Stamaco"/>
        <s v="Frutiquelo"/>
        <s v="Regimara"/>
        <s v="Dislar"/>
        <s v="Scotti"/>
        <s v="Vision"/>
        <s v="Unica"/>
        <s v="Linha Evo"/>
        <s v="Igaratiba"/>
        <s v="Univendas"/>
        <s v="Grilazer"/>
        <s v="Dl (Grupo Mais)"/>
        <s v="Nutrire"/>
        <s v="Arcaplast"/>
        <s v="Fwb"/>
        <s v="Solferti"/>
        <s v="Montebello"/>
        <s v="Panamby"/>
        <s v="Ndi Importação"/>
        <s v="Paramount"/>
        <s v="Metaltru"/>
        <s v="Flora Nectar"/>
        <s v="Dismarina Mato Grosso"/>
        <s v="Clio Style"/>
        <s v="Lyke"/>
        <s v="Full Fit"/>
        <s v="Keure &amp; Tropical Aroma"/>
        <s v="Mabruk Presentes"/>
        <s v="Chahin"/>
        <s v="Vitazza"/>
        <s v="Fogo Azul"/>
        <s v="Revise"/>
        <s v="Wise Confort"/>
        <s v="Tamoio"/>
        <s v="Q´Festa"/>
        <s v="Arqplast"/>
        <s v="Marilar"/>
        <s v="Malta"/>
        <s v="Comercial Bela Vista"/>
        <s v="Wellmix"/>
        <s v="Plásticos Mb"/>
        <s v="Campeao"/>
        <s v="Plastcap"/>
        <s v="Interponte"/>
        <s v="Ind Bandeirantes"/>
        <s v="Aluminio Ramos"/>
        <s v="Invicta"/>
        <s v="C.R.I (Gnex)"/>
        <s v="Embalavi"/>
        <s v="Bezavel"/>
        <s v="IPACARAI - B2B"/>
        <s v="IPACARAI - BI"/>
        <s v="Dislar - Agenda de Visita"/>
        <s v="SIMONNAGGIO - Reimplantação AFV"/>
        <s v="PAROLIMP - B2B"/>
        <s v="PAROLAR  (WMS) - MAPEAMENTO"/>
        <s v="FAZZIO - B2B"/>
        <s v="GENEX - Cloud"/>
        <s v="RISCHIOTO - B2B"/>
        <s v="KEITA - CNPJ"/>
        <s v="RUVOLO - Tray"/>
        <s v="PAROLAR - Cloud"/>
        <s v="UTIL UD - CNPJ"/>
        <s v="Paramount - Imp.XML"/>
        <s v="UTIL UD - CTE"/>
        <s v="Fwb - Treinamento/Reciclagem"/>
        <s v="MILLENIUM DISTRIBUIDORA"/>
        <s v="DUARTES BRINQUEDOS (FIKA) - Treinamento"/>
        <s v="Plasduran - Custo"/>
        <s v="FAZZIO"/>
        <s v="NEDO - WMS"/>
        <s v="PAKIPLAST (Paki Toys &amp; Mercosur)"/>
        <s v="SUTT IMPORTADORA"/>
        <s v="PAROLIMP - Checkout"/>
        <s v="Plasduran - Novo Projeto  - Cloud"/>
        <s v="MARCAMIX"/>
        <s v="Flora Nectar Treinamento Financeiro"/>
        <s v="INFINITE HOME - E-commerce"/>
        <s v="Arqplast - Contábil"/>
        <s v="LIRA DISTRIBUIDORA - Tray"/>
        <s v="TERRA BOA ESPECIARIAS Horas Treinamento"/>
        <s v="Comercial Bela Vista - Treinamento Tray"/>
        <s v="QFESTA - Cloud"/>
        <s v="MUNDI EPS"/>
        <s v="MILLENIUM DISTRIBUIDORA - Telemarketing"/>
        <s v="MILLENIUM DISTRIBUIDORA - WMS"/>
        <s v="QUALYPLAS - Treinamento Financeiro"/>
        <s v="RUVOLO - Cloud Máquina"/>
        <s v="Wellmix- AFV-BI"/>
        <s v="MILLENIUM - Envio de Boleto por whatsapp"/>
        <s v="Comercial Bela Vista - CNPJ"/>
        <s v="Ndi Importação - Treinamento de Compras"/>
        <s v="LIRA DISTRIBUIDORA - CNPJ"/>
        <s v="ALUMINIO NACIONAL - CNPJ"/>
        <s v="RIO HOME -  SSW"/>
        <s v="MILLENIUM DISTRIBUIDORA - CT-e"/>
        <s v="Lyke - Treinamento Expede"/>
        <s v="SORVETES KASCAO"/>
        <s v="Mega Lux  -  Estoque futuro"/>
        <s v="RISCHIOTO"/>
        <s v="Mta Panelas - Qualidade"/>
        <s v="SULTEX - Mde"/>
        <s v="ATIVA ATACADO - CNPJ"/>
        <s v="PAROLIMP - Checkout  Horas Adicionais"/>
        <s v="FU XING - Cloud"/>
        <s v="INGA - Cloud"/>
        <s v="Igaratiba - Guarani BI"/>
        <s v="Mta Panelas/Link de Pagamento/SSW/B2B"/>
        <s v="Arqplast - WMS"/>
        <s v="Arqplast - B2B"/>
        <s v="PAKIPLAST (Paki Toys &amp; Mercosur) - B2B"/>
        <s v="PAKIPLAST (Paki Toys &amp; Mercosur) - WMS"/>
        <s v="PAKIPLAST (Paki Toys &amp; Mercosur) - Custo"/>
        <s v="PAKIPLAST (Paki Toys &amp; Mercosur) - Cloud"/>
        <s v="RISCHIOTO - CNPJ"/>
        <s v="DUARTES BRINQUEDOS (FIKA) - CNPJ"/>
        <s v="Univendas - CNPJ"/>
        <s v="Especial Cafés - Guarani BI"/>
        <s v="Regimara - Guarani BI"/>
        <s v="Marilar - PDV Guarani"/>
        <s v="PAROLAR - Integração RD Station"/>
        <s v="MILLENIUM DISTRIBUIDORA - inclusão de CNPJ"/>
        <s v="QUALITY HOUSE"/>
        <s v="INGA"/>
        <s v="DAS'PLAST - BI"/>
        <s v="Embalavi - BI"/>
        <s v="PAROLAR - Envio de Boleto whatsapp"/>
        <s v="Interponte - Proposta WEB - AFV"/>
        <s v="MILLENIUM DISTRIBUIDORA  - Koncili"/>
        <s v="Univendas - Guarani BI"/>
        <s v="ALUMINIO NACIONAL"/>
        <s v="SULTEX - Cloud"/>
        <s v="ATIVA ATACADO - Treinamento de compras"/>
        <s v="Universal Quimica - Mapeamento e Reimplantação"/>
        <s v="Lyke   - Telemarketing"/>
        <s v="COLORFLEX - Cloud"/>
        <s v="ALUMINIO NACIONAL - Horas Extra - WMS"/>
        <s v="DOLCE HOME - WMS"/>
        <s v="QUALITY HOUSE - Reciclagem"/>
        <s v="UTIL UD -  CNPJ"/>
        <s v="ATIVA ATACADO - PCP"/>
        <s v="SIPOM - CTe"/>
        <s v="GIFTUTIL"/>
        <s v="Montebello - Inclusão de CNPJ"/>
        <s v="ATIVA ATACADO - RD Station"/>
        <s v="DUARTES BRINQUEDOS (FIKA)"/>
        <s v="J C VACCARIN  - Boleto por APP"/>
        <s v="BRL Alimentos - Inclusão de CNPJ + CTE"/>
        <s v="Paramount - Cloud"/>
        <s v="KOZI PLAST - CNPJ"/>
        <s v="Flora Nectar - Treinamento Estoque"/>
        <s v="COLORFLEX - Treinamento AFV"/>
        <s v="ALUMINIO NACIONAL - Qualidade"/>
        <s v="GP INOX - B2B"/>
        <s v="SULTEX - Treinamento AFV"/>
        <s v="Mta Panelas - AFB B2B"/>
        <s v="ATIVA ATACADO  - Treinamento"/>
        <s v="QUALYPLAS  - CNPJ"/>
        <s v="COLORFLEX - Contábil"/>
        <s v="Plastcap - Reciclagem e Implantação"/>
        <s v="Universal Quimica - Integrador Tray"/>
        <s v="AKITEM UTILIDADES - Substituição de CNPJ"/>
        <s v="RIO HOME - Envio de Boleto Whatsapp"/>
        <s v="ALUMINIO NACIONAL - Inventário"/>
        <s v="CARDOSO BRINQUEDO - Link de Pagamento"/>
        <s v="MILLENIUM DISTRIBUIDORA - CNPJ"/>
        <s v="Pupi Imports - MDF-E e CT-E"/>
        <s v="Plásticos Mb - Treinamento AFV - Integrador"/>
        <s v="Marilar - CNPJ"/>
        <s v="COLORFLEX - Compras"/>
        <s v="DUTE - CNPJ - Implantação Estoque futuro"/>
        <s v="Embalavi E-commerce"/>
        <s v="LIRA DISTRIBUIDORA - PDV"/>
        <s v="GIFTUTIL - Add-on Multiloja"/>
        <s v="Plásticos Mb - Loja B2B"/>
        <s v="Vitazza - CRM"/>
        <s v="Plásticos Mb - Proposta WEB"/>
        <s v="Chahin - Alteração E-commerce"/>
        <s v="QUALITY HOUSE - WMS"/>
        <s v="ALUMINIO NACIONAL- Treinamento processos PCP"/>
        <s v="COLORFLEX - Mapeamento Almoxarifado"/>
        <s v="ATIVA ATACADO - compras, almoxarifado e recebiment"/>
        <s v="FACINATO - Alinhamento Estratégico: Próximos Passo"/>
        <s v="QFESTA - Link de pagamento"/>
        <s v="MOKFA IMPORT - Expedição"/>
        <s v="YOSS COMERCIAL - Alinhamento Estratégico: Próximos"/>
        <s v="Wellmix - Proposta WEB"/>
        <s v="NIX HOUSE - Estoque Futuro"/>
        <s v="TERRA BOA ESPECIARIAS  - Routeasy"/>
        <s v="CULTURAMA - Guarani BI"/>
        <s v="Scotti - Cloud"/>
        <s v="MUNDI EPS treinamento"/>
        <s v="Arcaplast - Novo CD"/>
        <s v="Univendas - Horas WMS"/>
        <s v="Scotti - Neocredit"/>
        <s v="Mta Panelas - Treinamento Custos"/>
        <s v="Arcaplast - Guarani B2B"/>
        <s v="Univendas - Boleto wapp"/>
        <s v="ATIVA ATACADO - Treinamento A pagar e receber"/>
        <s v="Universal Quimica - Cloud"/>
        <s v="Master Ud   - Manifestação Destinatário"/>
        <s v="QFESTA - TLK"/>
        <s v="Flora Nectar - AFV - Reimplantação"/>
        <s v="Full Fit - B2B"/>
        <s v="CULTURAMA  - CNPJ"/>
        <s v="DUTE - Checkout"/>
        <s v="PAROLAR- Envio de Boleto por Whatsapp"/>
        <s v="QUALYPLAS - envio de boleto por whatsapp"/>
        <s v="INGA - Routeazy"/>
        <s v="ZINCO METAL - Envio de Boleto por Whatsapp"/>
        <s v="Dvidros - envio de boleto por Whatsapp"/>
        <s v="FWB - Envio de Boleto Whatsapp"/>
        <s v="Interponte - Envio de Boleto Whatsapp"/>
        <s v="Dismarina  - Envio de Boleto por Whatsapp"/>
        <s v="Ndi Importação - Envio de Boleto Whatsapp"/>
        <s v="KEITA - envio de Boleto Whatsapp"/>
        <s v="Plásticos MB - Segregação AFV"/>
        <s v="Plásticos MB - Consultoria"/>
        <s v="MILLENIUM DISTRIBUIDORA - Koncili"/>
        <s v="ALUMINIO NACIONAL - Envio de Boleto por Whatsapp"/>
        <s v="Aliança Importadora - Saldo de horas"/>
        <s v="SUTT IMPORTADORA - Saldo de horas"/>
        <s v="Pupi Imports - Inclusão de Empresas"/>
        <s v="UTIL UD - Telemarketing"/>
        <s v="Wellmix - Treinamento equipe de vendas"/>
        <s v="Pupi Imports - Multiloja"/>
        <s v="RUVOLO - Koncili"/>
        <s v="GP INOX Telemarketing"/>
        <s v="Koisas de Kozinha - Processos fiscais"/>
        <s v="KOZI PLAST - Treinamento PCP"/>
        <s v="DUS - CNPJ"/>
        <s v="DUS - Módulo Contábil"/>
        <s v="RISCHIOTO - Interlipost"/>
        <s v="INGA - Interlipost"/>
        <s v="PAROLAR - Guarani Expede"/>
        <s v="SORVETES KASCAO - Qualidade"/>
        <s v="QUALYPLAS - Financeiro - Fiscal - Compras"/>
        <s v="YOSS COMERCIAL - Reciclagem"/>
        <s v="PAROLAR - CNPJ"/>
        <s v="Dislar - treinamento"/>
        <s v="Regimara - Visita Técnica"/>
        <s v="PAROLAR - Estoque Futuro"/>
        <s v="Ndi Importação - Cloud"/>
        <s v="Plasduran - Link de pagamento"/>
        <s v="INGA - Treinamento"/>
        <s v="FAZZIO - Treinamento"/>
        <s v="DAS'PLAST - Link de Pagamento"/>
        <s v="MILLENIUM DISTRIBUIDORA - Lexos e CNPJ"/>
        <s v="INGA - Link de Pagamento"/>
        <s v="ALUMINIO NACIONAL - B2B"/>
        <s v="PAROLIMP - Link de Pagamento"/>
        <s v="KOZI PLAST - PCP"/>
        <s v="SULTEX  - CIAP - Ativo Imobilizado"/>
        <s v="DCARTE - Módulo Iara"/>
        <s v="Aliança Importadora  - Link de Pagamento"/>
        <s v="Univendas - Envio de Boleto por Whatsapp"/>
        <s v="RUVOLO  - CNPJ"/>
        <s v="ELMO ATACADO - B2B"/>
        <s v="MARCAMIX - Interlipost"/>
        <s v="Belmount Indústria - Link de Pagamento"/>
        <s v="Comercial Bela Vista - Link de Pagamento"/>
        <s v="Dislar - Saldo de Horas"/>
        <s v="TERRA BOA ESPECIARIAS - Treinamento de Custo"/>
        <s v="Mta Panelas - Industrialização em terceiro"/>
        <s v="Mta Panelas - Link de Pagamento"/>
        <s v="DAS'PLAST - Treinamento PCP"/>
        <s v="NIX HOUSE - Link de Pagamento"/>
        <s v="Marilar - Integrador E-commerce"/>
        <s v="ClassHome -  WMS"/>
        <s v="Lyke - Reimplantação AFV"/>
        <s v="Embalavi - Concil"/>
        <s v="RIO HOME - CNPJ"/>
        <s v="GIFTUTIL - Estoque Futuro"/>
        <s v="Marilar PDV Guarani"/>
        <s v="Chahin - Saldo de horas"/>
        <s v="QUALITY HOUSE - Treinamento"/>
        <s v="Dvidros  - MDF-e"/>
        <s v="Preciza Import - MDFe"/>
        <s v="NIX HOUSE - COMEX"/>
        <s v="SUTT IMPORTADORA - Compras"/>
        <s v="FAZZIO - expedição"/>
        <s v="CULTURAMA - Treinamento Contábil"/>
        <s v="Paramount - Treinamento WMS"/>
        <s v="Wellmix - Margem AFV"/>
        <s v="Mta Panelas - CNPJ"/>
        <s v="BRL Alimentos - Treinamento Comercial"/>
        <s v="C.R.I (Gnex) - Cloud"/>
        <s v="Universal Quimica - XML"/>
        <s v="KEITA - WMS"/>
        <s v="DAS'PLAST - Treinamento Financeiro"/>
        <s v="ALUMINIO NACIONAL - Koncili"/>
        <s v="FAZZIO - Saldo de horas SUP-129417"/>
        <s v="COLORFLEX - CIAP"/>
        <s v="Universal Quimica - Reimplantação"/>
        <s v="TERRA BOA ESPECIARIAS"/>
        <s v="Full Fit - Iara"/>
        <s v="MYPA  - CRM"/>
        <s v="FACINATO - BI"/>
        <s v="Precisa Import - Envio de boleto por Whatsapp"/>
        <s v="AKITEM UTILIDADES - WMS"/>
        <s v="VIA LAR - UTILIDADES DOMESTICAS LTDA"/>
        <s v="Regimara - Saldo de Horas"/>
        <s v="DUS - Ecommerce"/>
        <s v="ATIVA ATACADO - MDF-e"/>
        <s v="Jd Imports CNPJ"/>
        <s v="Mares Comercio Importacao - Envio de Boleto por Whatsapp"/>
        <s v="Pupi Imports - Link B2B"/>
        <s v="Pupi Imports - Loja B2B"/>
        <s v="Fogo Azul - Markup"/>
        <s v="Q´Festa - Link de Pagamento"/>
        <s v="MULTIPRESENTES PRESENTES E BRINQUEDOS LTDA"/>
        <s v="GP INOX - Estoque Futuro"/>
        <s v="GYN ATACADO LTDA - Integrador E-commerce"/>
        <s v="Master Ud - Cloud"/>
        <s v="Arcaplast - Boleto Whatsapp"/>
        <s v="DOLCE HOME - Integrador"/>
        <s v="SUTT IMPORTADORA  - Checkout"/>
        <s v="GYN ATACADO LTDA - Cloud"/>
        <s v="DAS'PLAST - PCP"/>
        <s v="DOLCE HOME - B2B"/>
        <s v="Univendas - Cloud"/>
        <s v="VITORIA CORTINAS - Coletor"/>
        <s v="MYPA - Integrador ecommerce e CNPJ"/>
        <s v="Precisa Import - preposto"/>
        <s v="NIX HOUSE"/>
        <s v="QUALYPLAS - PCP"/>
        <s v="QUALYPLAS - MDE"/>
        <s v="QUALYPLAS - Contabil"/>
        <s v="Pupi Imports - WMS"/>
        <s v="SULTEX - Xmodal"/>
        <s v="Rafinha Alimentos - Interlipost"/>
        <s v="COLORFLEX - AFV"/>
        <s v="NANOX TECNOLOGIA S/A - BI"/>
        <s v="DOLCE HOME - CNPJ"/>
        <s v="GYN ATACADO - Inventário"/>
        <s v="PAROLAR - Checkout"/>
        <s v="DAS'PLAST - Treinamento"/>
        <s v="DCARTE - WMS"/>
        <s v="COLORFLEX - XModal"/>
        <s v="MUNDI EPS - CNPJ"/>
        <s v="Wellmix - Mudança de Banco"/>
        <s v="Chahin - Alteração Empresa Integrador"/>
        <s v="GYN ATACADO LTDA - B2B"/>
        <s v="GYN ATACADO LTDA - BI"/>
        <s v="Textil Regimara - BI"/>
        <s v="QUALYPLAS - Lexos"/>
        <s v="Univendas - Treinamento"/>
        <s v="INGA - Ativo Imobilizado"/>
        <s v="CULTURAMA - Horas Contabil"/>
        <s v="RIO HOME - Link de Pagamento"/>
        <s v="SCOTTI DISTRIBUIDORA"/>
        <s v="Marcamix Comercial Importadora"/>
        <s v="FAZZIO MADEIRAS COMERCIAL LTDA"/>
        <s v="EMBALAVI - SUL DISTRIBUIDORA DE EMBALAGENS LTDA."/>
        <s v="DISLAR CENTRAL DE PRODUTOS PARA O LAR LTDA."/>
        <s v="SULTEXTIL S/A INDUSTRIA DE TECIDOS"/>
        <s v="ARCA PLAST INDUSTRIA E COMERCIO DE PLASTICOS LTDA"/>
        <s v="FACINATO - Comex"/>
        <s v="NIX HOUSE  - Comex"/>
        <s v="MARES  - Interlipost"/>
        <s v="KEITA  -Horas WMS"/>
        <s v="ZEIN IMPORTACAO E COMERCIO LTDA"/>
        <s v="Weckud"/>
        <s v="SIID SISTEMA DE INOVACAO E INTEGRACAO EM DISTRIBUICAO LTDA"/>
        <s v="SHOCK IMPORTS COMERCIAL LTDA"/>
        <s v="MARES COMERCIO IMPORTACAO LTDA"/>
        <s v="INFINITE HOME IMPORTACAO, EXPORTACAO E DISTRIBUICAO DE MERCADORIAS EM GERAL LTDA"/>
        <s v="RBO DISTRIBUIDORA LTDA"/>
        <s v="QHOUSE COMERCIO E IMPORTADORA DE UTILIDADES DOMESTICAS LTDA"/>
        <s v="TOP MAIS FERRAMENTARIA E COMERCIO DE UTILIDADES LTDA"/>
        <s v="YIN'S BRASIL COMERCIO INTERNACIONAL LTDA"/>
        <s v="RIO DE OURO - WINCY BRASIL COMERCIO DE ARTIGOS PARA PRESENTES LTDA"/>
        <s v="SM SUPERMARCAS - VISION PR DISTRIBUIDORA LTDA"/>
        <s v="Util Comercio E Confeccao Ltda"/>
        <s v="TOP LINE UD INDUSTRIA E COMERCIO DE PLASTICO LTDA"/>
        <s v="TAMOIO BOAS IMPRESSOES IMPORTACAO E EXPORTACAO LTDA"/>
        <s v="NANOX TECNOLOGIA S/A"/>
        <s v="UNY GIFT COMERCIO IMPORTACAO E EXPORTACAO LTDA."/>
        <s v="NEDO - CASAPRATIL COMERCIO DE ENCARTELADOS LTDA"/>
        <s v="KASCAO - SORVETES SUPLES INDUSTRIA E COMERCIO LTDA"/>
        <s v="Comercial bela Vista - Alex Fonseca Vieira"/>
        <s v="AD &amp; AD COMERCIO DE IMPORTACAO E EXPORTACAO LTDA"/>
        <s v="PLASUTIL-INDUSTRIA E COMERCIO DE PLASTICOS LTDA"/>
        <s v="Plasnorthon Sul Industrial Ltda"/>
        <s v="PLASDURAN INDUSTRIA E COMERCIO DE PLASTICOS LTDA"/>
        <s v="UNIVENDAS - GN COMERCIAL DE UTILIDADES DOMESTICAS LTDA"/>
        <s v="NIPO CENTER IMPORT LTDA"/>
        <s v="GP INOX - Guarani BI"/>
        <s v="Pupi Imports - Horas WMS"/>
        <s v="Mares - BI"/>
        <s v="MARES  - WMS"/>
        <s v="SORVETES KASCAO - compras"/>
        <s v="Wellmix - B2B"/>
        <s v="MOKFA IMPORT - BI"/>
        <s v="SHOCK IMPORTS- AFV"/>
        <s v="PAROLAR - RD Station"/>
        <s v="MARES - Comex"/>
        <s v="NEDO - RD Stantion"/>
        <s v="PAROLAR - CRM RD Stantion"/>
        <s v="Universal Quimica - BI"/>
        <s v="Universal Quimica - Treinamento e CNPJ"/>
        <s v="DUTE - B2B"/>
        <s v="SORVETES KASCAO  - Cloud"/>
        <s v="Univendas - Comex"/>
        <s v="INGA - Reciclagem"/>
        <s v="Ingá -  redimensionamento de picking"/>
        <s v="QUALITY HOUSE - BI"/>
        <s v="Precisa Import - Power BI"/>
        <s v="SULTEX - B2B"/>
        <s v="Embalavi - Tray"/>
        <s v="DAS'PLAST - Mde"/>
        <s v="PAROLAR - Comex"/>
        <s v="INNOVO COMERCIO DE PRESENTES E BRINQUEDOS LTDA"/>
        <s v="RUVOLO - Comex"/>
        <s v="Arqplast - Md-e"/>
        <s v="Dislar - Treinamento de Custos"/>
        <s v="INGA - Contábil"/>
        <s v="Interponte - Proposta WEB"/>
        <s v="NIX HOUSE - Rd Station"/>
        <s v="CULTURAMA - B2B"/>
        <s v="RIO HOME - ZNIA"/>
        <s v="DAS'PLAST - Comex"/>
        <s v="DAS'PLAST - Contábil"/>
        <s v="Fwb - Comex"/>
        <s v="Plásticos Mb - Segregação de Base"/>
        <s v="NIX HOUSE - B2B"/>
        <s v="INGA - Orçamento B2B - AFV"/>
        <s v="Chahin - Cloud"/>
        <s v="Carlos"/>
        <s v="NIX HOUSE - MD-e"/>
        <s v="SUTT IMPORTADORA - Cloud"/>
        <s v="Univendas - BI"/>
        <s v="SHOCK IMPORTS - Tray"/>
        <s v="" u="1"/>
        <s v="Melissa - DUS" u="1"/>
        <s v="Elaine" u="1"/>
        <s v="(16) 97013-1401" u="1"/>
        <s v="(48) 9853-4548" u="1"/>
        <s v="(11) 3195-8233 / (11) 4527-1355" u="1"/>
        <s v="(16) 99767-2684" u="1"/>
        <s v="Moises" u="1"/>
        <s v="(11) 32976-0951" u="1"/>
        <s v="(41) 9521-4843" u="1"/>
        <s v="(11) 2081-5317 / (11) 2081-5537 / (11) 2081-5537" u="1"/>
        <s v="(35) 3531-6382 / (35) 3539-8200 / (35) 3531-6382" u="1"/>
        <s v="(19) 98168-2828" u="1"/>
        <s v="(19) 99291-6644" u="1"/>
        <s v="Rone Alves" u="1"/>
        <s v="(19) 3478-8200 / (19) 3406-2511" u="1"/>
        <s v="Pedro" u="1"/>
        <s v="(13) 35799-6001" u="1"/>
        <s v="(11) 6611-7236" u="1"/>
        <s v="(48) 3447-6367" u="1"/>
        <s v="(11) 3227-4492 / (11) 3227-4400" u="1"/>
        <s v="Rogério" u="1"/>
        <s v="(12) 3322-4198" u="1"/>
        <s v="(16) 3763-0033" u="1"/>
        <s v="UNIVERSAL QUIMICA INDUSTRIA E COMERCIO LTDA" u="1"/>
        <s v="(11) 3451-3709" u="1"/>
        <s v="Kawany" u="1"/>
        <s v="(14) 9173-6009 / (14) 3203-0222" u="1"/>
        <s v="SULTEX IMPORTACAO E EXPORTACAO LTDA" u="1"/>
        <s v="(41) 3888-0050" u="1"/>
        <s v="Marcos" u="1"/>
        <s v="(15) 3263-4682" u="1"/>
        <s v="(21) 2224-7616" u="1"/>
        <s v="(43) 3032-5600" u="1"/>
        <s v="(54) 30273-8275" u="1"/>
      </sharedItems>
    </cacheField>
    <cacheField name="CNPJ" numFmtId="0">
      <sharedItems containsString="0" containsBlank="1" containsNumber="1" containsInteger="1" minValue="134729000150" maxValue="82128935000201"/>
    </cacheField>
    <cacheField name="Nome do Cliente" numFmtId="0">
      <sharedItems/>
    </cacheField>
    <cacheField name="Nome do Contato" numFmtId="0">
      <sharedItems/>
    </cacheField>
    <cacheField name="Telefone do Contato" numFmtId="0">
      <sharedItems/>
    </cacheField>
    <cacheField name="Celular do Contato" numFmtId="0">
      <sharedItems containsString="0" containsBlank="1" containsNumber="1" containsInteger="1" minValue="11973359869" maxValue="11984320025"/>
    </cacheField>
    <cacheField name="E-mail" numFmtId="0">
      <sharedItems/>
    </cacheField>
    <cacheField name="Contatos" numFmtId="0">
      <sharedItems/>
    </cacheField>
    <cacheField name="Endereço" numFmtId="0">
      <sharedItems/>
    </cacheField>
    <cacheField name="Cidade" numFmtId="0">
      <sharedItems/>
    </cacheField>
    <cacheField name="Estado" numFmtId="0">
      <sharedItems/>
    </cacheField>
    <cacheField name="Origem" numFmtId="0">
      <sharedItems/>
    </cacheField>
    <cacheField name="TAGS" numFmtId="0">
      <sharedItems/>
    </cacheField>
    <cacheField name="Funil de vendas" numFmtId="0">
      <sharedItems/>
    </cacheField>
    <cacheField name="Etapa do funil de vendas" numFmtId="0">
      <sharedItems/>
    </cacheField>
    <cacheField name="Forma de Pagamento" numFmtId="0">
      <sharedItems/>
    </cacheField>
    <cacheField name="Valor Total" numFmtId="0">
      <sharedItems containsString="0" containsBlank="1" containsNumber="1" containsInteger="1" minValue="0" maxValue="2040708"/>
    </cacheField>
    <cacheField name="Valor mensal" numFmtId="0">
      <sharedItems containsString="0" containsBlank="1" containsNumber="1" containsInteger="1" minValue="0" maxValue="1939757"/>
    </cacheField>
    <cacheField name="Criado por" numFmtId="0">
      <sharedItems/>
    </cacheField>
    <cacheField name="Tempo como pós venda" numFmtId="0">
      <sharedItems containsSemiMixedTypes="0" containsString="0" containsNumber="1" containsInteger="1" minValue="0" maxValue="325"/>
    </cacheField>
    <cacheField name="Data de Criação" numFmtId="14">
      <sharedItems containsSemiMixedTypes="0" containsNonDate="0" containsDate="1" containsString="0" minDate="2024-11-08T00:00:00" maxDate="2026-05-19T00:00:00"/>
    </cacheField>
    <cacheField name="Hora de Criação" numFmtId="44">
      <sharedItems containsSemiMixedTypes="0" containsNonDate="0" containsDate="1" containsString="0" minDate="1899-12-30T08:39:47" maxDate="1899-12-30T20:32:07"/>
    </cacheField>
    <cacheField name="Status" numFmtId="0">
      <sharedItems/>
    </cacheField>
    <cacheField name="Data de Perda/Ganho" numFmtId="14">
      <sharedItems containsNonDate="0" containsDate="1" containsString="0" containsBlank="1" minDate="2024-12-04T00:00:00" maxDate="2026-05-16T00:00:00"/>
    </cacheField>
    <cacheField name="Hora de Perda/Ganho" numFmtId="44">
      <sharedItems containsNonDate="0" containsDate="1" containsString="0" containsBlank="1" minDate="1899-12-30T08:35:23" maxDate="1899-12-30T19:18:20"/>
    </cacheField>
    <cacheField name="Motivo de perda" numFmtId="0">
      <sharedItems/>
    </cacheField>
    <cacheField name="Razão de Perda" numFmtId="0">
      <sharedItems containsString="0" containsBlank="1" containsNumber="1" containsInteger="1" minValue="0" maxValue="0"/>
    </cacheField>
    <cacheField name="Data Proposta" numFmtId="0">
      <sharedItems containsDate="1" containsMixedTypes="1" minDate="2026-05-07T00:00:00" maxDate="2026-05-08T00:00:00" count="247">
        <s v=""/>
        <s v="01/11/2024"/>
        <s v="04/11/2024"/>
        <s v="16/04/2024"/>
        <s v="05/11/2024"/>
        <s v="06/11/2024"/>
        <s v="06/01/2025"/>
        <s v="12/11/2024"/>
        <s v="14/11/2024"/>
        <s v="22/11/2024"/>
        <s v="11/12/2024"/>
        <s v="04/12/2024"/>
        <s v="15/04/2025"/>
        <s v="05/12/2024"/>
        <s v="03/12/2024"/>
        <s v="10/12/2024"/>
        <s v="09/12/2024"/>
        <s v="12/12/2024"/>
        <s v="18/12/2024"/>
        <s v="02/12/2024"/>
        <s v="13/12/2024"/>
        <s v="06/01/2025 00:00"/>
        <s v="07/01/2025 00:00"/>
        <s v="08/01/2025 00:00"/>
        <s v="09/01/2025 00:00"/>
        <s v="10/01/2025 00:00"/>
        <s v="13/01/2025 00:00"/>
        <s v="14/01/2025 00:00"/>
        <s v="15/01/2025 00:00"/>
        <s v="16/01/2025 00:00"/>
        <s v="17/01/2025 00:00"/>
        <s v="20/01/2025 00:00"/>
        <s v="21/01/2025 00:00"/>
        <s v="22/01/2025 00:00"/>
        <s v="23/01/2025 00:00"/>
        <s v="24/01/2025 00:00"/>
        <s v="27/01/2025 00:00"/>
        <s v="28/01/2025 00:00"/>
        <s v="06/02/2025 00:00"/>
        <s v="07/02/2025 00:00"/>
        <s v="10/02/2025 00:00"/>
        <s v="13/02/2025 00:00"/>
        <s v="14/02/2025 00:00"/>
        <s v="03/02/2025 00:00"/>
        <s v="17/02/2025 00:00"/>
        <s v="20/02/2025 00:00"/>
        <s v="21/02/2025 00:00"/>
        <s v="04/04/2025"/>
        <s v="23/04/2025"/>
        <s v="24/02/2025 00:00"/>
        <s v="27/02/2025 00:00"/>
        <s v="14/03/2025 00:00"/>
        <s v="12/03/2025 00:00"/>
        <s v="17/03/2025 00:00"/>
        <s v="18/03/2025 00:00"/>
        <s v="19/03/2025 00:00"/>
        <s v="20/03/2025 00:00"/>
        <s v="11/07/2025"/>
        <s v="26/03/2025 00:00"/>
        <s v="01/04/2025"/>
        <s v="31/03/2025 00:00"/>
        <s v="01/04/2025 00:00"/>
        <s v="08/04/2025 00:00"/>
        <s v="02/04/2025 00:00"/>
        <s v="03/04/2025 00:00"/>
        <s v="15/04/2025 00:00"/>
        <s v="04/04/2025 00:00"/>
        <s v="09/04/2025"/>
        <s v="10/04/2025 00:00"/>
        <s v="14/04/2025"/>
        <s v="14/04/2025 00:00"/>
        <s v="16/04/2025 00:00"/>
        <s v="17/04/2025 00:00"/>
        <s v="23/04/2025 00:00"/>
        <s v="24/04/2025 00:00"/>
        <s v="30/04/2025 00:00"/>
        <s v="02/05/2025"/>
        <s v="05/05/2025 00:00"/>
        <s v="06/05/2025 00:00"/>
        <s v="07/05/2025 00:00"/>
        <s v="08/05/2025 00:00"/>
        <s v="09/05/2025 00:00"/>
        <s v="12/05/2025 00:00"/>
        <s v="14/05/2025 00:00"/>
        <s v="15/05/2025 00:00"/>
        <s v="14/07/2025"/>
        <s v="16/05/2025 00:00"/>
        <s v="19/05/2025"/>
        <s v="19/05/2025 00:00"/>
        <s v="28/07/2025"/>
        <s v="03/06/2025"/>
        <s v="20/05/2025"/>
        <s v="21/05/2025 00:00"/>
        <s v="22/05/2025 00:00"/>
        <s v="27/05/2025 00:00"/>
        <s v="28/05/2025 00:00"/>
        <s v="29/05/2025 00:00"/>
        <s v="02/06/2025"/>
        <s v="04/06/2025"/>
        <s v="04/06/2025 00:00"/>
        <s v="12/06/2025"/>
        <s v="06/06/2025 00:00"/>
        <s v="10/06/2025 00:00"/>
        <s v="12/06/2025 00:00"/>
        <s v="13/06/2025 00:00"/>
        <s v="16/06/2025"/>
        <s v="16/06/2025 00:00"/>
        <s v="18/06/2025 00:00"/>
        <s v="17/06/2025 00:00"/>
        <s v="24/06/2025 00:00"/>
        <s v="25/06/2025 00:00"/>
        <s v="10/07/2025"/>
        <s v="01/07/2025"/>
        <s v="16/07/2025"/>
        <s v="07/07/2025 00:00"/>
        <s v="08/07/2025 00:00"/>
        <s v="27/07/2025"/>
        <s v="11/07/2025 00:00"/>
        <s v="16/07/2025 00:00"/>
        <s v="17/07/2025 00:00"/>
        <s v="23/07/2025 00:00"/>
        <s v="24/07/2025 00:00"/>
        <s v="30/07/2025 00:00"/>
        <s v="08/08/2025"/>
        <s v="04/08/2025 00:00"/>
        <s v="05/08/2025 00:00"/>
        <s v="07/08/2025 00:00"/>
        <s v="11/08/2025 00:00"/>
        <s v="18/08/2025 00:00"/>
        <s v="13/08/2025 00:00"/>
        <s v="20/08/2025 00:00"/>
        <s v="21/08/2025 00:00"/>
        <s v="25/08/2025 00:00"/>
        <s v="26/08/2025 00:00"/>
        <s v="29/08/2025 00:00"/>
        <s v="01/09/2025 00:00"/>
        <s v="02/09/2025 00:00"/>
        <s v="03/09/2025 00:00"/>
        <s v="08/09/2025 00:00"/>
        <s v="09/09/2025 00:00"/>
        <s v="06/10/2025"/>
        <s v="12/09/2025"/>
        <s v="12/09/2025 00:00"/>
        <s v="15/09/2025 00:00"/>
        <s v="16/09/2025 00:00"/>
        <s v="18/09/2025 00:00"/>
        <s v="19/09/2025 00:00"/>
        <s v="23/09/2025 00:00"/>
        <s v="25/09/2025 00:00"/>
        <s v="29/09/2025 00:00"/>
        <s v="01/10/2025"/>
        <s v="01/10/2025 00:00"/>
        <s v="02/10/2025 00:00"/>
        <s v="03/10/2025 00:00"/>
        <s v="20/10/2025"/>
        <s v="06/10/2025 00:00"/>
        <s v="26/11/2025"/>
        <s v="10/10/2025 00:00"/>
        <s v="21/10/2025"/>
        <s v="20/10/2025 00:00"/>
        <s v="27/10/2025"/>
        <s v="21/10/2025 00:00"/>
        <s v="22/10/2025 00:00"/>
        <s v="27/10/2025 00:00"/>
        <s v="29/10/2025 00:00"/>
        <s v="28/10/2025 00:00"/>
        <s v="06/11/2025"/>
        <s v="03/11/2025 00:00"/>
        <s v="07/11/2025 00:00"/>
        <s v="10/11/2025 00:00"/>
        <s v="11/11/2025"/>
        <s v="02/12/2025"/>
        <s v="13/11/2025 00:00"/>
        <s v="18/11/2025 00:00"/>
        <s v="25/11/2025 00:00"/>
        <s v="26/11/2025 00:00"/>
        <s v="27/11/2025 00:00"/>
        <s v="28/11/2025 00:00"/>
        <s v="28/04/2026"/>
        <s v="03/12/2025 00:00"/>
        <s v="05/12/2025 00:00"/>
        <s v="08/12/2025 00:00"/>
        <s v="11/12/2025 00:00"/>
        <s v="17/12/2025 00:00"/>
        <s v="19/12/2025 00:00"/>
        <s v="06/01/2026 00:00"/>
        <s v="07/01/2026 00:00"/>
        <s v="08/01/2026"/>
        <s v="13/01/2026 00:00"/>
        <s v="14/01/2026 00:00"/>
        <s v="16/01/2026 00:00"/>
        <s v="19/01/2026 00:00"/>
        <s v="12/02/2026"/>
        <s v="29/01/2026"/>
        <s v="27/01/2026 00:00"/>
        <s v="28/01/2026 00:00"/>
        <s v="29/01/2026 00:00"/>
        <s v="11/02/2026"/>
        <s v="02/02/2026 00:00"/>
        <s v="05/02/2026 00:00"/>
        <s v="11/02/2026 00:00"/>
        <s v="09/02/2026 00:00"/>
        <s v="16/02/2026 00:00"/>
        <s v="17/02/2026 00:00"/>
        <s v="12/02/2026 00:00"/>
        <s v="18/02/2026 00:00"/>
        <s v="08/05/2026"/>
        <s v="20/02/2026 00:00"/>
        <s v="18/03/2026"/>
        <s v="03/03/2026"/>
        <s v="26/02/2026 00:00"/>
        <s v="15/04/2026"/>
        <s v="03/03/2026 00:00"/>
        <s v="04/03/2026 00:00"/>
        <s v="09/03/2026 00:00"/>
        <s v="11/03/2026 00:00"/>
        <s v="13/03/2026 00:00"/>
        <s v="19/03/2026 00:00"/>
        <s v="23/03/2026 00:00"/>
        <s v="24/03/2026 00:00"/>
        <s v="27/03/2026 00:00"/>
        <s v="31/03/2026 00:00"/>
        <s v="01/04/2026 00:00"/>
        <s v="14/04/2026 00:00"/>
        <s v="24/04/2026"/>
        <s v="15/04/2026 00:00"/>
        <s v="16/04/2026 00:00"/>
        <s v="20/04/2026 00:00"/>
        <s v="29/04/2026 00:00"/>
        <s v="07/05/2026"/>
        <s v="11/05/2026 00:00"/>
        <s v="12/05/2026 00:00"/>
        <s v="15/05/2026 00:00"/>
        <s v="18/05/2026 00:00"/>
        <s v="06/05/2026 00:00" u="1"/>
        <s v="19/01/2026" u="1"/>
        <s v="30/01/2026" u="1"/>
        <s v="30" u="1"/>
        <s v="22/01/2026" u="1"/>
        <s v="50" u="1"/>
        <s v="20/01/2026 00:00" u="1"/>
        <s v="90" u="1"/>
        <s v="25/03/2026" u="1"/>
        <d v="2026-05-07T00:00:00" u="1"/>
        <s v="06/05/2026" u="1"/>
        <s v="14/04/2026" u="1"/>
        <s v="02/12/2025 00:00" u="1"/>
      </sharedItems>
    </cacheField>
    <cacheField name="DataApresentação1" numFmtId="0">
      <sharedItems count="175">
        <s v=""/>
        <s v="14/03/2025"/>
        <s v="13/01/2025"/>
        <s v="04/12/2024"/>
        <s v="03/12/2024"/>
        <s v="09/12/2024 00:00"/>
        <s v="05/12/2024"/>
        <s v="12/12/2024 00:00"/>
        <s v="29/01/2025"/>
        <s v="13/12/2024 00:00"/>
        <s v="06/01/2025"/>
        <s v="06/01/2025 00:00"/>
        <s v="09/01/2025"/>
        <s v="09/01/2025 00:00"/>
        <s v="13/01/2025 00:00"/>
        <s v="14/01/2025 00:00"/>
        <s v="15/01/2025 00:00"/>
        <s v="16/01/2025 00:00"/>
        <s v="30/01/2025"/>
        <s v="24/01/2025 00:00"/>
        <s v="28/01/2025 00:00"/>
        <s v="06/02/2025 00:00"/>
        <s v="03/02/2025 00:00"/>
        <s v="07/02/2025 00:00"/>
        <s v="10/02/2025 00:00"/>
        <s v="13/02/2025 00:00"/>
        <s v="14/02/2025 00:00"/>
        <s v="18/02/2025 00:00"/>
        <s v="19/02/2025 00:00"/>
        <s v="21/02/2025 00:00"/>
        <s v="14/04/2025"/>
        <s v="01/04/2025"/>
        <s v="24/02/2025 00:00"/>
        <s v="03/04/2025"/>
        <s v="17/03/2025 00:00"/>
        <s v="11/07/2025"/>
        <s v="24/03/2025"/>
        <s v="01/04/2025 00:00"/>
        <s v="08/04/2025 00:00"/>
        <s v="03/04/2025 00:00"/>
        <s v="08/04/2025"/>
        <s v="07/04/2025 00:00"/>
        <s v="10/04/2025 00:00"/>
        <s v="23/04/2025 00:00"/>
        <s v="30/04/2025 00:00"/>
        <s v="05/05/2025 00:00"/>
        <s v="06/05/2025"/>
        <s v="09/05/2025 00:00"/>
        <s v="07/05/2025 00:00"/>
        <s v="12/05/2025"/>
        <s v="14/05/2025"/>
        <s v="15/05/2025"/>
        <s v="21/05/2025 00:00"/>
        <s v="23/05/2025"/>
        <s v="19/05/2025 00:00"/>
        <s v="14/05/2025 00:00"/>
        <s v="19/05/2025"/>
        <s v="20/05/2025 00:00"/>
        <s v="22/05/2025 00:00"/>
        <s v="22/05/2025"/>
        <s v="27/05/2025 00:00"/>
        <s v="28/05/2025 00:00"/>
        <s v="02/06/2025"/>
        <s v="04/06/2025"/>
        <s v="05/06/2025 00:00"/>
        <s v="06/06/2025 00:00"/>
        <s v="12/06/2025 00:00"/>
        <s v="13/06/2025 00:00"/>
        <s v="16/06/2025 00:00"/>
        <s v="18/06/2025 00:00"/>
        <s v="17/06/2025 00:00"/>
        <s v="03/07/2025"/>
        <s v="01/07/2025"/>
        <s v="03/07/2025 00:00"/>
        <s v="07/07/2025 00:00"/>
        <s v="08/07/2025 00:00"/>
        <s v="21/07/2025"/>
        <s v="11/07/2025 00:00"/>
        <s v="14/07/2025 00:00"/>
        <s v="01/08/2025"/>
        <s v="30/07/2025 00:00"/>
        <s v="01/08/2025 00:00"/>
        <s v="05/08/2025 00:00"/>
        <s v="08/08/2025"/>
        <s v="11/08/2025 00:00"/>
        <s v="08/08/2025 00:00"/>
        <s v="18/08/2025 00:00"/>
        <s v="13/08/2025 00:00"/>
        <s v="15/08/2025 00:00"/>
        <s v="14/08/2025 00:00"/>
        <s v="20/08/2025 00:00"/>
        <s v="25/08/2025 00:00"/>
        <s v="26/08/2025 00:00"/>
        <s v="29/08/2025 00:00"/>
        <s v="03/09/2025 00:00"/>
        <s v="08/09/2025 00:00"/>
        <s v="09/09/2025 00:00"/>
        <s v="11/09/2025 00:00"/>
        <s v="18/09/2025 00:00"/>
        <s v="23/09/2025 00:00"/>
        <s v="25/09/2025 00:00"/>
        <s v="01/10/2025 00:00"/>
        <s v="03/10/2025 00:00"/>
        <s v="10/10/2025"/>
        <s v="26/11/2025"/>
        <s v="10/10/2025 00:00"/>
        <s v="17/10/2025 00:00"/>
        <s v="20/10/2025 00:00"/>
        <s v="22/10/2025"/>
        <s v="21/10/2025 00:00"/>
        <s v="22/10/2025 00:00"/>
        <s v="06/10/2025 00:00"/>
        <s v="29/10/2025 00:00"/>
        <s v="27/10/2025 00:00"/>
        <s v="06/11/2025"/>
        <s v="03/11/2025 00:00"/>
        <s v="07/11/2025 00:00"/>
        <s v="10/11/2025 00:00"/>
        <s v="11/11/2025"/>
        <s v="02/12/2025"/>
        <s v="24/11/2025 00:00"/>
        <s v="25/11/2025 00:00"/>
        <s v="26/11/2025 00:00"/>
        <s v="27/11/2025 00:00"/>
        <s v="20/04/2026"/>
        <s v="03/12/2025 00:00"/>
        <s v="05/12/2025 00:00"/>
        <s v="11/12/2025 00:00"/>
        <s v="17/12/2025 00:00"/>
        <s v="16/12/2025 00:00"/>
        <s v="18/12/2025 00:00"/>
        <s v="07/01/2026 00:00"/>
        <s v="13/01/2026 00:00"/>
        <s v="16/01/2026 00:00"/>
        <s v="12/02/2026"/>
        <s v="16/02/2026"/>
        <s v="20/01/2026"/>
        <s v="23/01/2026 00:00"/>
        <s v="27/01/2026 00:00"/>
        <s v="20/01/2026 00:00"/>
        <s v="02/02/2026 00:00"/>
        <s v="05/02/2026"/>
        <s v="03/02/2026 00:00"/>
        <s v="11/02/2026 00:00"/>
        <s v="11/02/2026"/>
        <s v="05/02/2026 00:00"/>
        <s v="04/02/2026 00:00"/>
        <s v="06/02/2026 00:00"/>
        <s v="19/02/2026"/>
        <s v="17/02/2026 00:00"/>
        <s v="20/02/2026"/>
        <s v="20/02/2026 00:00"/>
        <s v="18/03/2026"/>
        <s v="25/02/2026 00:00"/>
        <s v="26/02/2026 00:00"/>
        <s v="27/02/2026 00:00"/>
        <s v="03/03/2026 00:00"/>
        <s v="09/03/2026 00:00"/>
        <s v="19/03/2026 00:00"/>
        <s v="31/03/2026 00:00"/>
        <s v="01/04/2026 00:00"/>
        <s v="14/04/2026 00:00"/>
        <s v="15/04/2026"/>
        <s v="16/04/2026"/>
        <s v="16/04/2026 00:00"/>
        <s v="29/04/2026 00:00"/>
        <s v="06/05/2026 00:00"/>
        <s v="11/05/2026"/>
        <s v="12/05/2026 00:00"/>
        <s v="15/05/2026 00:00"/>
        <s v="18/05/2026 00:00"/>
        <s v="27/01/2026" u="1"/>
        <s v="30" u="1"/>
        <s v="18/02/2026" u="1"/>
        <s v="02/12/2025 00:00" u="1"/>
      </sharedItems>
    </cacheField>
    <cacheField name="DataApresentação2" numFmtId="0">
      <sharedItems/>
    </cacheField>
    <cacheField name="Data UltContato" numFmtId="0">
      <sharedItems/>
    </cacheField>
    <cacheField name="Temperatura" numFmtId="0">
      <sharedItems/>
    </cacheField>
    <cacheField name="Horas" numFmtId="0">
      <sharedItems/>
    </cacheField>
    <cacheField name="Vlr Projeto" numFmtId="0">
      <sharedItems/>
    </cacheField>
    <cacheField name="Vlr Mensalidade" numFmtId="0">
      <sharedItems/>
    </cacheField>
    <cacheField name="Produtos" numFmtId="0">
      <sharedItems/>
    </cacheField>
    <cacheField name="Qdte"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antos de Souza" refreshedDate="46162.316964930556" createdVersion="8" refreshedVersion="8" minRefreshableVersion="3" recordCount="52" xr:uid="{00000000-000A-0000-FFFF-FFFF02000000}">
  <cacheSource type="worksheet">
    <worksheetSource name="metas"/>
  </cacheSource>
  <cacheFields count="19">
    <cacheField name="Ano" numFmtId="49">
      <sharedItems containsMixedTypes="1" containsNumber="1" containsInteger="1" minValue="2026" maxValue="2026" count="3">
        <s v="2025"/>
        <s v="2026"/>
        <n v="2026"/>
      </sharedItems>
    </cacheField>
    <cacheField name="Mês" numFmtId="17">
      <sharedItems containsSemiMixedTypes="0" containsNonDate="0" containsDate="1" containsString="0" minDate="2025-01-01T00:00:00" maxDate="2026-05-02T00:00:00" count="17">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sharedItems>
      <fieldGroup par="18"/>
    </cacheField>
    <cacheField name="Vendedor" numFmtId="0">
      <sharedItems count="4">
        <s v="Rayssa Karapeticov"/>
        <s v="Junior Lopes"/>
        <s v="Paulo Souza"/>
        <s v="Ronaldo Nascimento"/>
      </sharedItems>
    </cacheField>
    <cacheField name="Lead" numFmtId="0">
      <sharedItems containsNonDate="0" containsString="0" containsBlank="1"/>
    </cacheField>
    <cacheField name="Propsota" numFmtId="0">
      <sharedItems containsSemiMixedTypes="0" containsString="0" containsNumber="1" containsInteger="1" minValue="1" maxValue="33"/>
    </cacheField>
    <cacheField name="Apresentação" numFmtId="0">
      <sharedItems containsSemiMixedTypes="0" containsString="0" containsNumber="1" containsInteger="1" minValue="0" maxValue="31"/>
    </cacheField>
    <cacheField name="Meta Individual" numFmtId="44">
      <sharedItems containsMixedTypes="1" containsNumber="1" minValue="0" maxValue="55175.4"/>
    </cacheField>
    <cacheField name="Meta Equipe" numFmtId="44">
      <sharedItems containsSemiMixedTypes="0" containsString="0" containsNumber="1" minValue="2" maxValue="71696.53"/>
    </cacheField>
    <cacheField name="Meta Projetos" numFmtId="44">
      <sharedItems containsSemiMixedTypes="0" containsString="0" containsNumber="1" minValue="0" maxValue="367161.59999999998"/>
    </cacheField>
    <cacheField name="OBLead" numFmtId="1">
      <sharedItems containsSemiMixedTypes="0" containsString="0" containsNumber="1" containsInteger="1" minValue="150" maxValue="150"/>
    </cacheField>
    <cacheField name="OB Proposta " numFmtId="0">
      <sharedItems containsSemiMixedTypes="0" containsString="0" containsNumber="1" containsInteger="1" minValue="15" maxValue="15"/>
    </cacheField>
    <cacheField name="OB Apresentação" numFmtId="0">
      <sharedItems containsSemiMixedTypes="0" containsString="0" containsNumber="1" containsInteger="1" minValue="12" maxValue="12"/>
    </cacheField>
    <cacheField name="OB Individual" numFmtId="2">
      <sharedItems containsSemiMixedTypes="0" containsString="0" containsNumber="1" minValue="6" maxValue="10"/>
    </cacheField>
    <cacheField name="OBEquipe" numFmtId="2">
      <sharedItems containsSemiMixedTypes="0" containsString="0" containsNumber="1" minValue="26" maxValue="34"/>
    </cacheField>
    <cacheField name="OB Projetos" numFmtId="44">
      <sharedItems containsSemiMixedTypes="0" containsString="0" containsNumber="1" containsInteger="1" minValue="54000" maxValue="90000"/>
    </cacheField>
    <cacheField name="OBI" numFmtId="10">
      <sharedItems containsMixedTypes="1" containsNumber="1" minValue="0" maxValue="5.5175400000000003"/>
    </cacheField>
    <cacheField name="OBE" numFmtId="0">
      <sharedItems containsSemiMixedTypes="0" containsString="0" containsNumber="1" minValue="2.222222222222222E-5" maxValue="0.9018431446540881"/>
    </cacheField>
    <cacheField name="Dias (Mês)" numFmtId="0" databaseField="0">
      <fieldGroup base="1">
        <rangePr groupBy="days" startDate="2025-01-01T00:00:00" endDate="2026-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02/05/2026"/>
        </groupItems>
      </fieldGroup>
    </cacheField>
    <cacheField name="Meses (Mês)" numFmtId="0" databaseField="0">
      <fieldGroup base="1">
        <rangePr groupBy="months" startDate="2025-01-01T00:00:00" endDate="2026-05-02T00:00:00"/>
        <groupItems count="14">
          <s v="&lt;01/01/2025"/>
          <s v="jan"/>
          <s v="fev"/>
          <s v="mar"/>
          <s v="abr"/>
          <s v="mai"/>
          <s v="jun"/>
          <s v="jul"/>
          <s v="ago"/>
          <s v="set"/>
          <s v="out"/>
          <s v="nov"/>
          <s v="dez"/>
          <s v="&gt;02/05/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antos de Souza" refreshedDate="46162.316965972219" createdVersion="8" refreshedVersion="8" minRefreshableVersion="3" recordCount="471" xr:uid="{00000000-000A-0000-FFFF-FFFF05000000}">
  <cacheSource type="worksheet">
    <worksheetSource name="Vendas2025"/>
  </cacheSource>
  <cacheFields count="22">
    <cacheField name="Data" numFmtId="14">
      <sharedItems containsSemiMixedTypes="0" containsNonDate="0" containsDate="1" containsString="0" minDate="2025-01-06T00:00:00" maxDate="2025-12-06T00:00:00" count="100">
        <d v="2025-01-06T00:00:00"/>
        <d v="2025-01-07T00:00:00"/>
        <d v="2025-01-08T00:00:00"/>
        <d v="2025-01-09T00:00:00"/>
        <d v="2025-01-10T00:00:00"/>
        <d v="2025-01-13T00:00:00"/>
        <d v="2025-01-14T00:00:00"/>
        <d v="2025-01-15T00:00:00"/>
        <d v="2025-01-16T00:00:00"/>
        <d v="2025-01-17T00:00:00"/>
        <d v="2025-01-24T00:00:00"/>
        <d v="2025-01-28T00:00:00"/>
        <d v="2025-01-29T00:00:00"/>
        <d v="2025-02-03T00:00:00"/>
        <d v="2025-02-09T00:00:00"/>
        <d v="2025-02-10T00:00:00"/>
        <d v="2025-02-14T00:00:00"/>
        <d v="2025-02-19T00:00:00"/>
        <d v="2025-02-24T00:00:00"/>
        <d v="2025-02-25T00:00:00"/>
        <d v="2025-02-26T00:00:00"/>
        <d v="2025-02-27T00:00:00"/>
        <d v="2025-02-28T00:00:00"/>
        <d v="2025-03-01T00:00:00"/>
        <d v="2025-03-04T00:00:00"/>
        <d v="2025-03-10T00:00:00"/>
        <d v="2025-03-12T00:00:00"/>
        <d v="2025-03-13T00:00:00"/>
        <d v="2025-03-18T00:00:00"/>
        <d v="2025-03-20T00:00:00"/>
        <d v="2025-03-25T00:00:00"/>
        <d v="2025-03-26T00:00:00"/>
        <d v="2025-03-27T00:00:00"/>
        <d v="2025-04-01T00:00:00"/>
        <d v="2025-04-02T00:00:00"/>
        <d v="2025-04-04T00:00:00"/>
        <d v="2025-04-23T00:00:00"/>
        <d v="2025-04-29T00:00:00"/>
        <d v="2025-05-02T00:00:00"/>
        <d v="2025-05-05T00:00:00"/>
        <d v="2025-05-06T00:00:00"/>
        <d v="2025-05-09T00:00:00"/>
        <d v="2025-05-12T00:00:00"/>
        <d v="2025-05-13T00:00:00"/>
        <d v="2025-05-14T00:00:00"/>
        <d v="2025-05-15T00:00:00"/>
        <d v="2025-05-22T00:00:00"/>
        <d v="2025-05-30T00:00:00"/>
        <d v="2025-06-01T00:00:00"/>
        <d v="2025-06-02T00:00:00"/>
        <d v="2025-06-05T00:00:00"/>
        <d v="2025-06-06T00:00:00"/>
        <d v="2025-06-10T00:00:00"/>
        <d v="2025-06-11T00:00:00"/>
        <d v="2025-06-16T00:00:00"/>
        <d v="2025-06-23T00:00:00"/>
        <d v="2025-06-24T00:00:00"/>
        <d v="2025-06-25T00:00:00"/>
        <d v="2025-06-27T00:00:00"/>
        <d v="2025-07-01T00:00:00"/>
        <d v="2025-07-16T00:00:00"/>
        <d v="2025-07-17T00:00:00"/>
        <d v="2025-07-21T00:00:00"/>
        <d v="2025-07-22T00:00:00"/>
        <d v="2025-07-24T00:00:00"/>
        <d v="2025-07-25T00:00:00"/>
        <d v="2025-07-30T00:00:00"/>
        <d v="2025-07-31T00:00:00"/>
        <d v="2025-08-01T00:00:00"/>
        <d v="2025-08-04T00:00:00"/>
        <d v="2025-08-07T00:00:00"/>
        <d v="2025-08-19T00:00:00"/>
        <d v="2025-08-27T00:00:00"/>
        <d v="2025-09-02T00:00:00"/>
        <d v="2025-09-10T00:00:00"/>
        <d v="2025-09-19T00:00:00"/>
        <d v="2025-09-22T00:00:00"/>
        <d v="2025-09-23T00:00:00"/>
        <d v="2025-09-24T00:00:00"/>
        <d v="2025-09-30T00:00:00"/>
        <d v="2025-10-06T00:00:00"/>
        <d v="2025-10-07T00:00:00"/>
        <d v="2025-10-30T00:00:00"/>
        <d v="2025-10-24T00:00:00"/>
        <d v="2025-10-22T00:00:00"/>
        <d v="2025-10-15T00:00:00"/>
        <d v="2025-10-17T00:00:00"/>
        <d v="2025-10-14T00:00:00"/>
        <d v="2025-10-16T00:00:00"/>
        <d v="2025-11-07T00:00:00"/>
        <d v="2025-11-04T00:00:00"/>
        <d v="2025-11-05T00:00:00"/>
        <d v="2025-11-13T00:00:00"/>
        <d v="2025-11-14T00:00:00"/>
        <d v="2025-11-24T00:00:00"/>
        <d v="2025-11-27T00:00:00"/>
        <d v="2025-12-01T00:00:00"/>
        <d v="2025-12-02T00:00:00"/>
        <d v="2025-12-04T00:00:00"/>
        <d v="2025-12-05T00:00:00"/>
      </sharedItems>
      <fieldGroup par="21"/>
    </cacheField>
    <cacheField name="Ticket" numFmtId="0">
      <sharedItems containsMixedTypes="1" containsNumber="1" containsInteger="1" minValue="78364" maxValue="134873"/>
    </cacheField>
    <cacheField name="Vendedor" numFmtId="0">
      <sharedItems count="3">
        <s v="Junior Lopes"/>
        <s v="Paulo Souza"/>
        <s v="Rayssa Karapeticov"/>
      </sharedItems>
    </cacheField>
    <cacheField name="Cliente" numFmtId="0">
      <sharedItems/>
    </cacheField>
    <cacheField name="Produto" numFmtId="0">
      <sharedItems count="35">
        <s v="Importação XML"/>
        <s v="ERP"/>
        <s v="AFV"/>
        <s v="Cloud"/>
        <s v="WMS"/>
        <s v="PDV"/>
        <s v="PDV ERP"/>
        <s v="MDe"/>
        <s v="Treinamento"/>
        <s v="Melhoria"/>
        <s v="CNPJ"/>
        <s v="Tray"/>
        <s v="Envio de Boleto"/>
        <s v="MDFe"/>
        <s v="PCP"/>
        <s v="BI"/>
        <s v="Guarani B2B"/>
        <s v="Telemarketing"/>
        <s v="CTE"/>
        <s v="AFV Preposto"/>
        <s v="CRM RD Station"/>
        <s v="Intelipost"/>
        <s v="Contábil"/>
        <s v="B2B"/>
        <s v="Link de Pagamento"/>
        <s v="Routeasy"/>
        <s v="Addon Propsta WEB"/>
        <s v="PDV Server"/>
        <s v="PDV Pre Venda"/>
        <s v="MDFE e CTE"/>
        <s v="Addon Multilojas"/>
        <s v="Addon Iara"/>
        <s v="Lexos"/>
        <s v="CIAP"/>
        <s v="Magis"/>
      </sharedItems>
    </cacheField>
    <cacheField name="TipoReceita" numFmtId="0">
      <sharedItems count="4">
        <s v="Mensalidade"/>
        <s v="Treinamentos"/>
        <s v="CDU"/>
        <s v="Melhoria"/>
      </sharedItems>
    </cacheField>
    <cacheField name="Qtde" numFmtId="1">
      <sharedItems containsSemiMixedTypes="0" containsString="0" containsNumber="1" minValue="0" maxValue="612"/>
    </cacheField>
    <cacheField name="VlrUnitário" numFmtId="164">
      <sharedItems containsSemiMixedTypes="0" containsString="0" containsNumber="1" minValue="0" maxValue="22000"/>
    </cacheField>
    <cacheField name="VlrTotal" numFmtId="165">
      <sharedItems containsSemiMixedTypes="0" containsString="0" containsNumber="1" minValue="0" maxValue="108936"/>
    </cacheField>
    <cacheField name="%Comissão" numFmtId="10">
      <sharedItems containsSemiMixedTypes="0" containsString="0" containsNumber="1" minValue="0" maxValue="1"/>
    </cacheField>
    <cacheField name="%ComissãoSupervisor" numFmtId="0">
      <sharedItems containsSemiMixedTypes="0" containsString="0" containsNumber="1" minValue="0" maxValue="0.25"/>
    </cacheField>
    <cacheField name="Base" numFmtId="165">
      <sharedItems/>
    </cacheField>
    <cacheField name="ComissãoVendedor " numFmtId="165">
      <sharedItems containsSemiMixedTypes="0" containsString="0" containsNumber="1" minValue="0" maxValue="10810"/>
    </cacheField>
    <cacheField name="ComissãoSupervisor" numFmtId="165">
      <sharedItems containsSemiMixedTypes="0" containsString="0" containsNumber="1" minValue="0" maxValue="2702.5"/>
    </cacheField>
    <cacheField name="Clicksign" numFmtId="0">
      <sharedItems/>
    </cacheField>
    <cacheField name="Contrato_Termo Aditivo" numFmtId="0">
      <sharedItems/>
    </cacheField>
    <cacheField name="Obs" numFmtId="0">
      <sharedItems containsNonDate="0" containsString="0" containsBlank="1"/>
    </cacheField>
    <cacheField name="Parcelas" numFmtId="0">
      <sharedItems containsSemiMixedTypes="0" containsString="0" containsNumber="1" containsInteger="1" minValue="0" maxValue="12"/>
    </cacheField>
    <cacheField name="Contrato" numFmtId="0">
      <sharedItems/>
    </cacheField>
    <cacheField name="SDR_RESPONSÁVEL" numFmtId="0">
      <sharedItems/>
    </cacheField>
    <cacheField name="Dias (Data)" numFmtId="0" databaseField="0">
      <fieldGroup base="0">
        <rangePr groupBy="days" startDate="2025-01-06T00:00:00" endDate="2025-12-06T00:00:00"/>
        <groupItems count="368">
          <s v="&lt;06/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06/12/2025"/>
        </groupItems>
      </fieldGroup>
    </cacheField>
    <cacheField name="Meses (Data)" numFmtId="0" databaseField="0">
      <fieldGroup base="0">
        <rangePr groupBy="months" startDate="2025-01-06T00:00:00" endDate="2025-12-06T00:00:00"/>
        <groupItems count="14">
          <s v="&lt;06/01/2025"/>
          <s v="jan"/>
          <s v="fev"/>
          <s v="mar"/>
          <s v="abr"/>
          <s v="mai"/>
          <s v="jun"/>
          <s v="jul"/>
          <s v="ago"/>
          <s v="set"/>
          <s v="out"/>
          <s v="nov"/>
          <s v="dez"/>
          <s v="&gt;06/12/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antos de Souza" refreshedDate="46162.316965972219" createdVersion="8" refreshedVersion="8" minRefreshableVersion="3" recordCount="82" xr:uid="{00000000-000A-0000-FFFF-FFFF04000000}">
  <cacheSource type="worksheet">
    <worksheetSource name="FORECAST"/>
  </cacheSource>
  <cacheFields count="9">
    <cacheField name="Qtde" numFmtId="0">
      <sharedItems containsSemiMixedTypes="0" containsString="0" containsNumber="1" containsInteger="1" minValue="1" maxValue="1"/>
    </cacheField>
    <cacheField name="Cliente" numFmtId="0">
      <sharedItems count="82">
        <s v="Porto Brasil Cerâmica – AFV"/>
        <s v="Renovação Porcelanas – AFV"/>
        <s v="Tiago Eletrônicos – B2B"/>
        <s v="Amilplast Ind – ERP"/>
        <s v="MDL Import – Cloud"/>
        <s v="Plasbrink Embalagens Plásticas Ltda – ERP"/>
        <s v="Plasbrink Embalagens Plásticas Ltda – Cloud"/>
        <s v="Preciza Import – Boleto WhatsApp"/>
        <s v="Marka Têxtil – ERP"/>
        <s v="Marka Têxtil – Cloud"/>
        <s v="Sevilla Trade – ERP"/>
        <s v="Sevilla Trade – Cloud"/>
        <s v="Fafá Import – WMS"/>
        <s v="VIC Import – ERP"/>
        <s v="VIC Import – AFV"/>
        <s v="VIC Import – Cloud"/>
        <s v="Conthey – ERP"/>
        <s v="Conthey – AFV"/>
        <s v="Conthey – Cloud"/>
        <s v="Star – B2B"/>
        <s v="Erca Alumínio – Imp. XML"/>
        <s v="Toptem – ERP"/>
        <s v="Toptem – AFV"/>
        <s v="Chavetas Comércio de Peças e Ferramentas Ltda"/>
        <s v="Color Unhas"/>
        <s v="Folha Dourada Tabacos Ltda"/>
        <s v="Atacadão Delfino"/>
        <s v="BK Comércio"/>
        <s v="Sunguider Importador/Distribuidor"/>
        <s v="Indústria Oyshi"/>
        <s v="Alumínio Ramos"/>
        <s v="Wellmix – ERP"/>
        <s v="Medihosp"/>
        <s v="Bela Flor"/>
        <s v="Imev Proteínas"/>
        <s v="AIH Importadora de Artigos de Presentes Ltda"/>
        <s v="Maia 4"/>
        <s v="Zomax"/>
        <s v="Val Port"/>
        <s v="Tron"/>
        <s v="HF Utilidades"/>
        <s v="Valport – B2B"/>
        <s v="Atual Mix"/>
        <s v="Union Ind"/>
        <s v="Distribuidora do Wicca"/>
        <s v="JP Distribuidora – Agenda Visita"/>
        <s v="Alumínio Nacional"/>
        <s v="Afey Peças"/>
        <s v="NVT Importadora"/>
        <s v="Olé Alimentos"/>
        <s v="Loggix Serviços Material Escolar"/>
        <s v="Zini Home"/>
        <s v="Russa 7 Berg Distribuidora"/>
        <s v="Stok Frios"/>
        <s v="Deltamed Comércio"/>
        <s v="Evolux – ERP · PCP · WMS · AFV"/>
        <s v="Doce Festa – ERP · AFV"/>
        <s v="Irriga House"/>
        <s v="CLS Indústria de Produtos Químicos Ltda"/>
        <s v="Maral"/>
        <s v="Fisiohosp"/>
        <s v="Vida Fitness"/>
        <s v="Horto das Acácias"/>
        <s v="Devons Hair"/>
        <s v="Alpinpro"/>
        <s v="DUS – Mercado Livre Full"/>
        <s v="Gyn Atacado Ltda – Integrador E-commerce"/>
        <s v="Univendas – Cloud"/>
        <s v="Qualyplas – PCP"/>
        <s v="Qualyplas – MDE"/>
        <s v="Qualyplas – Contábil"/>
        <s v="Rischioto – Routeasy"/>
        <s v="Colorflex – AFV"/>
        <s v="Parolar – Checkout"/>
        <s v="Multipresentes Presentes e Brinquedos Ltda"/>
        <s v="Chahin – Alteração Empresa Integrador"/>
        <s v="Gyn Atacado Ltda – B2B"/>
        <s v="Gyn Atacado Ltda – BI"/>
        <s v="Rischioto – CNPJ"/>
        <s v="Quality House – BI"/>
        <s v="Quality House – WMS"/>
        <s v="Dvidros – Estoque Futuro"/>
      </sharedItems>
    </cacheField>
    <cacheField name="Produto" numFmtId="0">
      <sharedItems count="25">
        <s v="AFV"/>
        <s v="B2B"/>
        <s v="ERP"/>
        <s v="CLOUD"/>
        <s v="ADDON BOLETO WHATSAPP"/>
        <s v="WMS"/>
        <s v="ADDON IMPORTAÇÃO XML"/>
        <s v="QUALIFICANDO"/>
        <s v="ERP, AFV, WMS"/>
        <s v="ERP, AFV "/>
        <s v="ERP, PDV"/>
        <s v="ADDON AGENDA "/>
        <s v="TREINAMENTO"/>
        <s v="ERP, AFV"/>
        <s v="ERP, PCP, WMS, AFV"/>
        <s v="Addon Mercado Livrefull"/>
        <s v="Hub Ecommerce"/>
        <s v="PCP"/>
        <s v="MDE"/>
        <s v="Contábil"/>
        <s v="Routeasy"/>
        <s v="Checkout"/>
        <s v="Proposta WEB"/>
        <s v="BI"/>
        <s v="CNPJ"/>
      </sharedItems>
    </cacheField>
    <cacheField name="Responsável" numFmtId="0">
      <sharedItems count="3">
        <s v="Junior Lopes"/>
        <s v="Paulo Souza"/>
        <s v="Rayssa Karapeticov"/>
      </sharedItems>
    </cacheField>
    <cacheField name="Vlr Projeto" numFmtId="44">
      <sharedItems containsBlank="1" containsMixedTypes="1" containsNumber="1" containsInteger="1" minValue="0" maxValue="315000"/>
    </cacheField>
    <cacheField name="Mensalidade" numFmtId="44">
      <sharedItems containsBlank="1" containsMixedTypes="1" containsNumber="1" minValue="0" maxValue="32575"/>
    </cacheField>
    <cacheField name="Horas" numFmtId="0">
      <sharedItems containsBlank="1" containsMixedTypes="1" containsNumber="1" containsInteger="1" minValue="0" maxValue="1500"/>
    </cacheField>
    <cacheField name="Pipeline" numFmtId="0">
      <sharedItems/>
    </cacheField>
    <cacheField name="Temperatura" numFmtId="9">
      <sharedItems containsSemiMixedTypes="0" containsString="0" containsNumber="1" minValue="0.3" maxValue="0.9" count="4">
        <n v="0.5"/>
        <n v="0.3"/>
        <n v="0.9"/>
        <n v="0.8"/>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ouza" refreshedDate="46055.705580324073" createdVersion="8" refreshedVersion="8" minRefreshableVersion="3" recordCount="160" xr:uid="{00000000-000A-0000-FFFF-FFFF00000000}">
  <cacheSource type="worksheet">
    <worksheetSource name="comissao"/>
  </cacheSource>
  <cacheFields count="13">
    <cacheField name="Mês" numFmtId="14">
      <sharedItems containsSemiMixedTypes="0" containsNonDate="0" containsDate="1" containsString="0" minDate="2020-01-01T00:00:00" maxDate="2025-12-06T00:00:00" count="73">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3-05T00:00:00"/>
        <d v="2024-04-05T00:00:00"/>
        <d v="2024-05-05T00:00:00"/>
        <d v="2024-06-05T00:00:00"/>
        <d v="2024-07-05T00:00:00"/>
        <d v="2024-08-05T00:00:00"/>
        <d v="2024-09-05T00:00:00"/>
        <d v="2024-10-05T00:00:00"/>
        <d v="2024-11-05T00:00:00"/>
        <d v="2024-12-05T00:00:00"/>
        <d v="2025-01-05T00:00:00"/>
        <d v="2025-02-04T00:00:00"/>
        <d v="2025-03-04T00:00:00"/>
        <d v="2025-04-05T00:00:00"/>
        <d v="2025-05-05T00:00:00"/>
        <d v="2025-06-05T00:00:00"/>
        <d v="2025-07-05T00:00:00"/>
        <d v="2025-08-05T00:00:00"/>
        <d v="2025-09-05T00:00:00"/>
        <d v="2025-10-05T00:00:00"/>
        <d v="2025-11-05T00:00:00"/>
        <d v="2025-12-05T00:00:00"/>
        <d v="2025-04-04T00:00:00" u="1"/>
      </sharedItems>
      <fieldGroup par="8"/>
    </cacheField>
    <cacheField name="Vendedor" numFmtId="0">
      <sharedItems count="5">
        <s v="Paulo"/>
        <s v="Rayssa"/>
        <s v="Junior"/>
        <s v="Débora"/>
        <s v="Mariana"/>
      </sharedItems>
    </cacheField>
    <cacheField name="Comissão" numFmtId="166">
      <sharedItems containsSemiMixedTypes="0" containsString="0" containsNumber="1" minValue="0" maxValue="28964.69"/>
    </cacheField>
    <cacheField name="Pago em" numFmtId="14">
      <sharedItems containsSemiMixedTypes="0" containsNonDate="0" containsDate="1" containsString="0" minDate="2020-01-01T00:00:00" maxDate="2026-01-06T00:00:00" count="74">
        <d v="2020-01-01T00:00:00"/>
        <d v="2020-02-01T00:00:00"/>
        <d v="2020-03-01T00:00:00"/>
        <d v="2020-04-01T00:00:00"/>
        <d v="2020-05-01T00:00:00"/>
        <d v="2020-06-01T00:00:00"/>
        <d v="2020-07-01T00:00:00"/>
        <d v="2020-08-01T00:00:00"/>
        <d v="2020-09-01T00:00:00"/>
        <d v="2020-10-01T00:00:00"/>
        <d v="2020-11-01T00:00:00"/>
        <d v="2020-12-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3-05T00:00:00"/>
        <d v="2024-04-05T00:00:00"/>
        <d v="2024-05-05T00:00:00"/>
        <d v="2024-06-05T00:00:00"/>
        <d v="2024-07-05T00:00:00"/>
        <d v="2024-08-05T00:00:00"/>
        <d v="2024-09-05T00:00:00"/>
        <d v="2024-10-05T00:00:00"/>
        <d v="2024-11-05T00:00:00"/>
        <d v="2024-12-05T00:00:00"/>
        <d v="2025-01-05T00:00:00"/>
        <d v="2025-02-05T00:00:00"/>
        <d v="2025-03-05T00:00:00"/>
        <d v="2025-04-05T00:00:00"/>
        <d v="2025-05-05T00:00:00"/>
        <d v="2025-06-05T00:00:00"/>
        <d v="2025-07-05T00:00:00"/>
        <d v="2025-08-05T00:00:00"/>
        <d v="2025-09-05T00:00:00"/>
        <d v="2025-10-05T00:00:00"/>
        <d v="2025-11-05T00:00:00"/>
        <d v="2025-12-05T00:00:00"/>
        <d v="2026-01-05T00:00:00"/>
        <d v="2023-01-01T00:00:00" u="1"/>
        <d v="2021-01-01T00:00:00" u="1"/>
      </sharedItems>
      <fieldGroup par="11"/>
    </cacheField>
    <cacheField name="Count" numFmtId="0">
      <sharedItems containsSemiMixedTypes="0" containsString="0" containsNumber="1" containsInteger="1" minValue="1" maxValue="1"/>
    </cacheField>
    <cacheField name="Ano" numFmtId="0">
      <sharedItems containsSemiMixedTypes="0" containsString="0" containsNumber="1" containsInteger="1" minValue="2020" maxValue="2026" count="7">
        <n v="2020"/>
        <n v="2021"/>
        <n v="2022"/>
        <n v="2023"/>
        <n v="2024"/>
        <n v="2025"/>
        <n v="2026"/>
      </sharedItems>
    </cacheField>
    <cacheField name="Meses (Mês)" numFmtId="0" databaseField="0">
      <fieldGroup base="0">
        <rangePr groupBy="months" startDate="2020-01-01T00:00:00" endDate="2025-12-06T00:00:00"/>
        <groupItems count="14">
          <s v="&lt;01/01/2020"/>
          <s v="jan"/>
          <s v="fev"/>
          <s v="mar"/>
          <s v="abr"/>
          <s v="mai"/>
          <s v="jun"/>
          <s v="jul"/>
          <s v="ago"/>
          <s v="set"/>
          <s v="out"/>
          <s v="nov"/>
          <s v="dez"/>
          <s v="&gt;06/12/2025"/>
        </groupItems>
      </fieldGroup>
    </cacheField>
    <cacheField name="Trimestres (Mês)" numFmtId="0" databaseField="0">
      <fieldGroup base="0">
        <rangePr groupBy="quarters" startDate="2020-01-01T00:00:00" endDate="2025-12-06T00:00:00"/>
        <groupItems count="6">
          <s v="&lt;01/01/2020"/>
          <s v="Trim1"/>
          <s v="Trim2"/>
          <s v="Trim3"/>
          <s v="Trim4"/>
          <s v="&gt;06/12/2025"/>
        </groupItems>
      </fieldGroup>
    </cacheField>
    <cacheField name="Anos (Mês)" numFmtId="0" databaseField="0">
      <fieldGroup base="0">
        <rangePr groupBy="years" startDate="2020-01-01T00:00:00" endDate="2025-12-06T00:00:00"/>
        <groupItems count="8">
          <s v="&lt;01/01/2020"/>
          <s v="2020"/>
          <s v="2021"/>
          <s v="2022"/>
          <s v="2023"/>
          <s v="2024"/>
          <s v="2025"/>
          <s v="&gt;06/12/2025"/>
        </groupItems>
      </fieldGroup>
    </cacheField>
    <cacheField name="Meses (Pago em)" numFmtId="0" databaseField="0">
      <fieldGroup base="3">
        <rangePr groupBy="months" startDate="2020-01-01T00:00:00" endDate="2026-01-06T00:00:00"/>
        <groupItems count="14">
          <s v="&lt;01/01/2020"/>
          <s v="jan"/>
          <s v="fev"/>
          <s v="mar"/>
          <s v="abr"/>
          <s v="mai"/>
          <s v="jun"/>
          <s v="jul"/>
          <s v="ago"/>
          <s v="set"/>
          <s v="out"/>
          <s v="nov"/>
          <s v="dez"/>
          <s v="&gt;06/01/2026"/>
        </groupItems>
      </fieldGroup>
    </cacheField>
    <cacheField name="Trimestres (Pago em)" numFmtId="0" databaseField="0">
      <fieldGroup base="3">
        <rangePr groupBy="quarters" startDate="2020-01-01T00:00:00" endDate="2026-01-06T00:00:00"/>
        <groupItems count="6">
          <s v="&lt;01/01/2020"/>
          <s v="Trim1"/>
          <s v="Trim2"/>
          <s v="Trim3"/>
          <s v="Trim4"/>
          <s v="&gt;06/01/2026"/>
        </groupItems>
      </fieldGroup>
    </cacheField>
    <cacheField name="Anos (Pago em)" numFmtId="0" databaseField="0">
      <fieldGroup base="3">
        <rangePr groupBy="years" startDate="2020-01-01T00:00:00" endDate="2026-01-06T00:00:00"/>
        <groupItems count="9">
          <s v="&lt;01/01/2020"/>
          <s v="2020"/>
          <s v="2021"/>
          <s v="2022"/>
          <s v="2023"/>
          <s v="2024"/>
          <s v="2025"/>
          <s v="2026"/>
          <s v="&gt;06/01/2026"/>
        </groupItems>
      </fieldGroup>
    </cacheField>
    <cacheField name="media" numFmtId="0" formula="Comissão/Count" databaseField="0"/>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ulo Santos de Souza" refreshedDate="46162.316965625003" createdVersion="8" refreshedVersion="8" minRefreshableVersion="3" recordCount="172" xr:uid="{00000000-000A-0000-FFFF-FFFF03000000}">
  <cacheSource type="worksheet">
    <worksheetSource name="comissao"/>
  </cacheSource>
  <cacheFields count="13">
    <cacheField name="Mês" numFmtId="14">
      <sharedItems containsSemiMixedTypes="0" containsNonDate="0" containsDate="1" containsString="0" minDate="2020-01-01T00:00:00" maxDate="2026-04-06T00:00:00" count="76">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3-05T00:00:00"/>
        <d v="2024-04-05T00:00:00"/>
        <d v="2024-05-05T00:00:00"/>
        <d v="2024-06-05T00:00:00"/>
        <d v="2024-07-05T00:00:00"/>
        <d v="2024-08-05T00:00:00"/>
        <d v="2024-09-05T00:00:00"/>
        <d v="2024-10-05T00:00:00"/>
        <d v="2024-11-05T00:00:00"/>
        <d v="2024-12-05T00:00:00"/>
        <d v="2025-01-05T00:00:00"/>
        <d v="2025-02-04T00:00:00"/>
        <d v="2025-03-04T00:00:00"/>
        <d v="2025-04-05T00:00:00"/>
        <d v="2025-05-05T00:00:00"/>
        <d v="2025-06-05T00:00:00"/>
        <d v="2025-07-05T00:00:00"/>
        <d v="2025-08-05T00:00:00"/>
        <d v="2025-09-05T00:00:00"/>
        <d v="2025-10-05T00:00:00"/>
        <d v="2025-11-05T00:00:00"/>
        <d v="2025-12-05T00:00:00"/>
        <d v="2026-01-05T00:00:00"/>
        <d v="2026-02-05T00:00:00"/>
        <d v="2026-03-05T00:00:00"/>
        <d v="2026-04-05T00:00:00"/>
      </sharedItems>
      <fieldGroup par="8"/>
    </cacheField>
    <cacheField name="Vendedor" numFmtId="0">
      <sharedItems count="5">
        <s v="Paulo"/>
        <s v="Rayssa"/>
        <s v="Junior"/>
        <s v="Débora"/>
        <s v="Mariana"/>
      </sharedItems>
    </cacheField>
    <cacheField name="Comissão" numFmtId="166">
      <sharedItems containsSemiMixedTypes="0" containsString="0" containsNumber="1" minValue="0" maxValue="30776.53"/>
    </cacheField>
    <cacheField name="Pago em" numFmtId="14">
      <sharedItems containsSemiMixedTypes="0" containsNonDate="0" containsDate="1" containsString="0" minDate="2020-01-01T00:00:00" maxDate="2026-05-06T00:00:00" count="76">
        <d v="2020-01-01T00:00:00"/>
        <d v="2020-02-01T00:00:00"/>
        <d v="2020-03-01T00:00:00"/>
        <d v="2020-04-01T00:00:00"/>
        <d v="2020-05-01T00:00:00"/>
        <d v="2020-06-01T00:00:00"/>
        <d v="2020-07-01T00:00:00"/>
        <d v="2020-08-01T00:00:00"/>
        <d v="2020-09-01T00:00:00"/>
        <d v="2020-10-01T00:00:00"/>
        <d v="2020-11-01T00:00:00"/>
        <d v="2020-12-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3-05T00:00:00"/>
        <d v="2024-04-05T00:00:00"/>
        <d v="2024-05-05T00:00:00"/>
        <d v="2024-06-05T00:00:00"/>
        <d v="2024-07-05T00:00:00"/>
        <d v="2024-08-05T00:00:00"/>
        <d v="2024-09-05T00:00:00"/>
        <d v="2024-10-05T00:00:00"/>
        <d v="2024-11-05T00:00:00"/>
        <d v="2024-12-05T00:00:00"/>
        <d v="2025-01-05T00:00:00"/>
        <d v="2025-02-05T00:00:00"/>
        <d v="2025-03-05T00:00:00"/>
        <d v="2025-04-05T00:00:00"/>
        <d v="2025-05-05T00:00:00"/>
        <d v="2025-06-05T00:00:00"/>
        <d v="2025-07-05T00:00:00"/>
        <d v="2025-08-05T00:00:00"/>
        <d v="2025-09-05T00:00:00"/>
        <d v="2025-10-05T00:00:00"/>
        <d v="2025-11-05T00:00:00"/>
        <d v="2025-12-05T00:00:00"/>
        <d v="2026-01-05T00:00:00"/>
        <d v="2026-02-05T00:00:00"/>
        <d v="2026-03-05T00:00:00"/>
        <d v="2026-04-05T00:00:00"/>
        <d v="2026-05-05T00:00:00"/>
      </sharedItems>
      <fieldGroup par="11"/>
    </cacheField>
    <cacheField name="Count" numFmtId="0">
      <sharedItems containsSemiMixedTypes="0" containsString="0" containsNumber="1" containsInteger="1" minValue="1" maxValue="1"/>
    </cacheField>
    <cacheField name="Ano" numFmtId="0">
      <sharedItems containsSemiMixedTypes="0" containsString="0" containsNumber="1" containsInteger="1" minValue="2020" maxValue="2026" count="7">
        <n v="2020"/>
        <n v="2021"/>
        <n v="2022"/>
        <n v="2023"/>
        <n v="2024"/>
        <n v="2025"/>
        <n v="2026"/>
      </sharedItems>
    </cacheField>
    <cacheField name="Meses (Mês)" numFmtId="0" databaseField="0">
      <fieldGroup base="0">
        <rangePr groupBy="months" startDate="2020-01-01T00:00:00" endDate="2026-04-06T00:00:00"/>
        <groupItems count="14">
          <s v="&lt;01/01/2020"/>
          <s v="jan"/>
          <s v="fev"/>
          <s v="mar"/>
          <s v="abr"/>
          <s v="mai"/>
          <s v="jun"/>
          <s v="jul"/>
          <s v="ago"/>
          <s v="set"/>
          <s v="out"/>
          <s v="nov"/>
          <s v="dez"/>
          <s v="&gt;06/04/2026"/>
        </groupItems>
      </fieldGroup>
    </cacheField>
    <cacheField name="Trimestres (Mês)" numFmtId="0" databaseField="0">
      <fieldGroup base="0">
        <rangePr groupBy="quarters" startDate="2020-01-01T00:00:00" endDate="2026-04-06T00:00:00"/>
        <groupItems count="6">
          <s v="&lt;01/01/2020"/>
          <s v="Trim1"/>
          <s v="Trim2"/>
          <s v="Trim3"/>
          <s v="Trim4"/>
          <s v="&gt;06/04/2026"/>
        </groupItems>
      </fieldGroup>
    </cacheField>
    <cacheField name="Anos (Mês)" numFmtId="0" databaseField="0">
      <fieldGroup base="0">
        <rangePr groupBy="years" startDate="2020-01-01T00:00:00" endDate="2026-04-06T00:00:00"/>
        <groupItems count="9">
          <s v="&lt;01/01/2020"/>
          <s v="2020"/>
          <s v="2021"/>
          <s v="2022"/>
          <s v="2023"/>
          <s v="2024"/>
          <s v="2025"/>
          <s v="2026"/>
          <s v="&gt;06/04/2026"/>
        </groupItems>
      </fieldGroup>
    </cacheField>
    <cacheField name="Meses (Pago em)" numFmtId="0" databaseField="0">
      <fieldGroup base="3">
        <rangePr groupBy="months" startDate="2020-01-01T00:00:00" endDate="2026-05-06T00:00:00"/>
        <groupItems count="14">
          <s v="&lt;01/01/2020"/>
          <s v="jan"/>
          <s v="fev"/>
          <s v="mar"/>
          <s v="abr"/>
          <s v="mai"/>
          <s v="jun"/>
          <s v="jul"/>
          <s v="ago"/>
          <s v="set"/>
          <s v="out"/>
          <s v="nov"/>
          <s v="dez"/>
          <s v="&gt;06/05/2026"/>
        </groupItems>
      </fieldGroup>
    </cacheField>
    <cacheField name="Trimestres (Pago em)" numFmtId="0" databaseField="0">
      <fieldGroup base="3">
        <rangePr groupBy="quarters" startDate="2020-01-01T00:00:00" endDate="2026-05-06T00:00:00"/>
        <groupItems count="6">
          <s v="&lt;01/01/2020"/>
          <s v="Trim1"/>
          <s v="Trim2"/>
          <s v="Trim3"/>
          <s v="Trim4"/>
          <s v="&gt;06/05/2026"/>
        </groupItems>
      </fieldGroup>
    </cacheField>
    <cacheField name="Anos (Pago em)" numFmtId="0" databaseField="0">
      <fieldGroup base="3">
        <rangePr groupBy="years" startDate="2020-01-01T00:00:00" endDate="2026-05-06T00:00:00"/>
        <groupItems count="9">
          <s v="&lt;01/01/2020"/>
          <s v="2020"/>
          <s v="2021"/>
          <s v="2022"/>
          <s v="2023"/>
          <s v="2024"/>
          <s v="2025"/>
          <s v="2026"/>
          <s v="&gt;06/05/2026"/>
        </groupItems>
      </fieldGroup>
    </cacheField>
    <cacheField name="media" numFmtId="0" formula="Comissão/Coun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716">
  <r>
    <x v="0"/>
    <n v="87"/>
    <m/>
    <n v="548"/>
    <s v=""/>
    <s v=""/>
    <x v="0"/>
    <m/>
    <s v=""/>
    <s v="Paulo Teste"/>
    <s v="16997181604"/>
    <s v=""/>
    <s v="paulo.souza@guaranisistemas.com.br"/>
    <s v=""/>
    <s v=""/>
    <s v=""/>
    <s v=""/>
    <s v=""/>
    <s v=""/>
    <s v=""/>
    <s v=""/>
    <s v="Guarani AFV;SDRPaulo"/>
    <s v="Pipeline de Vendas"/>
    <s v="Agendamento (0%)"/>
    <s v=""/>
    <m/>
    <n v="0"/>
    <n v="27562"/>
    <n v="540"/>
    <s v="Paulo Souza"/>
    <d v="2024-11-26T00:00:00"/>
    <d v="1899-12-30T17:25:50"/>
    <s v=""/>
    <s v="Ativo"/>
    <m/>
    <m/>
    <s v=""/>
    <s v=""/>
    <s v=""/>
    <x v="0"/>
    <s v="Paulo Souza"/>
    <x v="0"/>
    <s v=""/>
    <m/>
    <m/>
    <s v=""/>
    <s v=""/>
    <s v=""/>
    <s v=""/>
    <n v="1"/>
  </r>
  <r>
    <x v="1"/>
    <n v="88"/>
    <m/>
    <n v="269"/>
    <s v=""/>
    <s v="EDDI INDUSTRIA E COMERCIO DE ARTEFATOS PLASTICOS LTDA"/>
    <x v="1"/>
    <n v="24870219000100"/>
    <s v=""/>
    <s v="EDDI CASA"/>
    <s v="16997246190"/>
    <s v=""/>
    <s v="comercial@eddicasa.com"/>
    <s v=""/>
    <s v="EDDI CASA;Bruno"/>
    <s v=""/>
    <s v="Ibitinga - SP"/>
    <s v="SP"/>
    <s v="Outbound"/>
    <s v=""/>
    <s v=""/>
    <s v="Guarani AFV;Importado a partir de lista;SDRFernanda"/>
    <s v="Pipeline de Vendas"/>
    <s v="Apresentar Proposta (50%)"/>
    <s v=""/>
    <m/>
    <m/>
    <m/>
    <n v="55"/>
    <s v="Fernanda Santiago"/>
    <d v="2024-11-27T00:00:00"/>
    <d v="1899-12-30T14:28:37"/>
    <s v=""/>
    <s v="Perdido"/>
    <d v="2025-01-21T00:00:00"/>
    <d v="1899-12-30T11:55:50"/>
    <s v="Projeto adiado / sem prazo definido"/>
    <s v="sem retorno do cliente"/>
    <s v="27/11/2024"/>
    <x v="1"/>
    <s v="Fernanda Santiago"/>
    <x v="1"/>
    <s v=""/>
    <m/>
    <m/>
    <s v=""/>
    <s v=""/>
    <s v=""/>
    <s v=""/>
    <n v="1"/>
  </r>
  <r>
    <x v="0"/>
    <n v="89"/>
    <m/>
    <n v="439"/>
    <s v="APÓS PESQUISA ENCONTREI O TELEFONE 88 98114-7695 NO CATALAGO DIGITAL DA EMPRESA, MANDEI MSG PARA VALIDAR E CONVERSEI COM LUCAS, ELE DISSE QUE NO PASSADO JA NOS PROCUROU PARA CONHECER NOSSO ERP, POIS QUEREM MUDAR DE SISTEMA, O GERENTE DELES DE PRODUÇÃO JA TRABALHOU CONOSCO NA ARCA PLAST E INDICOU. ATUALMENTE USA SISTEMA CHAMADO WSHOP, MAS NÃO ATENDE ELES BEM. QUER VER TODA PARTE DE PRODUÇÃO, PRODUTOS, CUSTOS, FATURAMENTO... POSSUEM POUCOS REPRESENTANTES, FOCO NO MOMENTO É O ERP, APÓS ELE VE O FORÇA DE VENDAS._x000a_AGENDADO APRESENTAÇÃO COM O PAULO DIA 27/11 AS 15H"/>
    <s v=""/>
    <x v="2"/>
    <n v="51921277000198"/>
    <s v=""/>
    <s v="Lucas"/>
    <s v="(88) 98114-7695"/>
    <s v=""/>
    <s v="lucasnewway@gmail.com"/>
    <s v=""/>
    <s v=""/>
    <s v=""/>
    <s v=""/>
    <s v=""/>
    <s v="Base de empresas Leads2b"/>
    <s v=""/>
    <s v=""/>
    <s v="SDRDébora"/>
    <s v="Pipeline de Vendas"/>
    <s v="Em negociação (75%)"/>
    <s v=""/>
    <m/>
    <m/>
    <m/>
    <n v="63"/>
    <s v="Débora Duarte"/>
    <d v="2024-11-27T00:00:00"/>
    <d v="1899-12-30T14:29:05"/>
    <s v=""/>
    <s v="Perdido"/>
    <d v="2025-01-29T00:00:00"/>
    <d v="1899-12-30T01:04:01"/>
    <s v="Cliente não quer contato LGPD"/>
    <s v=""/>
    <s v="27/11/2024"/>
    <x v="0"/>
    <s v="Débora Duarte"/>
    <x v="0"/>
    <s v=""/>
    <m/>
    <m/>
    <s v=""/>
    <s v=""/>
    <s v=""/>
    <s v=""/>
    <n v="1"/>
  </r>
  <r>
    <x v="1"/>
    <n v="90"/>
    <m/>
    <n v="372"/>
    <s v="FALEI COM SILDÁCIO, ATUALMENTE USAM SISTEMA PROPRIO, MAS BUSCAM MELHORIAS E CONFORMA PLANEJAMENTO PARA 2025 ESTÁ COTANDO COM SOLUÇÕES DO MERCADO, OUVI DE OUTRAS IMPORTADORAS QUE USAM NOSSA SISTEMA PARA FORÇA DE VENDAS. HOJE SÃO 5 RCA, MAS ESTÃO EXPANDIDO O ATENDIMENTO PARA OUTROS ESTADOS E AUMENTANDO A EQUIPE. USAM ERP TOTVS. SÃO IMPORTADORA UD/BRINQUEDOS/DECOR_x000a_AGENDADO APRESENTAÇÃO DIA 21/11 AS 11H30_x000a_INCLUIR NO INVITE jacqueline.santos@casafreitas.com.br"/>
    <s v=""/>
    <x v="3"/>
    <n v="1740627000575"/>
    <s v=""/>
    <s v="Sildácio Amaral"/>
    <s v="(85) 99797-0405"/>
    <s v=""/>
    <s v="sildacio.amaral@casafreitas.com.br"/>
    <s v=""/>
    <s v=""/>
    <s v=""/>
    <s v=""/>
    <s v=""/>
    <s v="Site"/>
    <s v=""/>
    <s v=""/>
    <s v="90%;Guarani AFV;SDRDébora;SDRInbound"/>
    <s v="Pipeline de Vendas"/>
    <s v="Em Fechamento (100%)"/>
    <s v="6x sem juros (0/30/60/90/120/150...)"/>
    <m/>
    <n v="14416"/>
    <n v="18072"/>
    <n v="266"/>
    <s v="Débora Duarte"/>
    <d v="2024-11-27T00:00:00"/>
    <d v="1899-12-30T15:32:35"/>
    <s v=""/>
    <s v="Ganho"/>
    <d v="2025-08-20T00:00:00"/>
    <d v="1899-12-30T09:37:28"/>
    <s v=""/>
    <s v=""/>
    <s v="19/11/2024 00:00"/>
    <x v="2"/>
    <s v="Débora Duarte"/>
    <x v="2"/>
    <s v="07/03/2025"/>
    <m/>
    <m/>
    <s v=""/>
    <s v=""/>
    <s v=""/>
    <s v=""/>
    <n v="1"/>
  </r>
  <r>
    <x v="1"/>
    <n v="91"/>
    <m/>
    <n v="502"/>
    <s v="Então, eu conheci o sistema AFV por um fornecedor nosso e ficamos interessados pelo recursos que você possui em realizar vendas e consultar estoques pelo celular_x000a_Somos um grupo o KWI, que é composto por 3 empresas, 2 é varejista e não fazemos vendas externas e nem representantes. E 1 é Atacadista, no momento é uma empresa nova, mas estamos nos organizando para incorporar vendas externas_x000a_Varejista e Atacadista_x000a_Porque ficamos interessamos em por exemplo quando estamos na feira para expor ao invés de fazer pedido no papel, utilizar um celular que é mais pratico_x000a_Ultimamos o ERP Verup_x000a_Ah então pode ser quinta 10hrs? Sou Supervisora do T.I_x000a_Recebi. Muito obrigada!!"/>
    <s v=""/>
    <x v="4"/>
    <n v="8196258000117"/>
    <s v=""/>
    <s v="Giovanna Seguette"/>
    <s v="(11) 94444-8474"/>
    <s v=""/>
    <s v="suppliers@bongmoon.com"/>
    <s v=""/>
    <s v=""/>
    <s v=""/>
    <s v=""/>
    <s v=""/>
    <s v="Site"/>
    <s v=""/>
    <s v=""/>
    <s v="Guarani AFV;SDRDébora;SDRInbound"/>
    <s v="Pipeline de Vendas"/>
    <s v="Apresentar Proposta (50%)"/>
    <s v=""/>
    <m/>
    <m/>
    <m/>
    <n v="55"/>
    <s v="Débora Duarte"/>
    <d v="2024-11-27T00:00:00"/>
    <d v="1899-12-30T15:34:41"/>
    <s v=""/>
    <s v="Perdido"/>
    <d v="2025-01-21T00:00:00"/>
    <d v="1899-12-30T11:59:45"/>
    <s v="Projeto adiado / sem prazo definido"/>
    <s v="sem retorno do cliente"/>
    <s v="25/11/2024 00:00"/>
    <x v="3"/>
    <s v="Débora Duarte"/>
    <x v="3"/>
    <s v=""/>
    <m/>
    <m/>
    <s v=""/>
    <s v=""/>
    <s v=""/>
    <s v=""/>
    <n v="1"/>
  </r>
  <r>
    <x v="1"/>
    <n v="92"/>
    <m/>
    <n v="360"/>
    <s v="APÓS INDICAÇÃO DO TEL 16 99776-7635 CONTATO PASSOU O Nº DA JESSICA, FALEI COM ELA POR WHATS, ATUALMENTE USAM SISTEMA DA IDEIA, MAS ELA ACEITOU VER UMA DEMONSTRAÇÃO DO NOSSO FORÇA DE VENDAS._x000a_EMPRESA É DE ARARAQUARA, INDUSTRIA DE UD_x000a_AGENDADO APRESENTAÇÃO DIA 03/12 AS 10H COM O JUCA"/>
    <s v="Utiliplas Fabricacao E Comercio De Artefatos Plasticos Ltda"/>
    <x v="5"/>
    <n v="32364538000171"/>
    <s v=""/>
    <s v="Jessica Edevania"/>
    <s v="(16) 3332-7378"/>
    <s v=""/>
    <s v="comercialutiliplas@gmail.com"/>
    <s v=""/>
    <s v=""/>
    <s v=""/>
    <s v="ARARAQUARA"/>
    <s v="SP"/>
    <s v="Base de empresas Leads2b"/>
    <s v=""/>
    <s v=""/>
    <s v="Guarani AFV;SDRDébora"/>
    <s v="Pipeline de Vendas"/>
    <s v="Em negociação (75%)"/>
    <s v=""/>
    <m/>
    <n v="2496"/>
    <m/>
    <n v="62"/>
    <s v="Débora Duarte"/>
    <d v="2024-11-27T00:00:00"/>
    <d v="1899-12-30T15:37:15"/>
    <s v=""/>
    <s v="Perdido"/>
    <d v="2025-01-28T00:00:00"/>
    <d v="1899-12-30T15:33:32"/>
    <s v="Projeto adiado / sem prazo definido"/>
    <s v="cliente não da retorno"/>
    <s v="26/11/2024 00:00"/>
    <x v="4"/>
    <s v="Débora Duarte"/>
    <x v="2"/>
    <s v=""/>
    <m/>
    <m/>
    <s v=""/>
    <s v=""/>
    <s v=""/>
    <s v=""/>
    <n v="1"/>
  </r>
  <r>
    <x v="0"/>
    <n v="93"/>
    <m/>
    <n v="598"/>
    <s v="A Primu's Rio é uma rede de lojas especializada em Brinquedos, Cama, Mesa e Banho, Utensílios domésticos, Papelaria, Plástico, Vidro, Alumínio e muito mais._x000a_São mais de 25 anos no mercado, oferecendo os melhores produtos com os melhores preços, tanto para o consumidor varejista, quanto para o atacadista._x000a_Site: Loja online de Primu's Rio - Quem Somos_x000a_O Grupo primus é um grupo econômico com 7 empresas, e estão divididas da seguinte maneira:_x000a_Distribuidora/Importadora_x000a_ERP = 10_x000a_AFV = 2_x000a_PDV = 10_x000a_7 CNPJ_x000a_Produtos de Interesse (ERP, AFV, PDV, MDFE, MDE, B2B)_x000a_Atacado e Lojas_x000a_4 lojas com 28 PDV, sendo que uma dessa loja é atacado._x000a_ASSUNTOS A SER DETALHANDOS NA APRESENTAÇÃO:_x000a_Política de preço, eles fazer 3 tipos de preço T1 (9,90), T2 (8,90), T3 (7,90), a regra é que com determinado volume financeiro na compra o preço flute entre as tabelas;_x000a_Tem dois tipos de custo quando a mercadoria entra pela importadora é um e pela distribuidora é outro, entender melhor isso_x000a_A apresentação dever ser focada na distribuidora e seus processos diários. Seguir o fluxo apresentando a Estoque, Financeiro, Fiscal, Politicas de Preço, Faturamento e Gerenciamento da Operação."/>
    <s v=""/>
    <x v="6"/>
    <n v="3375396000492"/>
    <s v=""/>
    <s v="Celso"/>
    <s v="21964236193"/>
    <s v=""/>
    <s v="celsomsc@gmail.com"/>
    <s v=""/>
    <s v=""/>
    <s v=""/>
    <s v="RIO DE JANEIRO"/>
    <s v="RJ"/>
    <s v="Outbound"/>
    <s v=""/>
    <s v=""/>
    <s v="Guarani AFV;Guarani B2B;Guarani ERP;Guarani PDV;MORNO;SDRPaulo"/>
    <s v="Pipeline de Vendas"/>
    <s v="Em negociação (75%)"/>
    <s v=""/>
    <m/>
    <n v="0"/>
    <n v="0"/>
    <n v="61"/>
    <s v="Paulo Souza"/>
    <d v="2024-11-28T00:00:00"/>
    <d v="1899-12-30T08:47:53"/>
    <s v=""/>
    <s v="Perdido"/>
    <d v="2025-01-28T00:00:00"/>
    <d v="1899-12-30T16:47:21"/>
    <s v="Projeto adiado / sem prazo definido"/>
    <s v="cliente não tem mais interesse."/>
    <s v=""/>
    <x v="0"/>
    <s v="Paulo Souza"/>
    <x v="0"/>
    <s v=""/>
    <m/>
    <m/>
    <s v=""/>
    <s v=""/>
    <s v=""/>
    <s v=""/>
    <n v="1"/>
  </r>
  <r>
    <x v="1"/>
    <n v="94"/>
    <m/>
    <n v="378"/>
    <s v=""/>
    <s v="GA CERAMICA ARTISTICA"/>
    <x v="7"/>
    <n v="11650898000160"/>
    <s v=""/>
    <s v="GA CERAMICA"/>
    <s v="1935815351"/>
    <s v=""/>
    <s v="atendimento@gaceramica.com.br"/>
    <s v=""/>
    <s v="GA CERAMICA;GA CERAMICA, Jorge"/>
    <s v=""/>
    <s v=""/>
    <s v=""/>
    <s v="Outbound"/>
    <s v=""/>
    <s v=""/>
    <s v="Guarani AFV;Importado a partir de lista;SDRFernanda"/>
    <s v="Pipeline de Vendas"/>
    <s v="Apresentar Solução (35%)"/>
    <s v=""/>
    <m/>
    <n v="0"/>
    <n v="0"/>
    <n v="61"/>
    <s v="Fernanda Santiago"/>
    <d v="2024-11-28T00:00:00"/>
    <d v="1899-12-30T15:01:56"/>
    <s v=""/>
    <s v="Perdido"/>
    <d v="2025-01-28T00:00:00"/>
    <d v="1899-12-30T13:56:56"/>
    <s v="Não quer mudar a solução atual"/>
    <s v="Falei com o Jorge, ele disse que esta acontecendo umas mudanças administrativas um dos socios esta saindo, então toda previsao de alterar sistemas ficou em stand by, disse para falarmos em fevereiro. Até a feira ele falou que pode ser que ja tenha resolvido entao falamos depois."/>
    <s v="02/12/2024 10:00"/>
    <x v="0"/>
    <s v="Fernanda Santiago"/>
    <x v="0"/>
    <s v=""/>
    <m/>
    <m/>
    <s v=""/>
    <s v=""/>
    <s v=""/>
    <s v=""/>
    <n v="1"/>
  </r>
  <r>
    <x v="0"/>
    <n v="95"/>
    <m/>
    <n v="778"/>
    <s v="Resumo de envio do Formulário Web_x000a_Produtos:_x000a_Guarani ERP_x000a_Nome_x000a_Viviane Gomes_x000a_E-mail_x000a_fiscal@aloebaf.com.br_x000a_Telefone / Whatsapp_x000a_38 99127-5338_x000a_Nome da Empresa_x000a_ALOEBAF COMERCIO DE COSMETICOS_x000a_Segmento_x000a_Distribuidor_x000a_Descrição da necessidade_x000a_Precisamos do Força de vendas"/>
    <s v=""/>
    <x v="8"/>
    <n v="15211327000180"/>
    <s v=""/>
    <s v="Viviane Gomes"/>
    <s v="38991275338"/>
    <s v=""/>
    <s v="fiscal@aloebaf.com.br"/>
    <s v=""/>
    <s v=""/>
    <s v=""/>
    <s v=""/>
    <s v=""/>
    <s v="Outbound"/>
    <s v=""/>
    <s v=""/>
    <s v="Adicionais ERP;Guarani AFV;Guarani ERP;Pausado;SDRDébora"/>
    <s v="Pipeline de Vendas"/>
    <s v="Apresentar Proposta (50%)"/>
    <s v=""/>
    <m/>
    <m/>
    <m/>
    <n v="39"/>
    <s v="Paulo Souza"/>
    <d v="2024-11-29T00:00:00"/>
    <d v="1899-12-30T14:07:35"/>
    <s v=""/>
    <s v="Perdido"/>
    <d v="2025-01-07T00:00:00"/>
    <d v="1899-12-30T17:01:29"/>
    <s v="Preço muito alto - fora do budget de investimento"/>
    <s v=""/>
    <s v=""/>
    <x v="0"/>
    <s v="Débora Duarte"/>
    <x v="4"/>
    <s v=""/>
    <m/>
    <m/>
    <s v=""/>
    <s v=""/>
    <s v=""/>
    <s v=""/>
    <n v="1"/>
  </r>
  <r>
    <x v="1"/>
    <n v="96"/>
    <n v="155"/>
    <n v="812"/>
    <s v=""/>
    <s v=""/>
    <x v="9"/>
    <n v="13609763000186"/>
    <s v="BAAG (Bahia Artes Gráficas)"/>
    <s v="BAAG (Bahia Artes Gráficas)"/>
    <s v="7532217777"/>
    <s v=""/>
    <s v="cleber@bahiagrafica.com.br"/>
    <s v=""/>
    <s v=""/>
    <s v=""/>
    <s v="Feira de Santana"/>
    <s v="BA"/>
    <s v="Outbound"/>
    <s v=""/>
    <s v=""/>
    <s v="Guarani AFV;Guarani ERP;QUENTE"/>
    <s v="Pipeline de Vendas"/>
    <s v="Em Fechamento (100%)"/>
    <s v="6x sem juros (0/30/60/90/120/150...)"/>
    <d v="2025-01-31T00:00:00"/>
    <n v="8479884"/>
    <n v="630984"/>
    <n v="62"/>
    <s v="Paulo Souza"/>
    <d v="2024-12-01T00:00:00"/>
    <d v="1899-12-30T20:30:36"/>
    <s v=""/>
    <s v="Ganho"/>
    <d v="2025-02-01T00:00:00"/>
    <d v="1899-12-30T01:40:07"/>
    <s v=""/>
    <s v=""/>
    <s v=""/>
    <x v="5"/>
    <s v="Junior Lopes"/>
    <x v="5"/>
    <s v=""/>
    <m/>
    <m/>
    <s v=""/>
    <s v=""/>
    <s v=""/>
    <s v=""/>
    <n v="1"/>
  </r>
  <r>
    <x v="1"/>
    <n v="97"/>
    <n v="155"/>
    <n v="813"/>
    <s v=""/>
    <s v=""/>
    <x v="10"/>
    <n v="13609763000186"/>
    <s v="BAAG (Bahia Artes Gráficas)"/>
    <s v="Cleber Chagas"/>
    <s v="75981337574"/>
    <s v=""/>
    <s v="cleber@bahiagrafica.com.br"/>
    <s v=""/>
    <s v=""/>
    <s v=""/>
    <s v="Feira de Santana"/>
    <s v="BA"/>
    <s v=""/>
    <s v=""/>
    <s v=""/>
    <s v="Guarani CLOUD;QUENTE"/>
    <s v="Pipeline de Vendas"/>
    <s v="Em negociação (75%)"/>
    <s v=""/>
    <m/>
    <m/>
    <m/>
    <n v="82"/>
    <s v="Paulo Souza"/>
    <d v="2024-12-01T00:00:00"/>
    <d v="1899-12-30T20:30:37"/>
    <s v=""/>
    <s v="Perdido"/>
    <d v="2025-02-21T00:00:00"/>
    <d v="1899-12-30T12:13:20"/>
    <s v="Não quer mudar a solução atual"/>
    <s v="servidor local"/>
    <s v=""/>
    <x v="5"/>
    <s v=""/>
    <x v="5"/>
    <s v=""/>
    <m/>
    <m/>
    <s v=""/>
    <s v=""/>
    <s v=""/>
    <s v=""/>
    <n v="1"/>
  </r>
  <r>
    <x v="1"/>
    <n v="98"/>
    <n v="156"/>
    <n v="816"/>
    <s v=""/>
    <s v=""/>
    <x v="11"/>
    <n v="3921447000272"/>
    <s v="Vaso Forte"/>
    <s v="Clovis &amp; Heli"/>
    <s v="11912422620"/>
    <s v=""/>
    <s v="heli@vasoforte.com.br"/>
    <s v=""/>
    <s v=""/>
    <s v=""/>
    <s v="Vargem Grande Paulista"/>
    <s v="SP"/>
    <s v=""/>
    <s v=""/>
    <s v=""/>
    <s v="Guarani ERP"/>
    <s v="Pipeline de Vendas"/>
    <s v="Em Fechamento (100%)"/>
    <s v=""/>
    <m/>
    <n v="532332"/>
    <n v="292918"/>
    <n v="110"/>
    <s v="Paulo Souza"/>
    <d v="2024-12-01T00:00:00"/>
    <d v="1899-12-30T20:30:37"/>
    <s v=""/>
    <s v="Ganho"/>
    <d v="2025-03-21T00:00:00"/>
    <d v="1899-12-30T10:49:38"/>
    <s v=""/>
    <s v=""/>
    <s v=""/>
    <x v="6"/>
    <s v=""/>
    <x v="6"/>
    <s v="24/01/2025"/>
    <m/>
    <m/>
    <s v=""/>
    <s v=""/>
    <s v=""/>
    <s v=""/>
    <n v="1"/>
  </r>
  <r>
    <x v="1"/>
    <n v="99"/>
    <n v="157"/>
    <n v="818"/>
    <s v=""/>
    <s v=""/>
    <x v="12"/>
    <n v="55773964000164"/>
    <s v="Plásticos Santana Ltda"/>
    <s v="Celso"/>
    <s v="19974093075"/>
    <s v=""/>
    <s v="comercial1@plasticossantana.com.br"/>
    <s v=""/>
    <s v=""/>
    <s v=""/>
    <s v="Artur Nogueira"/>
    <s v="SP"/>
    <s v=""/>
    <s v=""/>
    <s v=""/>
    <s v="Guarani AFV;Guarani ERP"/>
    <s v="Pipeline de Vendas"/>
    <s v="Qualificação de Vendas (SQL) (25%)"/>
    <s v=""/>
    <m/>
    <m/>
    <m/>
    <n v="11"/>
    <s v="Paulo Souza"/>
    <d v="2024-12-01T00:00:00"/>
    <d v="1899-12-30T20:30:37"/>
    <s v=""/>
    <s v="Perdido"/>
    <d v="2024-12-12T00:00:00"/>
    <d v="1899-12-30T10:02:11"/>
    <s v="Não informou motivo da desistência"/>
    <s v="retornar contato em 2025"/>
    <s v=""/>
    <x v="0"/>
    <s v=""/>
    <x v="0"/>
    <s v=""/>
    <m/>
    <m/>
    <s v=""/>
    <s v=""/>
    <s v=""/>
    <s v=""/>
    <n v="1"/>
  </r>
  <r>
    <x v="1"/>
    <n v="100"/>
    <n v="156"/>
    <n v="816"/>
    <s v=""/>
    <s v=""/>
    <x v="13"/>
    <n v="3921447000272"/>
    <s v="Vaso Forte"/>
    <s v="Clovis &amp; Heli"/>
    <s v="11912422620"/>
    <s v=""/>
    <s v="heli@vasoforte.com.br"/>
    <s v=""/>
    <s v=""/>
    <s v=""/>
    <s v="Vargem Grande Paulista"/>
    <s v="SP"/>
    <s v=""/>
    <s v=""/>
    <s v=""/>
    <s v="Guarani CLOUD"/>
    <s v="Pipeline de Vendas"/>
    <s v="Em Fechamento (100%)"/>
    <s v=""/>
    <m/>
    <n v="1600"/>
    <n v="256119"/>
    <n v="110"/>
    <s v="Paulo Souza"/>
    <d v="2024-12-01T00:00:00"/>
    <d v="1899-12-30T20:30:37"/>
    <s v=""/>
    <s v="Perdido"/>
    <d v="2025-03-21T00:00:00"/>
    <d v="1899-12-30T10:21:47"/>
    <s v="Projeto adiado / sem prazo definido"/>
    <s v="atualmente tem muita instabilidade de internet"/>
    <s v=""/>
    <x v="6"/>
    <s v=""/>
    <x v="7"/>
    <s v="24/01/2025"/>
    <m/>
    <m/>
    <s v=""/>
    <s v=""/>
    <s v=""/>
    <s v=""/>
    <n v="1"/>
  </r>
  <r>
    <x v="1"/>
    <n v="101"/>
    <n v="158"/>
    <n v="821"/>
    <s v=""/>
    <s v=""/>
    <x v="14"/>
    <n v="4207648000194"/>
    <s v="EDITORA ONLINE"/>
    <s v="João Carlos Gomes Brasil"/>
    <s v="11993739551"/>
    <s v=""/>
    <s v="joao@editoraonline.com.br"/>
    <s v=""/>
    <s v=""/>
    <s v=""/>
    <s v="Barueri"/>
    <s v="SP"/>
    <s v=""/>
    <s v=""/>
    <s v=""/>
    <s v="Guarani AFV;SDRDébora"/>
    <s v="Pipeline de Vendas"/>
    <s v="Em negociação (75%)"/>
    <s v=""/>
    <d v="2025-01-31T00:00:00"/>
    <n v="3928"/>
    <m/>
    <n v="51"/>
    <s v="Paulo Souza"/>
    <d v="2024-12-01T00:00:00"/>
    <d v="1899-12-30T20:30:37"/>
    <s v=""/>
    <s v="Perdido"/>
    <d v="2025-01-21T00:00:00"/>
    <d v="1899-12-30T11:56:46"/>
    <s v="Projeto adiado / sem prazo definido"/>
    <s v="sem retorno do cliente"/>
    <s v="14/10/2024"/>
    <x v="7"/>
    <s v="Débora Duarte"/>
    <x v="8"/>
    <s v=""/>
    <m/>
    <m/>
    <s v=""/>
    <s v=""/>
    <s v=""/>
    <s v=""/>
    <n v="1"/>
  </r>
  <r>
    <x v="1"/>
    <n v="102"/>
    <n v="159"/>
    <n v="823"/>
    <s v=""/>
    <s v=""/>
    <x v="15"/>
    <n v="43526090000161"/>
    <s v="Precisa Import"/>
    <s v="Carlos"/>
    <s v="11972961489"/>
    <s v=""/>
    <s v="comercial@prorepresentacao.com.nr"/>
    <s v=""/>
    <s v=""/>
    <s v=""/>
    <s v="Barueri"/>
    <s v="SP"/>
    <s v=""/>
    <s v=""/>
    <s v=""/>
    <s v="Guarani AFV;Guarani ERP"/>
    <s v="Pipeline de Vendas"/>
    <s v="Em Fechamento (100%)"/>
    <s v=""/>
    <d v="2024-12-06T00:00:00"/>
    <n v="49012"/>
    <m/>
    <n v="18"/>
    <s v="Paulo Souza"/>
    <d v="2024-12-01T00:00:00"/>
    <d v="1899-12-30T20:30:37"/>
    <s v=""/>
    <s v="Ganho"/>
    <d v="2024-12-19T00:00:00"/>
    <d v="1899-12-30T14:38:30"/>
    <s v=""/>
    <s v=""/>
    <s v=""/>
    <x v="8"/>
    <s v=""/>
    <x v="9"/>
    <s v=""/>
    <m/>
    <m/>
    <s v=""/>
    <s v=""/>
    <s v=""/>
    <s v=""/>
    <n v="1"/>
  </r>
  <r>
    <x v="1"/>
    <n v="103"/>
    <n v="160"/>
    <n v="825"/>
    <s v=""/>
    <s v=""/>
    <x v="16"/>
    <n v="4949701000122"/>
    <s v="Polimax"/>
    <s v="Valen Lesinelli"/>
    <s v="11998367755"/>
    <s v=""/>
    <s v="comercial@polimaxpolimeros.com.br"/>
    <s v=""/>
    <s v=""/>
    <s v=""/>
    <s v="São Paulo"/>
    <s v="SP"/>
    <s v=""/>
    <s v=""/>
    <s v=""/>
    <s v="Guarani AFV;Guarani ERP;QUENTE"/>
    <s v="Pipeline de Vendas"/>
    <s v="Em Fechamento (100%)"/>
    <s v="6x sem juros (0/30/60/90/120/150...)"/>
    <d v="2025-01-31T00:00:00"/>
    <n v="46854"/>
    <n v="348312"/>
    <n v="54"/>
    <s v="Paulo Souza"/>
    <d v="2024-12-01T00:00:00"/>
    <d v="1899-12-30T20:30:37"/>
    <s v=""/>
    <s v="Ganho"/>
    <d v="2025-01-24T00:00:00"/>
    <d v="1899-12-30T12:08:20"/>
    <s v=""/>
    <s v=""/>
    <s v=""/>
    <x v="9"/>
    <s v=""/>
    <x v="10"/>
    <s v="15/01/2025"/>
    <m/>
    <m/>
    <s v=""/>
    <s v=""/>
    <s v=""/>
    <s v=""/>
    <n v="1"/>
  </r>
  <r>
    <x v="1"/>
    <n v="104"/>
    <n v="161"/>
    <n v="843"/>
    <s v=""/>
    <s v=""/>
    <x v="17"/>
    <n v="2609426000172"/>
    <s v="MD Importação"/>
    <s v="Juliana"/>
    <s v="47991450725"/>
    <s v=""/>
    <s v="mdimposrtacao@gmail.com"/>
    <s v=""/>
    <s v=""/>
    <s v=""/>
    <s v="Rio do Sul"/>
    <s v="SC"/>
    <s v="Indicação"/>
    <s v=""/>
    <s v=""/>
    <s v="Guarani AFV;Guarani ERP"/>
    <s v="Pipeline de Vendas"/>
    <s v="Em negociação (75%)"/>
    <s v=""/>
    <m/>
    <m/>
    <m/>
    <n v="120"/>
    <s v="Paulo Souza"/>
    <d v="2024-12-01T00:00:00"/>
    <d v="1899-12-30T20:30:37"/>
    <s v=""/>
    <s v="Perdido"/>
    <d v="2025-03-31T00:00:00"/>
    <d v="1899-12-30T15:45:45"/>
    <s v="Não houve aprovação financeira"/>
    <s v="cliente esfriou após proposta comercial"/>
    <s v=""/>
    <x v="10"/>
    <s v=""/>
    <x v="11"/>
    <s v=""/>
    <m/>
    <m/>
    <s v=""/>
    <s v=""/>
    <s v=""/>
    <s v=""/>
    <n v="1"/>
  </r>
  <r>
    <x v="1"/>
    <n v="105"/>
    <n v="162"/>
    <n v="829"/>
    <s v=""/>
    <s v=""/>
    <x v="18"/>
    <n v="17545517000169"/>
    <s v="DPOT PLASTICOS"/>
    <s v="Michel Stracci"/>
    <s v="19997264646"/>
    <s v=""/>
    <s v="dpot.plasticos@gmail.com"/>
    <s v=""/>
    <s v=""/>
    <s v=""/>
    <s v="Pedreira"/>
    <s v="SP"/>
    <s v=""/>
    <s v=""/>
    <s v=""/>
    <s v="Guarani AFV;Guarani ERP;SDRDébora"/>
    <s v="Pipeline de Vendas"/>
    <s v="Em negociação (75%)"/>
    <s v=""/>
    <m/>
    <m/>
    <m/>
    <n v="58"/>
    <s v="Paulo Souza"/>
    <d v="2024-12-01T00:00:00"/>
    <d v="1899-12-30T20:30:37"/>
    <s v=""/>
    <s v="Perdido"/>
    <d v="2025-01-28T00:00:00"/>
    <d v="1899-12-30T15:31:14"/>
    <s v="Projeto adiado / sem prazo definido"/>
    <s v="sem retorno do cliente"/>
    <s v="04/11/2024"/>
    <x v="11"/>
    <s v="Débora Duarte"/>
    <x v="12"/>
    <s v=""/>
    <m/>
    <m/>
    <s v=""/>
    <s v=""/>
    <s v=""/>
    <s v=""/>
    <n v="1"/>
  </r>
  <r>
    <x v="1"/>
    <n v="106"/>
    <n v="162"/>
    <n v="829"/>
    <s v=""/>
    <s v=""/>
    <x v="19"/>
    <n v="17545517000169"/>
    <s v="DPOT PLASTICOS"/>
    <s v="Michel Stracci"/>
    <s v="19997264646"/>
    <s v=""/>
    <s v="dpot.plasticos@gmail.com"/>
    <s v=""/>
    <s v=""/>
    <s v=""/>
    <s v="Pedreira"/>
    <s v="SP"/>
    <s v=""/>
    <s v=""/>
    <s v=""/>
    <s v="Guarani CLOUD;SDRDébora"/>
    <s v="Pipeline de Vendas"/>
    <s v="Em negociação (75%)"/>
    <s v=""/>
    <m/>
    <m/>
    <m/>
    <n v="58"/>
    <s v="Paulo Souza"/>
    <d v="2024-12-01T00:00:00"/>
    <d v="1899-12-30T20:30:37"/>
    <s v=""/>
    <s v="Perdido"/>
    <d v="2025-01-28T00:00:00"/>
    <d v="1899-12-30T15:31:50"/>
    <s v="Projeto adiado / sem prazo definido"/>
    <s v="sem retorno do cliente"/>
    <s v="04/11/2024"/>
    <x v="11"/>
    <s v="Débora Duarte"/>
    <x v="12"/>
    <s v=""/>
    <m/>
    <m/>
    <s v=""/>
    <s v=""/>
    <s v=""/>
    <s v=""/>
    <n v="1"/>
  </r>
  <r>
    <x v="1"/>
    <n v="107"/>
    <n v="163"/>
    <n v="832"/>
    <s v=""/>
    <s v=""/>
    <x v="20"/>
    <n v="5861238000125"/>
    <s v="GRUPO GALA"/>
    <s v="Diego"/>
    <s v="6735659555"/>
    <s v=""/>
    <s v="diego@gala.com.br"/>
    <s v=""/>
    <s v=""/>
    <s v=""/>
    <s v="Aparecida do Taboado"/>
    <s v="MS"/>
    <s v=""/>
    <s v=""/>
    <s v=""/>
    <s v="Guarani B2B"/>
    <s v="Pipeline de Vendas"/>
    <s v="Em negociação (75%)"/>
    <s v=""/>
    <m/>
    <m/>
    <m/>
    <n v="58"/>
    <s v="Paulo Souza"/>
    <d v="2024-12-01T00:00:00"/>
    <d v="1899-12-30T20:30:37"/>
    <s v=""/>
    <s v="Perdido"/>
    <d v="2025-01-28T00:00:00"/>
    <d v="1899-12-30T15:32:41"/>
    <s v="Não houve aprovação financeira"/>
    <s v=""/>
    <s v=""/>
    <x v="12"/>
    <s v=""/>
    <x v="13"/>
    <s v=""/>
    <m/>
    <m/>
    <s v=""/>
    <s v=""/>
    <s v=""/>
    <s v=""/>
    <n v="1"/>
  </r>
  <r>
    <x v="1"/>
    <n v="108"/>
    <n v="160"/>
    <n v="825"/>
    <s v=""/>
    <s v=""/>
    <x v="21"/>
    <n v="4949701000122"/>
    <s v="Polimax"/>
    <s v="Valen Lesinelli"/>
    <s v="11998367755"/>
    <s v=""/>
    <s v="comercial@polimaxpolimeros.com.br"/>
    <s v=""/>
    <s v=""/>
    <s v=""/>
    <s v="São Paulo"/>
    <s v="SP"/>
    <s v=""/>
    <s v=""/>
    <s v=""/>
    <s v="Guarani CLOUD;QUENTE"/>
    <s v="Pipeline de Vendas"/>
    <s v="Em Fechamento (100%)"/>
    <s v="8x sem juros (0/30/60/90/120/150...)"/>
    <d v="2025-01-31T00:00:00"/>
    <n v="1600"/>
    <n v="224819"/>
    <n v="60"/>
    <s v="Paulo Souza"/>
    <d v="2024-12-01T00:00:00"/>
    <d v="1899-12-30T20:30:37"/>
    <s v=""/>
    <s v="Ganho"/>
    <d v="2025-01-30T00:00:00"/>
    <d v="1899-12-30T09:31:52"/>
    <s v=""/>
    <s v=""/>
    <s v=""/>
    <x v="13"/>
    <s v=""/>
    <x v="14"/>
    <s v="15/01/2025"/>
    <m/>
    <m/>
    <s v=""/>
    <s v=""/>
    <s v=""/>
    <s v=""/>
    <n v="1"/>
  </r>
  <r>
    <x v="1"/>
    <n v="109"/>
    <n v="164"/>
    <n v="835"/>
    <s v=""/>
    <s v=""/>
    <x v="22"/>
    <n v="2531826000102"/>
    <s v="Fosboi da Bahia"/>
    <s v="Marcelo Luz"/>
    <s v="75991975073"/>
    <s v=""/>
    <s v="marceloluizlimafilho@outlook.com"/>
    <s v=""/>
    <s v=""/>
    <s v=""/>
    <s v="Feira de Santana"/>
    <s v="BA"/>
    <s v=""/>
    <s v=""/>
    <s v=""/>
    <s v="Guarani AFV;Guarani ERP"/>
    <s v="Pipeline de Vendas"/>
    <s v="Apresentar Solução (35%)"/>
    <s v=""/>
    <m/>
    <m/>
    <m/>
    <n v="18"/>
    <s v="Paulo Souza"/>
    <d v="2024-12-01T00:00:00"/>
    <d v="1899-12-30T20:30:37"/>
    <s v=""/>
    <s v="Perdido"/>
    <d v="2024-12-19T00:00:00"/>
    <d v="1899-12-30T15:08:41"/>
    <s v="Não informou motivo da desistência"/>
    <s v="sem retorno"/>
    <s v=""/>
    <x v="1"/>
    <s v=""/>
    <x v="1"/>
    <s v=""/>
    <m/>
    <m/>
    <s v=""/>
    <s v=""/>
    <s v=""/>
    <s v=""/>
    <n v="1"/>
  </r>
  <r>
    <x v="1"/>
    <n v="110"/>
    <n v="165"/>
    <n v="836"/>
    <s v=""/>
    <s v=""/>
    <x v="23"/>
    <n v="29341068000116"/>
    <s v="TEK MIX DISTRIBUICAO"/>
    <s v="TEK MIX DISTRIBUICAO"/>
    <s v="62991561717"/>
    <s v=""/>
    <s v="Wolneyaraujolino@gmail.com"/>
    <s v=""/>
    <s v=""/>
    <s v=""/>
    <s v="Anapólis"/>
    <s v="GO"/>
    <s v=""/>
    <s v=""/>
    <s v=""/>
    <s v="Guarani AFV;Guarani ERP"/>
    <s v="Pipeline de Vendas"/>
    <s v="Apresentar Proposta (50%)"/>
    <s v=""/>
    <m/>
    <m/>
    <m/>
    <n v="57"/>
    <s v="Paulo Souza"/>
    <d v="2024-12-01T00:00:00"/>
    <d v="1899-12-30T20:30:37"/>
    <s v=""/>
    <s v="Perdido"/>
    <d v="2025-01-27T00:00:00"/>
    <d v="1899-12-30T11:52:01"/>
    <s v="Fechou com o concorrente - preço"/>
    <s v="Devido a localização e proposta do concorrente (Target) perdemos a concorrência"/>
    <s v=""/>
    <x v="1"/>
    <s v=""/>
    <x v="1"/>
    <s v=""/>
    <m/>
    <m/>
    <s v=""/>
    <s v=""/>
    <s v=""/>
    <s v=""/>
    <n v="1"/>
  </r>
  <r>
    <x v="1"/>
    <n v="111"/>
    <n v="165"/>
    <n v="837"/>
    <s v=""/>
    <s v=""/>
    <x v="24"/>
    <n v="29341068000116"/>
    <s v="TEK MIX DISTRIBUICAO"/>
    <s v="Wolden"/>
    <s v="62991561717"/>
    <s v=""/>
    <s v="Wolneyaraujolino@gmail.com"/>
    <s v=""/>
    <s v=""/>
    <s v=""/>
    <s v="Anapólis"/>
    <s v="GO"/>
    <s v=""/>
    <s v=""/>
    <s v=""/>
    <s v="Guarani CLOUD"/>
    <s v="Pipeline de Vendas"/>
    <s v="Apresentar Proposta (50%)"/>
    <s v=""/>
    <m/>
    <m/>
    <m/>
    <n v="57"/>
    <s v="Paulo Souza"/>
    <d v="2024-12-01T00:00:00"/>
    <d v="1899-12-30T20:30:37"/>
    <s v=""/>
    <s v="Perdido"/>
    <d v="2025-01-27T00:00:00"/>
    <d v="1899-12-30T11:52:59"/>
    <s v="Fechou com o concorrente - preço"/>
    <s v="Devido a localização e proposta do concorrente (Target) perdemos a concorrência"/>
    <s v=""/>
    <x v="1"/>
    <s v=""/>
    <x v="1"/>
    <s v=""/>
    <m/>
    <m/>
    <s v=""/>
    <s v=""/>
    <s v=""/>
    <s v=""/>
    <n v="1"/>
  </r>
  <r>
    <x v="1"/>
    <n v="113"/>
    <n v="167"/>
    <n v="842"/>
    <s v=""/>
    <s v=""/>
    <x v="25"/>
    <n v="7973104000121"/>
    <s v="ELMO ATACADO"/>
    <s v="João Carlos Tasca"/>
    <s v="47999949301"/>
    <s v=""/>
    <s v="joao@atacadoelmo.com.br"/>
    <s v=""/>
    <s v=""/>
    <s v=""/>
    <s v="Joinville"/>
    <s v="SC"/>
    <s v=""/>
    <s v=""/>
    <s v=""/>
    <s v="Adicionais ERP"/>
    <s v="Pipeline de Vendas"/>
    <s v="Em negociação (75%)"/>
    <s v=""/>
    <m/>
    <m/>
    <m/>
    <n v="81"/>
    <s v="Paulo Souza"/>
    <d v="2024-12-01T00:00:00"/>
    <d v="1899-12-30T20:30:38"/>
    <s v=""/>
    <s v="Perdido"/>
    <d v="2025-02-20T00:00:00"/>
    <d v="1899-12-30T11:26:46"/>
    <s v="Projeto adiado / sem prazo definido"/>
    <s v="cliente ainda não decidiu"/>
    <s v=""/>
    <x v="14"/>
    <s v=""/>
    <x v="0"/>
    <s v=""/>
    <m/>
    <m/>
    <s v=""/>
    <s v=""/>
    <s v=""/>
    <s v=""/>
    <n v="1"/>
  </r>
  <r>
    <x v="1"/>
    <n v="114"/>
    <n v="161"/>
    <n v="827"/>
    <s v=""/>
    <s v=""/>
    <x v="26"/>
    <n v="2609426000172"/>
    <s v="MD Importação"/>
    <s v="Juliana"/>
    <s v="47991450725"/>
    <s v=""/>
    <s v="mdimposrtacao@gmail.com"/>
    <s v=""/>
    <s v=""/>
    <s v=""/>
    <s v="Rio do Sul"/>
    <s v="SC"/>
    <s v="Indicação"/>
    <s v=""/>
    <s v=""/>
    <s v="Guarani CLOUD"/>
    <s v="Pipeline de Vendas"/>
    <s v="Em negociação (75%)"/>
    <s v=""/>
    <m/>
    <m/>
    <m/>
    <n v="120"/>
    <s v="Paulo Souza"/>
    <d v="2024-12-01T00:00:00"/>
    <d v="1899-12-30T20:30:38"/>
    <s v=""/>
    <s v="Perdido"/>
    <d v="2025-03-31T00:00:00"/>
    <d v="1899-12-30T15:46:33"/>
    <s v="Não houve aprovação financeira"/>
    <s v="cliente esfriou após envio da proposta comercial"/>
    <s v=""/>
    <x v="10"/>
    <s v=""/>
    <x v="11"/>
    <s v=""/>
    <m/>
    <m/>
    <s v=""/>
    <s v=""/>
    <s v=""/>
    <s v=""/>
    <n v="1"/>
  </r>
  <r>
    <x v="1"/>
    <n v="116"/>
    <m/>
    <n v="847"/>
    <s v=""/>
    <s v=""/>
    <x v="27"/>
    <n v="58151616000143"/>
    <s v=""/>
    <s v="Pedro"/>
    <s v="19993040768"/>
    <s v=""/>
    <s v="pehpbroglio@gmail.com"/>
    <s v=""/>
    <s v=""/>
    <s v=""/>
    <s v="ITAJAI"/>
    <s v="SC"/>
    <s v=""/>
    <s v=""/>
    <s v=""/>
    <s v="QUENTE"/>
    <s v="Pipeline de Vendas"/>
    <s v="Em Fechamento (100%)"/>
    <s v="10x sem juros (0/30/60/90/120/150...)"/>
    <d v="2025-01-31T00:00:00"/>
    <n v="4736912"/>
    <n v="98326"/>
    <n v="53"/>
    <s v="Junior Lopes"/>
    <d v="2024-12-02T00:00:00"/>
    <d v="1899-12-30T09:35:49"/>
    <s v=""/>
    <s v="Ganho"/>
    <d v="2025-01-24T00:00:00"/>
    <d v="1899-12-30T11:23:35"/>
    <s v=""/>
    <s v=""/>
    <s v=""/>
    <x v="15"/>
    <s v="Junior Lopes"/>
    <x v="15"/>
    <s v=""/>
    <m/>
    <m/>
    <s v=""/>
    <s v=""/>
    <s v=""/>
    <s v=""/>
    <n v="1"/>
  </r>
  <r>
    <x v="1"/>
    <n v="118"/>
    <m/>
    <n v="851"/>
    <s v=""/>
    <s v=""/>
    <x v="28"/>
    <n v="64582232000188"/>
    <s v=""/>
    <s v="Edi"/>
    <s v="11981337574"/>
    <s v=""/>
    <s v="ggealdo@injeplastec.com.br"/>
    <s v=""/>
    <s v=""/>
    <s v=""/>
    <s v=""/>
    <s v=""/>
    <s v=""/>
    <s v=""/>
    <s v=""/>
    <s v=""/>
    <s v="Pipeline de Vendas"/>
    <s v="Em negociação (75%)"/>
    <s v=""/>
    <d v="2025-01-31T00:00:00"/>
    <n v="202945"/>
    <m/>
    <n v="64"/>
    <s v="Junior Lopes"/>
    <d v="2024-12-04T00:00:00"/>
    <d v="1899-12-30T11:49:15"/>
    <s v=""/>
    <s v="Perdido"/>
    <d v="2025-02-06T00:00:00"/>
    <d v="1899-12-30T15:53:07"/>
    <s v="Não quer mudar a solução atual"/>
    <s v="cliente não decidiu seguir"/>
    <s v="02/12/2024"/>
    <x v="16"/>
    <s v="Junior Lopes"/>
    <x v="16"/>
    <s v=""/>
    <m/>
    <m/>
    <s v=""/>
    <s v=""/>
    <s v=""/>
    <s v=""/>
    <n v="1"/>
  </r>
  <r>
    <x v="1"/>
    <n v="122"/>
    <m/>
    <n v="855"/>
    <s v="Após a visita realizada em 10/12/2025, foi agendada uma nova reunião para tratar de assuntos técnicos em 12/12/2025 às 14h._x000a_13:47, 27/01/2026 Fabio Porto Brasil: Boa tarde Junior_x000a_13:47, 27/01/2026 Fabio Porto Brasil: tudo certo ?_x000a_13:47, 27/01/2026 Junior Lopes: Olá ! Sou Junior Lopes, consultor comercial Guarani sistemas _x000a_Como posso te ajudar ?_x000a_13:47, 27/01/2026 Fabio Porto Brasil: Antes de mais nada (e ainda em tempo kkkk), obrigado pela mensagem. Desejo um ótimo 2026_x000a_13:47, 27/01/2026 Fabio Porto Brasil: somente alinhado o status, a PBC deve iniciar em março/26, porém vou revisitar o cronograma de aprovação com eles para podermos nos alinhar._x000a_13:53, 27/01/2026 Junior Lopes: Olá Fábio, boa tarde ! Obrigado pelo retorno _x000a_Ficamos no aguardo então ! Caso necessário pode me chamar _x000a_Abraços"/>
    <s v=""/>
    <x v="29"/>
    <n v="8520654000158"/>
    <s v=""/>
    <s v="Marina"/>
    <s v="19999128074"/>
    <s v=""/>
    <s v="marina@portobrasilceramica.com.br"/>
    <s v=""/>
    <s v=""/>
    <s v=""/>
    <s v=""/>
    <s v=""/>
    <s v="Outbound"/>
    <s v=""/>
    <s v=""/>
    <s v="80%;Fabio Indica;Guarani AFV"/>
    <s v="Pipeline de Vendas"/>
    <s v="Em Fechamento (100%)"/>
    <s v="6x sem juros (0/30/60/90/120/150...)"/>
    <d v="2026-03-31T00:00:00"/>
    <n v="4519984"/>
    <n v="522464"/>
    <n v="512"/>
    <s v="Débora Duarte"/>
    <d v="2024-12-04T00:00:00"/>
    <d v="1899-12-30T14:40:54"/>
    <s v=""/>
    <s v="Ganho"/>
    <d v="2026-04-30T00:00:00"/>
    <d v="1899-12-30T14:25:28"/>
    <s v=""/>
    <s v=""/>
    <s v="04/12/2024 00:00"/>
    <x v="17"/>
    <s v="Junior Lopes"/>
    <x v="17"/>
    <s v="30/01/2025"/>
    <d v="2026-01-27T00:00:00"/>
    <n v="80"/>
    <s v=""/>
    <s v=""/>
    <s v=""/>
    <s v=""/>
    <n v="1"/>
  </r>
  <r>
    <x v="1"/>
    <n v="125"/>
    <m/>
    <n v="860"/>
    <s v=""/>
    <s v=""/>
    <x v="30"/>
    <m/>
    <s v=""/>
    <s v="GB Importadora - Clou"/>
    <s v="19993040768"/>
    <s v=""/>
    <s v="pehpbroglio@gmail.com"/>
    <s v=""/>
    <s v=""/>
    <s v=""/>
    <s v=""/>
    <s v=""/>
    <s v=""/>
    <s v=""/>
    <s v=""/>
    <s v="QUENTE"/>
    <s v="Pipeline de Vendas"/>
    <s v="Em Fechamento (100%)"/>
    <s v=""/>
    <d v="2025-01-31T00:00:00"/>
    <n v="1600"/>
    <n v="157626"/>
    <n v="49"/>
    <s v="Junior Lopes"/>
    <d v="2024-12-06T00:00:00"/>
    <d v="1899-12-30T16:28:22"/>
    <s v=""/>
    <s v="Ganho"/>
    <d v="2025-01-24T00:00:00"/>
    <d v="1899-12-30T11:42:08"/>
    <s v=""/>
    <s v=""/>
    <s v=""/>
    <x v="15"/>
    <s v=""/>
    <x v="18"/>
    <s v=""/>
    <m/>
    <m/>
    <s v=""/>
    <s v=""/>
    <s v=""/>
    <s v=""/>
    <n v="1"/>
  </r>
  <r>
    <x v="1"/>
    <n v="127"/>
    <m/>
    <n v="981"/>
    <s v=""/>
    <s v=""/>
    <x v="31"/>
    <n v="48885921000105"/>
    <s v=""/>
    <s v="Helder"/>
    <s v="(11) 3098-7840"/>
    <s v=""/>
    <s v="helder@ssdistribuidora.com.br"/>
    <s v=""/>
    <s v=""/>
    <s v=""/>
    <s v=""/>
    <s v=""/>
    <s v="Outbound"/>
    <s v=""/>
    <s v=""/>
    <s v=""/>
    <s v="Pipeline de Vendas"/>
    <s v="Em Fechamento (100%)"/>
    <s v=""/>
    <d v="2024-12-31T00:00:00"/>
    <n v="450"/>
    <m/>
    <n v="2"/>
    <s v="Junior Lopes"/>
    <d v="2024-12-10T00:00:00"/>
    <d v="1899-12-30T10:37:47"/>
    <s v=""/>
    <s v="Ganho"/>
    <d v="2024-12-12T00:00:00"/>
    <d v="1899-12-30T16:15:01"/>
    <s v=""/>
    <s v=""/>
    <s v="03/12/2024"/>
    <x v="18"/>
    <s v="Junior Lopes"/>
    <x v="16"/>
    <s v="11/12/2024"/>
    <m/>
    <m/>
    <s v=""/>
    <s v=""/>
    <s v=""/>
    <s v=""/>
    <n v="1"/>
  </r>
  <r>
    <x v="1"/>
    <n v="130"/>
    <m/>
    <n v="987"/>
    <s v=""/>
    <s v=""/>
    <x v="32"/>
    <n v="5691820000190"/>
    <s v=""/>
    <s v="Culturama"/>
    <s v="54996596274"/>
    <s v=""/>
    <s v="vinicius.mathyas@culturama.com.br"/>
    <s v=""/>
    <s v=""/>
    <s v=""/>
    <s v="CAXIAS DO SUL"/>
    <s v="RS"/>
    <s v=""/>
    <s v=""/>
    <s v=""/>
    <s v="QUENTE"/>
    <s v="Pipeline de Vendas"/>
    <s v="Em Fechamento (100%)"/>
    <s v=""/>
    <d v="2025-01-31T00:00:00"/>
    <n v="0"/>
    <n v="3564"/>
    <n v="43"/>
    <s v="Junior Lopes"/>
    <d v="2024-12-12T00:00:00"/>
    <d v="1899-12-30T09:14:28"/>
    <s v=""/>
    <s v="Ganho"/>
    <d v="2025-01-24T00:00:00"/>
    <d v="1899-12-30T11:07:30"/>
    <s v=""/>
    <s v=""/>
    <s v="05/12/2024"/>
    <x v="19"/>
    <s v="Junior Lopes"/>
    <x v="2"/>
    <s v=""/>
    <m/>
    <m/>
    <s v=""/>
    <s v=""/>
    <s v=""/>
    <s v=""/>
    <n v="1"/>
  </r>
  <r>
    <x v="1"/>
    <n v="131"/>
    <m/>
    <n v="990"/>
    <s v=""/>
    <s v=""/>
    <x v="33"/>
    <m/>
    <s v=""/>
    <s v="Rigomal"/>
    <s v="16997486376"/>
    <s v=""/>
    <s v="junior@rigomel.com.br"/>
    <s v=""/>
    <s v=""/>
    <s v=""/>
    <s v=""/>
    <s v=""/>
    <s v=""/>
    <s v=""/>
    <s v=""/>
    <s v=""/>
    <s v="Pipeline de Vendas"/>
    <s v="Apresentar Solução (35%)"/>
    <s v=""/>
    <m/>
    <n v="37964"/>
    <m/>
    <n v="7"/>
    <s v="Junior Lopes"/>
    <d v="2024-12-12T00:00:00"/>
    <d v="1899-12-30T10:50:50"/>
    <s v=""/>
    <s v="Perdido"/>
    <d v="2024-12-19T00:00:00"/>
    <d v="1899-12-30T09:39:21"/>
    <s v="Fechou com o concorrente - preço"/>
    <s v="junior informou que vai seguir com Mercus ! indicaçãom do seu atual ERP Triplus"/>
    <s v=""/>
    <x v="20"/>
    <s v=""/>
    <x v="19"/>
    <s v="16/12/2024"/>
    <m/>
    <m/>
    <s v=""/>
    <s v=""/>
    <s v=""/>
    <s v=""/>
    <n v="1"/>
  </r>
  <r>
    <x v="1"/>
    <n v="135"/>
    <m/>
    <n v="996"/>
    <s v=""/>
    <s v=""/>
    <x v="34"/>
    <m/>
    <s v=""/>
    <s v="Viva Vidros"/>
    <s v="11988839646"/>
    <s v=""/>
    <s v="comercial@vivavidros.com.br"/>
    <s v=""/>
    <s v=""/>
    <s v=""/>
    <s v=""/>
    <s v=""/>
    <s v=""/>
    <s v=""/>
    <s v=""/>
    <s v="QUENTE"/>
    <s v="Pipeline de Vendas"/>
    <s v="Em Fechamento (100%)"/>
    <s v=""/>
    <m/>
    <n v="28832"/>
    <n v="110248"/>
    <n v="83"/>
    <s v="Junior Lopes"/>
    <d v="2024-12-12T00:00:00"/>
    <d v="1899-12-30T17:20:55"/>
    <s v=""/>
    <s v="Perdido"/>
    <d v="2025-03-05T00:00:00"/>
    <d v="1899-12-30T11:12:51"/>
    <s v="Projeto adiado / sem prazo definido"/>
    <s v="cliente com situação de pendencias financeiras"/>
    <s v=""/>
    <x v="21"/>
    <s v=""/>
    <x v="0"/>
    <s v=""/>
    <m/>
    <m/>
    <s v=""/>
    <s v=""/>
    <s v=""/>
    <s v=""/>
    <n v="1"/>
  </r>
  <r>
    <x v="1"/>
    <n v="138"/>
    <m/>
    <n v="1103"/>
    <s v=""/>
    <s v=""/>
    <x v="35"/>
    <n v="54734384000103"/>
    <s v=""/>
    <s v="Star Distribuidora"/>
    <s v="17997793113"/>
    <s v=""/>
    <s v="comercial@distribuidorastar.com.br"/>
    <s v=""/>
    <s v=""/>
    <s v=""/>
    <s v=""/>
    <s v=""/>
    <s v=""/>
    <s v=""/>
    <s v=""/>
    <s v="QUENTE"/>
    <s v="Pipeline de Vendas"/>
    <s v="Em negociação (75%)"/>
    <s v=""/>
    <m/>
    <n v="49588"/>
    <m/>
    <n v="23"/>
    <s v="Junior Lopes"/>
    <d v="2024-12-17T00:00:00"/>
    <d v="1899-12-30T12:22:38"/>
    <s v=""/>
    <s v="Perdido"/>
    <d v="2025-01-09T00:00:00"/>
    <d v="1899-12-30T15:57:21"/>
    <s v="Projeto adiado / sem prazo definido"/>
    <s v="estamos fechando solução completa"/>
    <s v=""/>
    <x v="22"/>
    <s v=""/>
    <x v="20"/>
    <s v=""/>
    <m/>
    <m/>
    <s v=""/>
    <s v=""/>
    <s v=""/>
    <s v=""/>
    <n v="1"/>
  </r>
  <r>
    <x v="1"/>
    <n v="139"/>
    <m/>
    <n v="1113"/>
    <s v=""/>
    <s v=""/>
    <x v="36"/>
    <m/>
    <s v=""/>
    <s v="DCL Editora"/>
    <s v="11991297401"/>
    <s v=""/>
    <s v="administrativo@editoradcl.com.br"/>
    <s v=""/>
    <s v=""/>
    <s v=""/>
    <s v=""/>
    <s v=""/>
    <s v=""/>
    <s v=""/>
    <s v=""/>
    <s v=""/>
    <s v="Pipeline de Vendas"/>
    <s v="Apresentar Proposta (50%)"/>
    <s v=""/>
    <d v="2025-01-31T00:00:00"/>
    <n v="168592"/>
    <n v="6426"/>
    <n v="40"/>
    <s v="Junior Lopes"/>
    <d v="2024-12-19T00:00:00"/>
    <d v="1899-12-30T09:42:19"/>
    <s v=""/>
    <s v="Perdido"/>
    <d v="2025-01-28T00:00:00"/>
    <d v="1899-12-30T14:28:25"/>
    <s v="Não houve aprovação financeira"/>
    <s v="cliente não deu sequencia em nossa negociação"/>
    <s v="12/12/2024"/>
    <x v="16"/>
    <s v=""/>
    <x v="21"/>
    <s v=""/>
    <m/>
    <m/>
    <s v=""/>
    <s v=""/>
    <s v=""/>
    <s v=""/>
    <n v="1"/>
  </r>
  <r>
    <x v="1"/>
    <n v="140"/>
    <m/>
    <n v="1114"/>
    <s v=""/>
    <s v=""/>
    <x v="37"/>
    <m/>
    <s v=""/>
    <s v="Everson"/>
    <s v="17997793113"/>
    <s v=""/>
    <s v="comercial@distribuidorastar.com.br"/>
    <s v=""/>
    <s v=""/>
    <s v=""/>
    <s v=""/>
    <s v=""/>
    <s v=""/>
    <s v=""/>
    <s v=""/>
    <s v=""/>
    <s v="Pipeline de Vendas"/>
    <s v="Em Fechamento (100%)"/>
    <s v="10x sem juros (0/30/60/90/120/150...)"/>
    <d v="2025-01-31T00:00:00"/>
    <n v="4587892"/>
    <n v="628168"/>
    <n v="36"/>
    <s v="Junior Lopes"/>
    <d v="2024-12-19T00:00:00"/>
    <d v="1899-12-30T10:01:34"/>
    <s v=""/>
    <s v="Ganho"/>
    <d v="2025-01-24T00:00:00"/>
    <d v="1899-12-30T12:26:37"/>
    <s v=""/>
    <s v=""/>
    <s v=""/>
    <x v="23"/>
    <s v=""/>
    <x v="22"/>
    <s v="09/01/2025"/>
    <m/>
    <m/>
    <s v=""/>
    <s v=""/>
    <s v=""/>
    <s v=""/>
    <n v="1"/>
  </r>
  <r>
    <x v="1"/>
    <n v="141"/>
    <n v="159"/>
    <n v="1115"/>
    <s v=""/>
    <s v=""/>
    <x v="38"/>
    <n v="43526090000161"/>
    <s v="Precisa Import"/>
    <s v="Tony"/>
    <s v="11972961489"/>
    <s v=""/>
    <s v="comercial@prorepresentacao.com.nr"/>
    <s v=""/>
    <s v=""/>
    <s v=""/>
    <s v="Barueri"/>
    <s v="SP"/>
    <s v=""/>
    <s v=""/>
    <s v=""/>
    <s v=""/>
    <s v="Pipeline de Vendas"/>
    <s v="Em Fechamento (100%)"/>
    <s v="8x sem juros (0/30/60/90/120/150...)"/>
    <d v="2025-01-31T00:00:00"/>
    <n v="1600"/>
    <n v="2500"/>
    <n v="42"/>
    <s v="Junior Lopes"/>
    <d v="2024-12-19T00:00:00"/>
    <d v="1899-12-30T14:40:15"/>
    <s v=""/>
    <s v="Ganho"/>
    <d v="2025-01-28T00:00:00"/>
    <d v="1899-12-30T16:21:11"/>
    <s v=""/>
    <s v="0"/>
    <s v="20/01/2025"/>
    <x v="24"/>
    <s v=""/>
    <x v="0"/>
    <s v=""/>
    <m/>
    <m/>
    <s v=""/>
    <s v=""/>
    <s v=""/>
    <s v=""/>
    <n v="1"/>
  </r>
  <r>
    <x v="1"/>
    <n v="142"/>
    <m/>
    <n v="1117"/>
    <s v=""/>
    <s v=""/>
    <x v="39"/>
    <m/>
    <s v=""/>
    <s v="Everson"/>
    <s v="17997793113"/>
    <s v=""/>
    <s v="comercial@distribuidorastar.com.br"/>
    <s v=""/>
    <s v=""/>
    <s v=""/>
    <s v=""/>
    <s v=""/>
    <s v=""/>
    <s v=""/>
    <s v=""/>
    <s v=""/>
    <s v="Pipeline de Vendas"/>
    <s v="Em Fechamento (100%)"/>
    <s v=""/>
    <d v="2025-01-31T00:00:00"/>
    <n v="1600"/>
    <n v="243721"/>
    <n v="35"/>
    <s v="Junior Lopes"/>
    <d v="2024-12-20T00:00:00"/>
    <d v="1899-12-30T14:30:10"/>
    <s v=""/>
    <s v="Ganho"/>
    <d v="2025-01-24T00:00:00"/>
    <d v="1899-12-30T14:02:50"/>
    <s v=""/>
    <s v=""/>
    <s v=""/>
    <x v="23"/>
    <s v=""/>
    <x v="22"/>
    <s v="09/01/2025"/>
    <m/>
    <m/>
    <s v=""/>
    <s v=""/>
    <s v=""/>
    <s v=""/>
    <n v="1"/>
  </r>
  <r>
    <x v="0"/>
    <n v="144"/>
    <m/>
    <n v="181"/>
    <s v="Me chamou no whatsapp, possível indicação."/>
    <s v=""/>
    <x v="40"/>
    <n v="27805256000122"/>
    <s v=""/>
    <s v="Jefeerson"/>
    <s v="(83) 3441-1738 / (83) 9882-5004"/>
    <s v=""/>
    <s v=""/>
    <s v=""/>
    <s v=""/>
    <s v=""/>
    <s v="CATOLE DO ROCHA"/>
    <s v="PB"/>
    <s v="Feiras"/>
    <s v=""/>
    <s v=""/>
    <s v="Abup2025Fevereiro;GELADO"/>
    <s v="Pipeline de Vendas"/>
    <s v="Em Fechamento (100%)"/>
    <s v="6x sem juros (0/30/60/90/120/150...)"/>
    <m/>
    <n v="146772"/>
    <n v="1102804"/>
    <n v="154"/>
    <s v="Paulo Souza"/>
    <d v="2025-01-07T00:00:00"/>
    <d v="1899-12-30T16:58:48"/>
    <s v=""/>
    <s v="Ganho"/>
    <d v="2025-01-29T00:00:00"/>
    <d v="1899-12-30T01:04:49"/>
    <s v=""/>
    <s v="0"/>
    <s v=""/>
    <x v="25"/>
    <s v="Paulo Souza"/>
    <x v="23"/>
    <s v=""/>
    <m/>
    <m/>
    <s v=""/>
    <s v=""/>
    <s v=""/>
    <s v=""/>
    <n v="1"/>
  </r>
  <r>
    <x v="0"/>
    <n v="145"/>
    <m/>
    <n v="12"/>
    <s v="Indústria de alumínio atualmente utiliza um ERP local, junto com o EPR do mesmo fornecedor. Porém a principal dificuldade esta no processo produtivo, que ainda não foi implantado. Por este motivo a empresa necessita de um módulo de PCP (Planejamento e controle da produção) e o AFV atual não atende as necessidades comerciais._x000a_MBA Alumínios_x000a_Com mais de 38 anos de atuação no setor de alumínios, a MBA Alumínios é uma fábrica consolidada que abrange toda a cadeia produtiva de panelas de alumínio, desde a compra de sucata, produção de discos, estamparia, pintura, montagem, até embalagem e armazenamento._x000a_A empresa adotará os seguintes produtos:_x000a_ERP + PCP: 10 usuários_x000a_Checkout (ERP): 4 usuários_x000a_AFV: 14 usuários_x000a_MDe_x000a_MDFe_x000a_Possui dois CNPJs enquadrados no Simples Nacional e está localizada na cidade de Itaúna - MG."/>
    <s v="MBA ALUMINIOS LTDA."/>
    <x v="41"/>
    <n v="22752240000185"/>
    <s v=""/>
    <s v="Selmo Fernandes"/>
    <s v="(37) 99856-9457"/>
    <s v=""/>
    <s v="selmofilho@mbaluminios.com.br"/>
    <s v=""/>
    <s v=""/>
    <s v=""/>
    <s v="ITAUNA"/>
    <s v=""/>
    <s v="Outbound"/>
    <s v=""/>
    <s v=""/>
    <s v="SDRDébora"/>
    <s v="Pipeline de Vendas"/>
    <s v="Em negociação (75%)"/>
    <s v=""/>
    <m/>
    <m/>
    <m/>
    <n v="38"/>
    <s v="Paulo Souza"/>
    <d v="2025-01-07T00:00:00"/>
    <d v="1899-12-30T17:36:41"/>
    <s v=""/>
    <s v="Perdido"/>
    <d v="2025-02-14T00:00:00"/>
    <d v="1899-12-30T15:35:32"/>
    <s v="Projeto adiado / sem prazo definido"/>
    <s v=""/>
    <s v=""/>
    <x v="0"/>
    <s v=""/>
    <x v="24"/>
    <s v=""/>
    <m/>
    <m/>
    <s v=""/>
    <s v=""/>
    <s v=""/>
    <s v=""/>
    <n v="1"/>
  </r>
  <r>
    <x v="1"/>
    <n v="148"/>
    <m/>
    <n v="270"/>
    <s v="Carlos informou que possui hoje 50 RCA, e utilizam o ERP Solides."/>
    <s v="ETRURIA INDUSTRIA DE FIBRAS E FIOS SINTETICOS LTDA"/>
    <x v="42"/>
    <n v="45723541000186"/>
    <s v=""/>
    <s v="ETRURIA"/>
    <s v="1147188700"/>
    <s v=""/>
    <s v="etruria@etruria.com.br"/>
    <s v=""/>
    <s v="ETRURIA;Carlos"/>
    <s v=""/>
    <s v="Mairinque - SP"/>
    <s v="SP"/>
    <s v="Outbound"/>
    <s v=""/>
    <s v=""/>
    <s v="Importado a partir de lista;SDRFernanda"/>
    <s v="Pipeline de Vendas"/>
    <s v="Em negociação (75%)"/>
    <s v=""/>
    <m/>
    <n v="16960"/>
    <n v="4714"/>
    <n v="72"/>
    <s v="Fernanda Santiago"/>
    <d v="2025-01-08T00:00:00"/>
    <d v="1899-12-30T11:08:30"/>
    <s v=""/>
    <s v="Perdido"/>
    <d v="2025-03-21T00:00:00"/>
    <d v="1899-12-30T10:20:05"/>
    <s v="Não quer mudar a solução atual"/>
    <s v="decidiu não mudar força de vendas nesse momento"/>
    <s v=""/>
    <x v="26"/>
    <s v="Fernanda Santiago"/>
    <x v="25"/>
    <s v="21/01/2025"/>
    <m/>
    <m/>
    <s v=""/>
    <s v=""/>
    <s v=""/>
    <s v=""/>
    <n v="1"/>
  </r>
  <r>
    <x v="1"/>
    <n v="151"/>
    <m/>
    <n v="1540"/>
    <s v=""/>
    <s v=""/>
    <x v="43"/>
    <n v="21733807000103"/>
    <s v=""/>
    <s v="News aviamentos"/>
    <s v="(11) 3229-6911"/>
    <s v=""/>
    <s v="caiotls@hotmail.com"/>
    <s v=""/>
    <s v=""/>
    <s v=""/>
    <s v="SAO PAULO"/>
    <s v="SP"/>
    <s v=""/>
    <s v=""/>
    <s v=""/>
    <s v=""/>
    <s v="Pipeline de Vendas"/>
    <s v="Em negociação (75%)"/>
    <s v=""/>
    <m/>
    <n v="4830624"/>
    <n v="384549"/>
    <n v="43"/>
    <s v="Junior Lopes"/>
    <d v="2025-01-09T00:00:00"/>
    <d v="1899-12-30T16:01:24"/>
    <s v=""/>
    <s v="Perdido"/>
    <d v="2025-02-21T00:00:00"/>
    <d v="1899-12-30T14:27:38"/>
    <s v="Não houve aprovação financeira"/>
    <s v="achou investimento fora para o momento"/>
    <s v=""/>
    <x v="26"/>
    <s v=""/>
    <x v="26"/>
    <s v="20/01/2025"/>
    <m/>
    <m/>
    <s v=""/>
    <s v=""/>
    <s v=""/>
    <s v=""/>
    <n v="1"/>
  </r>
  <r>
    <x v="0"/>
    <n v="154"/>
    <n v="177"/>
    <n v="1546"/>
    <s v=""/>
    <s v=""/>
    <x v="44"/>
    <n v="58636773000149"/>
    <s v="GLOBAL MIX ATACADISTA LTDA."/>
    <s v="Juan Charles Brandão Bastos"/>
    <s v="(32) 98458-5164"/>
    <s v=""/>
    <s v="afonso@assecon.net.br"/>
    <s v="Matriz"/>
    <s v=""/>
    <s v="R DOM LUIZ ORIONE 577"/>
    <s v="Juiz de Fora"/>
    <s v="MG"/>
    <s v="Site"/>
    <s v="Site"/>
    <s v=""/>
    <s v="GELADO;Pausado;Solicita demo"/>
    <s v="Pipeline de Vendas"/>
    <s v="Em negociação (75%)"/>
    <s v="6x sem juros (0/30/60/90/120/150...)"/>
    <m/>
    <n v="5689656"/>
    <n v="259936"/>
    <n v="151"/>
    <s v="Fernanda Santiago"/>
    <d v="2025-01-10T00:00:00"/>
    <d v="1899-12-30T12:12:42"/>
    <s v=""/>
    <s v="Perdido"/>
    <d v="2025-06-10T00:00:00"/>
    <d v="1899-12-30T14:40:29"/>
    <s v="Não quer mudar a solução atual"/>
    <s v=""/>
    <s v="10/01/2025 16:00"/>
    <x v="13"/>
    <s v="Paulo Souza"/>
    <x v="27"/>
    <s v=""/>
    <m/>
    <m/>
    <s v=""/>
    <s v=""/>
    <s v=""/>
    <s v=""/>
    <n v="1"/>
  </r>
  <r>
    <x v="0"/>
    <n v="155"/>
    <m/>
    <n v="1547"/>
    <s v=""/>
    <s v=""/>
    <x v="45"/>
    <m/>
    <s v=""/>
    <s v="Bruce"/>
    <s v="21995977179"/>
    <s v=""/>
    <s v="null"/>
    <s v=""/>
    <s v=""/>
    <s v=""/>
    <s v=""/>
    <s v=""/>
    <s v=""/>
    <s v=""/>
    <s v=""/>
    <s v=""/>
    <s v="Pipeline de Vendas"/>
    <s v="Apresentar Solução (35%)"/>
    <s v=""/>
    <m/>
    <m/>
    <m/>
    <n v="18"/>
    <s v="Paulo Souza"/>
    <d v="2025-01-10T00:00:00"/>
    <d v="1899-12-30T14:48:28"/>
    <s v=""/>
    <s v="Perdido"/>
    <d v="2025-01-28T00:00:00"/>
    <d v="1899-12-30T16:53:34"/>
    <s v="Projeto adiado / sem prazo definido"/>
    <s v="Rayssa, está tratando no funil de pós-venda"/>
    <s v=""/>
    <x v="27"/>
    <s v="Paulo Souza"/>
    <x v="28"/>
    <s v=""/>
    <m/>
    <m/>
    <s v=""/>
    <s v=""/>
    <s v=""/>
    <s v=""/>
    <n v="1"/>
  </r>
  <r>
    <x v="0"/>
    <n v="164"/>
    <m/>
    <n v="1582"/>
    <s v=""/>
    <s v=""/>
    <x v="46"/>
    <n v="2675142000184"/>
    <s v=""/>
    <s v="Thiago"/>
    <s v="(11) 98534-8231"/>
    <s v=""/>
    <s v="thiago.ramos@sltexpress.com.br"/>
    <s v=""/>
    <s v=""/>
    <s v=""/>
    <s v="São Paulo"/>
    <s v=""/>
    <s v="Site"/>
    <s v=""/>
    <s v=""/>
    <s v="Contato;QUENTE"/>
    <s v="Pipeline de Vendas"/>
    <s v="Em negociação (75%)"/>
    <s v=""/>
    <m/>
    <m/>
    <m/>
    <n v="65"/>
    <s v="Fernanda Santiago"/>
    <d v="2025-01-15T00:00:00"/>
    <d v="1899-12-30T17:35:14"/>
    <s v=""/>
    <s v="Perdido"/>
    <d v="2025-03-21T00:00:00"/>
    <d v="1899-12-30T14:37:57"/>
    <s v="Fora do segmento atendido"/>
    <s v=""/>
    <s v="15/01/2025 17:00"/>
    <x v="13"/>
    <s v="Fernanda Santiago"/>
    <x v="29"/>
    <s v=""/>
    <m/>
    <m/>
    <s v=""/>
    <s v=""/>
    <s v=""/>
    <s v=""/>
    <n v="1"/>
  </r>
  <r>
    <x v="1"/>
    <n v="166"/>
    <m/>
    <n v="745"/>
    <s v=""/>
    <s v="VERSIVA COMERCIAL VERSIVA DISTRIBUIDORA"/>
    <x v="47"/>
    <n v="48314771000180"/>
    <s v=""/>
    <s v="Gilberto"/>
    <s v="11984587496"/>
    <s v=""/>
    <s v="gilberto.brito@quantiva.com.br"/>
    <s v=""/>
    <s v="Gilberto;null"/>
    <s v=""/>
    <s v=""/>
    <s v=""/>
    <s v=""/>
    <s v=""/>
    <s v=""/>
    <s v="SDRFernanda;TAG1SEM"/>
    <s v="Pipeline de Vendas"/>
    <s v="Apresentar Solução (35%)"/>
    <s v=""/>
    <m/>
    <m/>
    <m/>
    <n v="36"/>
    <s v="Fernanda Santiago"/>
    <d v="2025-01-16T00:00:00"/>
    <d v="1899-12-30T11:04:39"/>
    <s v=""/>
    <s v="Perdido"/>
    <d v="2025-02-21T00:00:00"/>
    <d v="1899-12-30T12:11:57"/>
    <s v="Projeto adiado / sem prazo definido"/>
    <s v="cliente não tem tempo para apresentação"/>
    <s v="16/01/2025 11:00"/>
    <x v="0"/>
    <s v="Fernanda Santiago"/>
    <x v="30"/>
    <s v=""/>
    <m/>
    <m/>
    <s v=""/>
    <s v=""/>
    <s v=""/>
    <s v=""/>
    <n v="1"/>
  </r>
  <r>
    <x v="0"/>
    <n v="167"/>
    <m/>
    <n v="1599"/>
    <s v=""/>
    <s v=""/>
    <x v="48"/>
    <m/>
    <s v=""/>
    <s v="Felipe"/>
    <s v="11975126999"/>
    <s v=""/>
    <s v="null"/>
    <s v=""/>
    <s v=""/>
    <s v=""/>
    <s v=""/>
    <s v=""/>
    <s v="Indicação"/>
    <s v=""/>
    <s v=""/>
    <s v="GELADO"/>
    <s v="Pipeline de Vendas"/>
    <s v="Em negociação (75%)"/>
    <s v="6x sem juros (0/30/60/90/120/150...)"/>
    <d v="2025-05-31T00:00:00"/>
    <n v="46000"/>
    <n v="308546"/>
    <n v="82"/>
    <s v="Paulo Souza"/>
    <d v="2025-01-16T00:00:00"/>
    <d v="1899-12-30T14:02:22"/>
    <s v=""/>
    <s v="Perdido"/>
    <d v="2025-04-08T00:00:00"/>
    <d v="1899-12-30T09:30:31"/>
    <s v="Não quer mudar a solução atual"/>
    <s v=""/>
    <s v=""/>
    <x v="28"/>
    <s v="Paulo Souza"/>
    <x v="31"/>
    <s v=""/>
    <m/>
    <m/>
    <s v=""/>
    <s v=""/>
    <s v=""/>
    <s v=""/>
    <n v="1"/>
  </r>
  <r>
    <x v="1"/>
    <n v="169"/>
    <m/>
    <n v="735"/>
    <s v=""/>
    <s v="ECOLIMP DISTRIBUIDORA ATACADISTA DE PRODUTOS DE HIGIENE - EIRELI"/>
    <x v="49"/>
    <n v="16941656000149"/>
    <s v=""/>
    <s v="Ecolimp Distribuidora"/>
    <s v="11956368569"/>
    <s v=""/>
    <s v="adrianarosa@ecolimpatacadista.com.br"/>
    <s v=""/>
    <s v="Ecolimp Distribuidora;null, Adriana"/>
    <s v=""/>
    <s v=""/>
    <s v=""/>
    <s v=""/>
    <s v=""/>
    <s v=""/>
    <s v=""/>
    <s v="Pipeline de Vendas"/>
    <s v="Apresentar Proposta (50%)"/>
    <s v=""/>
    <m/>
    <n v="16700"/>
    <n v="18186"/>
    <n v="6"/>
    <s v="Fernanda Santiago"/>
    <d v="2025-01-16T00:00:00"/>
    <d v="1899-12-30T17:13:16"/>
    <s v=""/>
    <s v="Perdido"/>
    <d v="2025-01-22T00:00:00"/>
    <d v="1899-12-30T12:12:09"/>
    <s v="Projeto adiado / sem prazo definido"/>
    <s v="pediu para retornar no futuro"/>
    <s v="16/01/2025 17:00"/>
    <x v="29"/>
    <s v="Fernanda Santiago"/>
    <x v="32"/>
    <s v=""/>
    <m/>
    <m/>
    <s v=""/>
    <s v=""/>
    <s v=""/>
    <s v=""/>
    <n v="1"/>
  </r>
  <r>
    <x v="1"/>
    <n v="174"/>
    <m/>
    <n v="734"/>
    <s v=""/>
    <s v="DISTRIBUIDORA CHAMPION LIMITADA"/>
    <x v="50"/>
    <n v="66559436000123"/>
    <s v=""/>
    <s v="Distribuidora Champion"/>
    <s v="1155237947"/>
    <s v=""/>
    <s v="andre@distribuidorachampion.com.br"/>
    <s v=""/>
    <s v="Distribuidora Champion;null"/>
    <s v=""/>
    <s v=""/>
    <s v=""/>
    <s v=""/>
    <s v=""/>
    <s v=""/>
    <s v=""/>
    <s v="Pipeline de Vendas"/>
    <s v="Agendamento (0%)"/>
    <s v=""/>
    <m/>
    <m/>
    <m/>
    <n v="31"/>
    <s v="Fernanda Santiago"/>
    <d v="2025-01-21T00:00:00"/>
    <d v="1899-12-30T10:39:04"/>
    <s v=""/>
    <s v="Perdido"/>
    <d v="2025-02-21T00:00:00"/>
    <d v="1899-12-30T10:55:19"/>
    <s v="Projeto adiado / sem prazo definido"/>
    <s v="sem resposta do cliente"/>
    <s v="21/01/2025 10:37"/>
    <x v="0"/>
    <s v="Fernanda Santiago"/>
    <x v="33"/>
    <s v=""/>
    <m/>
    <m/>
    <s v=""/>
    <s v=""/>
    <s v=""/>
    <s v=""/>
    <n v="1"/>
  </r>
  <r>
    <x v="1"/>
    <n v="178"/>
    <m/>
    <n v="1619"/>
    <s v=""/>
    <s v=""/>
    <x v="51"/>
    <n v="2306559000331"/>
    <s v=""/>
    <s v="Royal Toys"/>
    <s v="44999065000"/>
    <s v=""/>
    <s v="ney@royaltoys.com.br"/>
    <s v=""/>
    <s v=""/>
    <s v=""/>
    <s v=""/>
    <s v=""/>
    <s v=""/>
    <s v=""/>
    <s v=""/>
    <s v=""/>
    <s v="Pipeline de Vendas"/>
    <s v="Em negociação (75%)"/>
    <s v="6x sem juros (0/30/60/90/120/150...)"/>
    <m/>
    <n v="11520"/>
    <n v="14114"/>
    <n v="30"/>
    <s v="Junior Lopes"/>
    <d v="2025-01-22T00:00:00"/>
    <d v="1899-12-30T12:15:34"/>
    <s v=""/>
    <s v="Perdido"/>
    <d v="2025-02-21T00:00:00"/>
    <d v="1899-12-30T12:14:01"/>
    <s v="Fechou com o concorrente - preço"/>
    <s v="fechou com Mercus"/>
    <s v=""/>
    <x v="29"/>
    <s v=""/>
    <x v="34"/>
    <s v=""/>
    <m/>
    <m/>
    <s v=""/>
    <s v=""/>
    <s v=""/>
    <s v=""/>
    <n v="1"/>
  </r>
  <r>
    <x v="1"/>
    <n v="179"/>
    <m/>
    <n v="1621"/>
    <s v=""/>
    <s v=""/>
    <x v="52"/>
    <m/>
    <s v=""/>
    <s v="Atacado Junior"/>
    <s v="65984636358"/>
    <s v=""/>
    <s v="atacadojunior@uol.com.br"/>
    <s v=""/>
    <s v=""/>
    <s v=""/>
    <s v=""/>
    <s v=""/>
    <s v=""/>
    <s v=""/>
    <s v=""/>
    <s v=""/>
    <s v="Pipeline de Vendas"/>
    <s v="Apresentar Proposta (50%)"/>
    <s v="6x sem juros (0/30/60/90/120/150...)"/>
    <m/>
    <n v="61056"/>
    <n v="625045"/>
    <n v="14"/>
    <s v="Junior Lopes"/>
    <d v="2025-01-23T00:00:00"/>
    <d v="1899-12-30T09:32:50"/>
    <s v=""/>
    <s v="Perdido"/>
    <d v="2025-02-06T00:00:00"/>
    <d v="1899-12-30T16:03:00"/>
    <s v="Preço muito alto - fora do budget de investimento"/>
    <s v="valor alto para investimento"/>
    <s v=""/>
    <x v="30"/>
    <s v=""/>
    <x v="35"/>
    <s v="27/01/2025"/>
    <m/>
    <m/>
    <s v=""/>
    <s v=""/>
    <s v=""/>
    <s v=""/>
    <n v="1"/>
  </r>
  <r>
    <x v="1"/>
    <n v="183"/>
    <m/>
    <n v="1631"/>
    <s v=""/>
    <s v=""/>
    <x v="53"/>
    <m/>
    <s v=""/>
    <s v="Multiflon"/>
    <s v="54981117994"/>
    <s v=""/>
    <s v="cesar@multiflon.com.br"/>
    <s v=""/>
    <s v=""/>
    <s v=""/>
    <s v=""/>
    <s v=""/>
    <s v="Feiras"/>
    <s v=""/>
    <s v=""/>
    <s v=""/>
    <s v="Pipeline de Vendas"/>
    <s v="Em Fechamento (100%)"/>
    <s v="6x sem juros (0/30/60/90/120/150...)"/>
    <m/>
    <n v="16960"/>
    <n v="863104"/>
    <n v="103"/>
    <s v="Junior Lopes"/>
    <d v="2025-01-24T00:00:00"/>
    <d v="1899-12-30T10:40:09"/>
    <s v=""/>
    <s v="Ganho"/>
    <d v="2025-05-07T00:00:00"/>
    <d v="1899-12-30T08:53:35"/>
    <s v=""/>
    <s v=""/>
    <s v=""/>
    <x v="31"/>
    <s v=""/>
    <x v="35"/>
    <s v=""/>
    <m/>
    <m/>
    <s v=""/>
    <s v=""/>
    <s v=""/>
    <s v=""/>
    <n v="1"/>
  </r>
  <r>
    <x v="1"/>
    <n v="187"/>
    <m/>
    <n v="1642"/>
    <s v=""/>
    <s v=""/>
    <x v="54"/>
    <m/>
    <s v=""/>
    <s v="Metalmix tanque"/>
    <s v="16997631389"/>
    <s v=""/>
    <s v="metalmix.ibate@hotmail.com"/>
    <s v=""/>
    <s v=""/>
    <s v=""/>
    <s v=""/>
    <s v=""/>
    <s v=""/>
    <s v=""/>
    <s v=""/>
    <s v=""/>
    <s v="Pipeline de Vendas"/>
    <s v="Apresentar Solução (35%)"/>
    <s v=""/>
    <m/>
    <m/>
    <m/>
    <n v="49"/>
    <s v="Junior Lopes"/>
    <d v="2025-01-27T00:00:00"/>
    <d v="1899-12-30T14:53:37"/>
    <s v=""/>
    <s v="Perdido"/>
    <d v="2025-03-17T00:00:00"/>
    <d v="1899-12-30T09:55:20"/>
    <s v="Projeto adiado / sem prazo definido"/>
    <s v="Cliente fora do segmento"/>
    <s v=""/>
    <x v="0"/>
    <s v=""/>
    <x v="36"/>
    <s v=""/>
    <m/>
    <m/>
    <s v=""/>
    <s v=""/>
    <s v=""/>
    <s v=""/>
    <n v="1"/>
  </r>
  <r>
    <x v="1"/>
    <n v="188"/>
    <m/>
    <n v="1643"/>
    <s v=""/>
    <s v=""/>
    <x v="55"/>
    <m/>
    <s v=""/>
    <s v="C.a Teles Armarinhos E Papelaria Ltda"/>
    <s v="11999279928"/>
    <s v=""/>
    <s v="caiotls@hotmail.com"/>
    <s v=""/>
    <s v=""/>
    <s v=""/>
    <s v=""/>
    <s v=""/>
    <s v=""/>
    <s v=""/>
    <s v=""/>
    <s v=""/>
    <s v="Pipeline de Vendas"/>
    <s v="Em negociação (75%)"/>
    <s v=""/>
    <m/>
    <n v="1600"/>
    <n v="314528"/>
    <n v="25"/>
    <s v="Junior Lopes"/>
    <d v="2025-01-27T00:00:00"/>
    <d v="1899-12-30T15:48:35"/>
    <s v=""/>
    <s v="Perdido"/>
    <d v="2025-02-21T00:00:00"/>
    <d v="1899-12-30T14:28:44"/>
    <s v="Não houve aprovação financeira"/>
    <s v=""/>
    <s v=""/>
    <x v="29"/>
    <s v=""/>
    <x v="26"/>
    <s v=""/>
    <m/>
    <m/>
    <s v=""/>
    <s v=""/>
    <s v=""/>
    <s v=""/>
    <n v="1"/>
  </r>
  <r>
    <x v="1"/>
    <n v="191"/>
    <m/>
    <n v="1651"/>
    <s v=""/>
    <s v=""/>
    <x v="56"/>
    <m/>
    <s v=""/>
    <s v="Atacado Junior"/>
    <s v="65984636358"/>
    <s v=""/>
    <s v="atacadojunior@uol.com.br"/>
    <s v=""/>
    <s v=""/>
    <s v=""/>
    <s v=""/>
    <s v=""/>
    <s v=""/>
    <s v=""/>
    <s v=""/>
    <s v=""/>
    <s v="Pipeline de Vendas"/>
    <s v="Apresentar Proposta (50%)"/>
    <s v=""/>
    <m/>
    <n v="1600"/>
    <n v="4063"/>
    <n v="9"/>
    <s v="Junior Lopes"/>
    <d v="2025-01-28T00:00:00"/>
    <d v="1899-12-30T15:02:42"/>
    <s v=""/>
    <s v="Perdido"/>
    <d v="2025-02-06T00:00:00"/>
    <d v="1899-12-30T16:04:47"/>
    <s v="Preço muito alto - fora do budget de investimento"/>
    <s v="valor alto para investimento"/>
    <s v=""/>
    <x v="0"/>
    <s v=""/>
    <x v="0"/>
    <s v=""/>
    <m/>
    <m/>
    <s v=""/>
    <s v=""/>
    <s v=""/>
    <s v=""/>
    <n v="1"/>
  </r>
  <r>
    <x v="0"/>
    <n v="193"/>
    <m/>
    <n v="1608"/>
    <s v=""/>
    <s v=""/>
    <x v="57"/>
    <n v="2142286000175"/>
    <s v=""/>
    <s v="giovanna sesso"/>
    <s v="(11) 3777-2416"/>
    <s v=""/>
    <s v="giovanna@bolplast.com.br"/>
    <s v=""/>
    <s v=""/>
    <s v=""/>
    <s v="São Paulo"/>
    <s v=""/>
    <s v="Site"/>
    <s v=""/>
    <s v=""/>
    <s v="Solicita demo"/>
    <s v="Pipeline de Vendas"/>
    <s v="Em negociação (75%)"/>
    <s v=""/>
    <m/>
    <m/>
    <m/>
    <n v="9"/>
    <s v="Paulo Souza"/>
    <d v="2025-01-28T00:00:00"/>
    <d v="1899-12-30T16:45:54"/>
    <s v=""/>
    <s v="Perdido"/>
    <d v="2025-02-06T00:00:00"/>
    <d v="1899-12-30T17:27:05"/>
    <s v="Preço muito alto - fora do budget de investimento"/>
    <s v=""/>
    <s v=""/>
    <x v="32"/>
    <s v=""/>
    <x v="37"/>
    <s v=""/>
    <m/>
    <m/>
    <s v=""/>
    <s v=""/>
    <s v=""/>
    <s v=""/>
    <n v="1"/>
  </r>
  <r>
    <x v="0"/>
    <n v="195"/>
    <m/>
    <n v="1603"/>
    <s v=""/>
    <s v=""/>
    <x v="58"/>
    <m/>
    <s v=""/>
    <s v="Stanley Neves"/>
    <s v="(16) 99788-8387"/>
    <s v=""/>
    <s v="null"/>
    <s v=""/>
    <s v=""/>
    <s v=""/>
    <s v=""/>
    <s v=""/>
    <s v="Inbound"/>
    <s v=""/>
    <s v=""/>
    <s v=""/>
    <s v="Pipeline de Vendas"/>
    <s v="Em negociação (75%)"/>
    <s v=""/>
    <m/>
    <m/>
    <m/>
    <n v="9"/>
    <s v="Paulo Souza"/>
    <d v="2025-01-28T00:00:00"/>
    <d v="1899-12-30T17:10:34"/>
    <s v=""/>
    <s v="Perdido"/>
    <d v="2025-02-06T00:00:00"/>
    <d v="1899-12-30T17:32:16"/>
    <s v="Não quer mudar a solução atual"/>
    <s v=""/>
    <s v=""/>
    <x v="32"/>
    <s v=""/>
    <x v="37"/>
    <s v=""/>
    <m/>
    <m/>
    <s v=""/>
    <s v=""/>
    <s v=""/>
    <s v=""/>
    <n v="1"/>
  </r>
  <r>
    <x v="0"/>
    <n v="196"/>
    <m/>
    <n v="1596"/>
    <s v=""/>
    <s v="Vigi Ltda"/>
    <x v="59"/>
    <n v="56884678000139"/>
    <s v=""/>
    <s v="Vinicius Oliveira"/>
    <s v="(19) 98275-0709"/>
    <s v=""/>
    <s v="societario@gmcontabil.com.br"/>
    <s v=""/>
    <s v=""/>
    <s v=""/>
    <s v="CAMPINAS"/>
    <s v="SP"/>
    <s v="Inbound"/>
    <s v=""/>
    <s v=""/>
    <s v="Contato"/>
    <s v="Pipeline de Vendas"/>
    <s v="Em negociação (75%)"/>
    <s v=""/>
    <m/>
    <m/>
    <m/>
    <n v="1"/>
    <s v="Paulo Souza"/>
    <d v="2025-01-28T00:00:00"/>
    <d v="1899-12-30T17:12:05"/>
    <s v=""/>
    <s v="Perdido"/>
    <d v="2025-01-29T00:00:00"/>
    <d v="1899-12-30T01:00:16"/>
    <s v="Preço muito alto - fora do budget de investimento"/>
    <s v=""/>
    <s v=""/>
    <x v="32"/>
    <s v="Paulo Souza"/>
    <x v="37"/>
    <s v=""/>
    <m/>
    <m/>
    <s v=""/>
    <s v=""/>
    <s v=""/>
    <s v=""/>
    <n v="1"/>
  </r>
  <r>
    <x v="0"/>
    <n v="197"/>
    <m/>
    <n v="1598"/>
    <s v=""/>
    <s v=""/>
    <x v="60"/>
    <m/>
    <s v=""/>
    <s v="Isaias"/>
    <s v="(15) 99747-1187"/>
    <s v=""/>
    <s v="null"/>
    <s v=""/>
    <s v=""/>
    <s v=""/>
    <s v=""/>
    <s v=""/>
    <s v="Inbound"/>
    <s v=""/>
    <s v=""/>
    <s v="Contato"/>
    <s v="Pipeline de Vendas"/>
    <s v="Em negociação (75%)"/>
    <s v=""/>
    <m/>
    <m/>
    <m/>
    <n v="1"/>
    <s v="Paulo Souza"/>
    <d v="2025-01-28T00:00:00"/>
    <d v="1899-12-30T17:12:39"/>
    <s v=""/>
    <s v="Perdido"/>
    <d v="2025-01-29T00:00:00"/>
    <d v="1899-12-30T01:02:09"/>
    <s v="Preço muito alto - fora do budget de investimento"/>
    <s v=""/>
    <s v=""/>
    <x v="32"/>
    <s v=""/>
    <x v="37"/>
    <s v=""/>
    <m/>
    <m/>
    <s v=""/>
    <s v=""/>
    <s v=""/>
    <s v=""/>
    <n v="1"/>
  </r>
  <r>
    <x v="0"/>
    <n v="198"/>
    <m/>
    <n v="1600"/>
    <s v=""/>
    <s v=""/>
    <x v="61"/>
    <m/>
    <s v=""/>
    <s v="pz presentes"/>
    <s v="(31) 99735-8058"/>
    <s v=""/>
    <s v="administrativo@tempori.com.br"/>
    <s v=""/>
    <s v=""/>
    <s v=""/>
    <s v="Belo Horizonte"/>
    <s v=""/>
    <s v="Site"/>
    <s v=""/>
    <s v=""/>
    <s v="Contato"/>
    <s v="Pipeline de Vendas"/>
    <s v="Em negociação (75%)"/>
    <s v=""/>
    <m/>
    <m/>
    <m/>
    <n v="1"/>
    <s v="Paulo Souza"/>
    <d v="2025-01-28T00:00:00"/>
    <d v="1899-12-30T17:13:17"/>
    <s v=""/>
    <s v="Perdido"/>
    <d v="2025-01-29T00:00:00"/>
    <d v="1899-12-30T01:05:46"/>
    <s v="Preço muito alto - fora do budget de investimento"/>
    <s v=""/>
    <s v=""/>
    <x v="32"/>
    <s v=""/>
    <x v="37"/>
    <s v=""/>
    <m/>
    <m/>
    <s v=""/>
    <s v=""/>
    <s v=""/>
    <s v=""/>
    <n v="1"/>
  </r>
  <r>
    <x v="0"/>
    <n v="199"/>
    <m/>
    <n v="1623"/>
    <s v="Todos os dados preenchidos:_x000a_name: Eliedson Alves _x000a_phone: 81988636626 _x000a_email: eliedsonrepresentante@gmail.com _x000a_referrer: https://www.guaranisistemas.com.br/"/>
    <s v=""/>
    <x v="62"/>
    <m/>
    <s v=""/>
    <s v="Eliedson Alves"/>
    <s v="81988636626"/>
    <s v=""/>
    <s v="eliedsonrepresentante@gmail.com"/>
    <s v=""/>
    <s v=""/>
    <s v=""/>
    <s v="Recife"/>
    <s v=""/>
    <s v="Feiras"/>
    <s v=""/>
    <s v=""/>
    <s v="Feiras"/>
    <s v="Pipeline de Vendas"/>
    <s v="Em negociação (75%)"/>
    <s v=""/>
    <m/>
    <m/>
    <m/>
    <n v="9"/>
    <s v="Paulo Souza"/>
    <d v="2025-01-28T00:00:00"/>
    <d v="1899-12-30T17:14:04"/>
    <s v=""/>
    <s v="Perdido"/>
    <d v="2025-02-06T00:00:00"/>
    <d v="1899-12-30T17:40:07"/>
    <s v="Preço muito alto - fora do budget de investimento"/>
    <s v=""/>
    <s v=""/>
    <x v="32"/>
    <s v=""/>
    <x v="0"/>
    <s v="28/01/2025 00:00"/>
    <m/>
    <m/>
    <s v=""/>
    <s v=""/>
    <s v=""/>
    <s v=""/>
    <n v="1"/>
  </r>
  <r>
    <x v="1"/>
    <n v="200"/>
    <m/>
    <n v="1660"/>
    <s v=""/>
    <s v=""/>
    <x v="63"/>
    <m/>
    <s v=""/>
    <s v="Alumínio Higsberg"/>
    <s v="1935513873"/>
    <s v=""/>
    <s v="adm@aluminiohigsberg.com.br"/>
    <s v=""/>
    <s v=""/>
    <s v=""/>
    <s v=""/>
    <s v=""/>
    <s v=""/>
    <s v=""/>
    <s v=""/>
    <s v=""/>
    <s v="Pipeline de Vendas"/>
    <s v="Qualificação de Vendas (SQL) (25%)"/>
    <s v=""/>
    <m/>
    <m/>
    <m/>
    <n v="51"/>
    <s v="Junior Lopes"/>
    <d v="2025-01-29T00:00:00"/>
    <d v="1899-12-30T09:30:56"/>
    <s v=""/>
    <s v="Perdido"/>
    <d v="2025-03-21T00:00:00"/>
    <d v="1899-12-30T14:43:11"/>
    <s v="Não quer mudar a solução atual"/>
    <s v="cliente não respondeu mais aos contatos"/>
    <s v=""/>
    <x v="0"/>
    <s v=""/>
    <x v="38"/>
    <s v=""/>
    <m/>
    <m/>
    <s v=""/>
    <s v=""/>
    <s v=""/>
    <s v=""/>
    <n v="1"/>
  </r>
  <r>
    <x v="0"/>
    <n v="201"/>
    <m/>
    <n v="198"/>
    <s v=""/>
    <s v="REGIS PECLAT BASTOS"/>
    <x v="64"/>
    <n v="13474916000125"/>
    <s v=""/>
    <s v="REGIS"/>
    <s v="13997252966"/>
    <s v=""/>
    <s v="VR_DISTRIBUIDORA@YAHOO.COM.BR"/>
    <s v=""/>
    <s v="REGIS;REGIS, Roni"/>
    <s v=""/>
    <s v="JACUPIRANGA"/>
    <s v="SP"/>
    <s v="Outbound"/>
    <s v=""/>
    <s v=""/>
    <s v="Importado a partir de lista;TAG1SEM"/>
    <s v="Pipeline de Vendas"/>
    <s v="Apresentar Solução (35%)"/>
    <s v=""/>
    <m/>
    <m/>
    <m/>
    <n v="8"/>
    <s v="Fernanda Santiago"/>
    <d v="2025-01-29T00:00:00"/>
    <d v="1899-12-30T11:59:53"/>
    <s v=""/>
    <s v="Perdido"/>
    <d v="2025-02-06T00:00:00"/>
    <d v="1899-12-30T13:53:38"/>
    <s v="Fora do porte mínimo (sem fit estrutural)"/>
    <s v=""/>
    <s v="29/01/2025 11:58"/>
    <x v="0"/>
    <s v="Fernanda Santiago"/>
    <x v="39"/>
    <s v=""/>
    <m/>
    <m/>
    <s v=""/>
    <s v=""/>
    <s v=""/>
    <s v=""/>
    <n v="1"/>
  </r>
  <r>
    <x v="1"/>
    <n v="202"/>
    <m/>
    <n v="1665"/>
    <s v=""/>
    <s v=""/>
    <x v="65"/>
    <m/>
    <s v=""/>
    <s v="Viva Vidros"/>
    <s v="11988839646"/>
    <s v=""/>
    <s v="comercial@vivavidros.com.br"/>
    <s v=""/>
    <s v=""/>
    <s v=""/>
    <s v=""/>
    <s v=""/>
    <s v=""/>
    <s v=""/>
    <s v=""/>
    <s v=""/>
    <s v="Pipeline de Vendas"/>
    <s v="Em Fechamento (100%)"/>
    <s v=""/>
    <m/>
    <n v="1600"/>
    <n v="1824"/>
    <n v="34"/>
    <s v="Junior Lopes"/>
    <d v="2025-01-30T00:00:00"/>
    <d v="1899-12-30T09:58:14"/>
    <s v=""/>
    <s v="Perdido"/>
    <d v="2025-03-05T00:00:00"/>
    <d v="1899-12-30T11:11:54"/>
    <s v="Projeto adiado / sem prazo definido"/>
    <s v="cliente com situação de pendencias financeiras"/>
    <s v=""/>
    <x v="21"/>
    <s v=""/>
    <x v="0"/>
    <s v=""/>
    <m/>
    <m/>
    <s v=""/>
    <s v=""/>
    <s v=""/>
    <s v=""/>
    <n v="1"/>
  </r>
  <r>
    <x v="1"/>
    <n v="203"/>
    <m/>
    <n v="1666"/>
    <s v=""/>
    <s v=""/>
    <x v="66"/>
    <m/>
    <s v=""/>
    <s v="Stamaco"/>
    <s v="11967327458"/>
    <s v=""/>
    <s v="felipe@stamaco.com.br"/>
    <s v=""/>
    <s v=""/>
    <s v=""/>
    <s v=""/>
    <s v=""/>
    <s v=""/>
    <s v=""/>
    <s v=""/>
    <s v=""/>
    <s v="Pipeline de Vendas"/>
    <s v="Apresentar Solução (35%)"/>
    <s v=""/>
    <m/>
    <m/>
    <m/>
    <n v="22"/>
    <s v="Junior Lopes"/>
    <d v="2025-01-30T00:00:00"/>
    <d v="1899-12-30T10:59:59"/>
    <s v=""/>
    <s v="Perdido"/>
    <d v="2025-02-21T00:00:00"/>
    <d v="1899-12-30T12:09:49"/>
    <s v="Não quer mudar a solução atual"/>
    <s v="Aguardará Retaguarda Web"/>
    <s v=""/>
    <x v="0"/>
    <s v=""/>
    <x v="40"/>
    <s v=""/>
    <m/>
    <m/>
    <s v=""/>
    <s v=""/>
    <s v=""/>
    <s v=""/>
    <n v="1"/>
  </r>
  <r>
    <x v="1"/>
    <n v="204"/>
    <m/>
    <n v="1669"/>
    <s v=""/>
    <s v=""/>
    <x v="67"/>
    <m/>
    <s v=""/>
    <s v="Fabio"/>
    <s v="47988469270"/>
    <s v=""/>
    <s v="Fabio@atacadoelmo.com.br"/>
    <s v=""/>
    <s v=""/>
    <s v=""/>
    <s v=""/>
    <s v=""/>
    <s v=""/>
    <s v=""/>
    <s v=""/>
    <s v=""/>
    <s v="Pipeline de Vendas"/>
    <s v="Agendamento (0%)"/>
    <s v=""/>
    <m/>
    <n v="837998"/>
    <n v="516364"/>
    <n v="0"/>
    <s v="Paulo Souza"/>
    <d v="2025-02-01T00:00:00"/>
    <d v="1899-12-30T01:46:53"/>
    <s v=""/>
    <s v="Ganho"/>
    <d v="2025-02-01T00:00:00"/>
    <d v="1899-12-30T03:23:37"/>
    <s v=""/>
    <s v=""/>
    <s v=""/>
    <x v="0"/>
    <s v=""/>
    <x v="0"/>
    <s v=""/>
    <m/>
    <m/>
    <s v=""/>
    <s v=""/>
    <s v=""/>
    <s v=""/>
    <n v="1"/>
  </r>
  <r>
    <x v="0"/>
    <n v="205"/>
    <m/>
    <n v="1670"/>
    <s v=""/>
    <s v=""/>
    <x v="68"/>
    <m/>
    <s v=""/>
    <s v="Alexandre"/>
    <s v="75999540838"/>
    <s v=""/>
    <s v="terraboaespeciarias@hotmail.com"/>
    <s v=""/>
    <s v=""/>
    <s v=""/>
    <s v=""/>
    <s v=""/>
    <s v=""/>
    <s v=""/>
    <s v=""/>
    <s v=""/>
    <s v="Pipeline de Vendas"/>
    <s v="Em Fechamento (100%)"/>
    <s v=""/>
    <m/>
    <n v="299984"/>
    <n v="0"/>
    <n v="0"/>
    <s v="Paulo Souza"/>
    <d v="2025-02-01T00:00:00"/>
    <d v="1899-12-30T02:11:10"/>
    <s v=""/>
    <s v="Ganho"/>
    <d v="2025-02-01T00:00:00"/>
    <d v="1899-12-30T02:22:51"/>
    <s v=""/>
    <s v=""/>
    <s v=""/>
    <x v="6"/>
    <s v="Paulo Souza"/>
    <x v="41"/>
    <s v=""/>
    <m/>
    <m/>
    <s v=""/>
    <s v=""/>
    <s v=""/>
    <s v=""/>
    <n v="1"/>
  </r>
  <r>
    <x v="0"/>
    <n v="206"/>
    <m/>
    <n v="1671"/>
    <s v=""/>
    <s v=""/>
    <x v="69"/>
    <m/>
    <s v=""/>
    <s v="Helvecio"/>
    <s v="55479993859"/>
    <s v=""/>
    <s v="Helvecio.Deitos@newellco.com"/>
    <s v=""/>
    <s v=""/>
    <s v=""/>
    <s v=""/>
    <s v=""/>
    <s v=""/>
    <s v=""/>
    <s v=""/>
    <s v=""/>
    <s v="Pipeline de Vendas"/>
    <s v="Em Fechamento (100%)"/>
    <s v=""/>
    <m/>
    <n v="1936"/>
    <n v="0"/>
    <n v="0"/>
    <s v="Paulo Souza"/>
    <d v="2025-02-01T00:00:00"/>
    <d v="1899-12-30T02:12:42"/>
    <s v=""/>
    <s v="Ganho"/>
    <d v="2025-02-01T00:00:00"/>
    <d v="1899-12-30T02:19:45"/>
    <s v=""/>
    <s v=""/>
    <s v=""/>
    <x v="33"/>
    <s v="Paulo Souza"/>
    <x v="42"/>
    <s v=""/>
    <m/>
    <m/>
    <s v=""/>
    <s v=""/>
    <s v=""/>
    <s v=""/>
    <n v="1"/>
  </r>
  <r>
    <x v="0"/>
    <n v="207"/>
    <m/>
    <n v="1672"/>
    <s v=""/>
    <s v=""/>
    <x v="70"/>
    <m/>
    <s v=""/>
    <s v="Marcelha"/>
    <s v=""/>
    <s v=""/>
    <s v="marcelha@paramountplasticos.com.br"/>
    <s v=""/>
    <s v=""/>
    <s v=""/>
    <s v=""/>
    <s v=""/>
    <s v=""/>
    <s v=""/>
    <s v=""/>
    <s v=""/>
    <s v="Pipeline de Vendas"/>
    <s v="Em Fechamento (100%)"/>
    <s v=""/>
    <m/>
    <n v="6160"/>
    <n v="0"/>
    <n v="0"/>
    <s v="Paulo Souza"/>
    <d v="2025-02-01T00:00:00"/>
    <d v="1899-12-30T02:13:12"/>
    <s v=""/>
    <s v="Ganho"/>
    <d v="2025-02-01T00:00:00"/>
    <d v="1899-12-30T02:20:51"/>
    <s v=""/>
    <s v=""/>
    <s v=""/>
    <x v="34"/>
    <s v="Paulo Souza"/>
    <x v="43"/>
    <s v=""/>
    <m/>
    <m/>
    <s v=""/>
    <s v=""/>
    <s v=""/>
    <s v=""/>
    <n v="1"/>
  </r>
  <r>
    <x v="0"/>
    <n v="208"/>
    <m/>
    <n v="1673"/>
    <s v=""/>
    <s v=""/>
    <x v="71"/>
    <m/>
    <s v=""/>
    <s v="Giftutil"/>
    <s v=""/>
    <s v=""/>
    <s v="eduardapaivapaula@hotmail.com"/>
    <s v=""/>
    <s v=""/>
    <s v=""/>
    <s v=""/>
    <s v=""/>
    <s v=""/>
    <s v=""/>
    <s v=""/>
    <s v=""/>
    <s v="Pipeline de Vendas"/>
    <s v="Em Fechamento (100%)"/>
    <s v=""/>
    <m/>
    <n v="486308"/>
    <n v="3564"/>
    <n v="0"/>
    <s v="Paulo Souza"/>
    <d v="2025-02-01T00:00:00"/>
    <d v="1899-12-30T02:14:22"/>
    <s v=""/>
    <s v="Ganho"/>
    <d v="2025-02-01T00:00:00"/>
    <d v="1899-12-30T02:18:18"/>
    <s v=""/>
    <s v=""/>
    <s v=""/>
    <x v="25"/>
    <s v="Paulo Souza"/>
    <x v="23"/>
    <s v=""/>
    <m/>
    <m/>
    <s v=""/>
    <s v=""/>
    <s v=""/>
    <s v=""/>
    <n v="1"/>
  </r>
  <r>
    <x v="1"/>
    <n v="209"/>
    <m/>
    <n v="1710"/>
    <s v=""/>
    <s v=""/>
    <x v="72"/>
    <m/>
    <s v=""/>
    <s v="Maxximo Utilidades"/>
    <s v="11999804489"/>
    <s v=""/>
    <s v="flavio@maxximo.com.br"/>
    <s v=""/>
    <s v=""/>
    <s v=""/>
    <s v=""/>
    <s v=""/>
    <s v="Feiras"/>
    <s v=""/>
    <s v=""/>
    <s v=""/>
    <s v="Pipeline de Vendas"/>
    <s v="Apresentar Solução (35%)"/>
    <s v="6x sem juros (0/30/60/90/120/150...)"/>
    <m/>
    <m/>
    <m/>
    <n v="68"/>
    <s v="Junior Lopes"/>
    <d v="2025-02-06T00:00:00"/>
    <d v="1899-12-30T10:24:33"/>
    <s v=""/>
    <s v="Perdido"/>
    <d v="2025-04-15T00:00:00"/>
    <d v="1899-12-30T16:38:15"/>
    <s v="Projeto adiado / sem prazo definido"/>
    <s v="cliente não responde as mensagens, continuarei a prospectar em paralelo"/>
    <s v=""/>
    <x v="0"/>
    <s v=""/>
    <x v="44"/>
    <s v=""/>
    <m/>
    <m/>
    <s v=""/>
    <s v=""/>
    <s v=""/>
    <s v=""/>
    <n v="1"/>
  </r>
  <r>
    <x v="1"/>
    <n v="210"/>
    <m/>
    <n v="1711"/>
    <s v=""/>
    <s v=""/>
    <x v="73"/>
    <n v="12792269000137"/>
    <s v=""/>
    <s v="Plastutti"/>
    <s v="11983334304"/>
    <s v=""/>
    <s v="Thiago@plastutti.com.br"/>
    <s v=""/>
    <s v=""/>
    <s v=""/>
    <s v=""/>
    <s v=""/>
    <s v=""/>
    <s v=""/>
    <s v=""/>
    <s v="Abup2025Fevereiro"/>
    <s v="Pipeline de Vendas"/>
    <s v="Em Fechamento (100%)"/>
    <s v="10x sem juros (0/30/60/90/120/150...)"/>
    <m/>
    <n v="65920"/>
    <n v="481924"/>
    <n v="25"/>
    <s v="Junior Lopes"/>
    <d v="2025-02-06T00:00:00"/>
    <d v="1899-12-30T10:53:24"/>
    <s v=""/>
    <s v="Ganho"/>
    <d v="2025-03-03T00:00:00"/>
    <d v="1899-12-30T11:32:48"/>
    <s v=""/>
    <s v=""/>
    <s v=""/>
    <x v="35"/>
    <s v=""/>
    <x v="44"/>
    <s v="18/02/2025"/>
    <m/>
    <m/>
    <s v=""/>
    <s v=""/>
    <s v=""/>
    <s v=""/>
    <n v="1"/>
  </r>
  <r>
    <x v="1"/>
    <n v="211"/>
    <m/>
    <n v="1712"/>
    <s v=""/>
    <s v=""/>
    <x v="74"/>
    <m/>
    <s v=""/>
    <s v="Plastutti - Clou"/>
    <s v="11983334304"/>
    <s v=""/>
    <s v="Thiago@plastutti.com.br"/>
    <s v=""/>
    <s v=""/>
    <s v=""/>
    <s v=""/>
    <s v=""/>
    <s v=""/>
    <s v=""/>
    <s v=""/>
    <s v="Abup2025Fevereiro"/>
    <s v="Pipeline de Vendas"/>
    <s v="Em Fechamento (100%)"/>
    <s v=""/>
    <m/>
    <n v="1600"/>
    <n v="25908"/>
    <n v="14"/>
    <s v="Junior Lopes"/>
    <d v="2025-02-06T00:00:00"/>
    <d v="1899-12-30T11:39:54"/>
    <s v=""/>
    <s v="Perdido"/>
    <d v="2025-02-20T00:00:00"/>
    <d v="1899-12-30T15:57:59"/>
    <s v="Não quer mudar a solução atual"/>
    <s v="atualmente tem servidor local"/>
    <s v=""/>
    <x v="35"/>
    <s v=""/>
    <x v="44"/>
    <s v="18/02/2025"/>
    <m/>
    <m/>
    <s v=""/>
    <s v=""/>
    <s v=""/>
    <s v=""/>
    <n v="1"/>
  </r>
  <r>
    <x v="1"/>
    <n v="212"/>
    <m/>
    <n v="1713"/>
    <s v=""/>
    <s v=""/>
    <x v="75"/>
    <m/>
    <s v=""/>
    <s v="Cozzillar"/>
    <s v="1935479372"/>
    <s v=""/>
    <s v="gilberto@cozzillar.com.br"/>
    <s v=""/>
    <s v=""/>
    <s v=""/>
    <s v=""/>
    <s v=""/>
    <s v="Feiras"/>
    <s v=""/>
    <s v=""/>
    <s v=""/>
    <s v="Pipeline de Vendas"/>
    <s v="Apresentar Solução (35%)"/>
    <s v="6x sem juros (0/30/60/90/120/150...)"/>
    <m/>
    <m/>
    <m/>
    <n v="60"/>
    <s v="Junior Lopes"/>
    <d v="2025-02-06T00:00:00"/>
    <d v="1899-12-30T12:23:29"/>
    <s v=""/>
    <s v="Perdido"/>
    <d v="2025-04-07T00:00:00"/>
    <d v="1899-12-30T11:50:11"/>
    <s v="Projeto adiado / sem prazo definido"/>
    <s v="10:07, 02/04/2025 Junior Lopes: Olá Gilberto, Junior da Guarani sistemas por aqui _x000a_Espero que esteja bem _x000a_Ficamos de organizar uma visita com vocês para apresentação da solução Guarani sistemas_x000a_10:07, 02/04/2025 Junior Lopes: Vamos avançar?_x000a_09:21, 07/04/2025 Junior Lopes: Olá Gilberto! Infelizmente não consigo seu retorno _x000a_Entendo que deve estar bem corrido para você _x000a_De qualquer forma fico a disposição no momento que vc puder _x000a_Forte abraço e ótimos negócios _x000a_Jr Guarani sistemas"/>
    <s v=""/>
    <x v="0"/>
    <s v=""/>
    <x v="44"/>
    <s v=""/>
    <m/>
    <m/>
    <s v=""/>
    <s v=""/>
    <s v=""/>
    <s v=""/>
    <n v="1"/>
  </r>
  <r>
    <x v="1"/>
    <n v="213"/>
    <m/>
    <n v="1714"/>
    <s v=""/>
    <s v=""/>
    <x v="76"/>
    <m/>
    <s v=""/>
    <s v="Marca Textil"/>
    <s v="1168296999"/>
    <s v=""/>
    <s v="atendimento@markatextil.com.br"/>
    <s v=""/>
    <s v=""/>
    <s v=""/>
    <s v=""/>
    <s v=""/>
    <s v=""/>
    <s v=""/>
    <s v=""/>
    <s v=""/>
    <s v="Pipeline de Vendas"/>
    <s v="Qualificação de Vendas (SQL) (25%)"/>
    <s v=""/>
    <m/>
    <n v="14400"/>
    <n v="18034"/>
    <n v="43"/>
    <s v="Junior Lopes"/>
    <d v="2025-02-06T00:00:00"/>
    <d v="1899-12-30T12:36:48"/>
    <s v=""/>
    <s v="Perdido"/>
    <d v="2025-03-21T00:00:00"/>
    <d v="1899-12-30T14:36:30"/>
    <s v="Não quer mudar a solução atual"/>
    <s v="não seguirá no momento"/>
    <s v=""/>
    <x v="36"/>
    <s v=""/>
    <x v="44"/>
    <s v=""/>
    <m/>
    <m/>
    <s v=""/>
    <s v=""/>
    <s v=""/>
    <s v=""/>
    <n v="1"/>
  </r>
  <r>
    <x v="0"/>
    <n v="214"/>
    <m/>
    <n v="1661"/>
    <s v=""/>
    <s v=""/>
    <x v="77"/>
    <m/>
    <s v=""/>
    <s v="Carlos"/>
    <s v="(13) 99770-3018"/>
    <s v=""/>
    <s v="opa.eskinao.compras@gmail.com"/>
    <s v=""/>
    <s v=""/>
    <s v=""/>
    <s v="São Vicente"/>
    <s v=""/>
    <s v="Site"/>
    <s v=""/>
    <s v=""/>
    <s v=""/>
    <s v="Pipeline de Vendas"/>
    <s v="Em negociação (75%)"/>
    <s v=""/>
    <m/>
    <m/>
    <m/>
    <n v="0"/>
    <s v="Paulo Souza"/>
    <d v="2025-02-06T00:00:00"/>
    <d v="1899-12-30T13:55:00"/>
    <s v=""/>
    <s v="Perdido"/>
    <d v="2025-02-06T00:00:00"/>
    <d v="1899-12-30T17:30:59"/>
    <s v="Preço muito alto - fora do budget de investimento"/>
    <s v=""/>
    <s v=""/>
    <x v="37"/>
    <s v=""/>
    <x v="45"/>
    <s v=""/>
    <m/>
    <m/>
    <s v=""/>
    <s v=""/>
    <s v=""/>
    <s v=""/>
    <n v="1"/>
  </r>
  <r>
    <x v="0"/>
    <n v="215"/>
    <m/>
    <n v="1715"/>
    <s v=""/>
    <s v=""/>
    <x v="78"/>
    <m/>
    <s v=""/>
    <s v="João"/>
    <s v="(11) 94793-3497"/>
    <s v=""/>
    <s v="jvprocacino@gmail.com"/>
    <s v=""/>
    <s v=""/>
    <s v=""/>
    <s v=""/>
    <s v=""/>
    <s v="Site"/>
    <s v=""/>
    <s v=""/>
    <s v="Abcasa2025fevereiro;Solicita demo"/>
    <s v="Pipeline de Vendas"/>
    <s v="Em negociação (75%)"/>
    <s v=""/>
    <m/>
    <n v="43740"/>
    <n v="158239"/>
    <n v="13"/>
    <s v="Paulo Souza"/>
    <d v="2025-02-06T00:00:00"/>
    <d v="1899-12-30T13:55:44"/>
    <s v=""/>
    <s v="Perdido"/>
    <d v="2025-02-19T00:00:00"/>
    <d v="1899-12-30T09:18:02"/>
    <s v="Preço muito alto - fora do budget de investimento"/>
    <s v=""/>
    <s v=""/>
    <x v="38"/>
    <s v=""/>
    <x v="46"/>
    <s v=""/>
    <m/>
    <m/>
    <s v=""/>
    <s v=""/>
    <s v=""/>
    <s v=""/>
    <n v="1"/>
  </r>
  <r>
    <x v="0"/>
    <n v="219"/>
    <m/>
    <n v="1720"/>
    <s v=""/>
    <s v=""/>
    <x v="79"/>
    <m/>
    <s v=""/>
    <s v="Nassib Saleh"/>
    <s v="11951945790"/>
    <s v=""/>
    <s v="nassib.saleh58@gmail.com"/>
    <s v=""/>
    <s v=""/>
    <s v=""/>
    <s v=""/>
    <s v=""/>
    <s v=""/>
    <s v=""/>
    <s v=""/>
    <s v=""/>
    <s v="Pipeline de Vendas"/>
    <s v="Em Fechamento (100%)"/>
    <s v=""/>
    <m/>
    <n v="14400"/>
    <n v="122984"/>
    <n v="8"/>
    <s v="Paulo Souza"/>
    <d v="2025-02-06T00:00:00"/>
    <d v="1899-12-30T17:42:46"/>
    <s v=""/>
    <s v="Ganho"/>
    <d v="2025-02-14T00:00:00"/>
    <d v="1899-12-30T11:16:20"/>
    <s v=""/>
    <s v=""/>
    <s v=""/>
    <x v="39"/>
    <s v="Paulo Souza"/>
    <x v="46"/>
    <s v=""/>
    <m/>
    <m/>
    <s v=""/>
    <s v=""/>
    <s v=""/>
    <s v=""/>
    <n v="1"/>
  </r>
  <r>
    <x v="1"/>
    <n v="230"/>
    <m/>
    <n v="1734"/>
    <s v=""/>
    <s v=""/>
    <x v="80"/>
    <m/>
    <s v=""/>
    <s v="Oikos"/>
    <s v="21968201725"/>
    <s v=""/>
    <s v="michele.pepalia@grupoecoa.com.br"/>
    <s v=""/>
    <s v=""/>
    <s v=""/>
    <s v=""/>
    <s v=""/>
    <s v="Feiras"/>
    <s v=""/>
    <s v=""/>
    <s v="90%;Abcasa2025fevereiro"/>
    <s v="Pipeline de Vendas"/>
    <s v="Em Fechamento (100%)"/>
    <s v="6x sem juros (0/30/60/90/120/150...)"/>
    <m/>
    <n v="56000"/>
    <n v="2101739"/>
    <n v="161"/>
    <s v="Junior Lopes"/>
    <d v="2025-02-10T00:00:00"/>
    <d v="1899-12-30T07:54:34"/>
    <s v=""/>
    <s v="Perdido"/>
    <d v="2025-07-21T00:00:00"/>
    <d v="1899-12-30T09:46:56"/>
    <s v="Projeto adiado / sem prazo definido"/>
    <s v="cliente não responde sobre a continuidade"/>
    <s v=""/>
    <x v="40"/>
    <s v=""/>
    <x v="47"/>
    <s v=""/>
    <m/>
    <m/>
    <s v=""/>
    <s v=""/>
    <s v=""/>
    <s v=""/>
    <n v="1"/>
  </r>
  <r>
    <x v="0"/>
    <n v="231"/>
    <m/>
    <n v="1733"/>
    <s v="Todos os dados preenchidos:_x000a_name: Ana Beatriz Costa dos Santos  _x000a_phone: 12997420947 _x000a_email: administrativo@camposdiaromas.com"/>
    <s v="Stefanie Forsterling"/>
    <x v="81"/>
    <n v="14936505000258"/>
    <s v=""/>
    <s v="Ana Beatriz Costa dos Santos"/>
    <s v="(12) 3662-5043"/>
    <s v=""/>
    <s v="administrativo@camposdiaromas.com"/>
    <s v=""/>
    <s v=""/>
    <s v=""/>
    <s v="CAMPOS DO JORDAO"/>
    <s v="SP"/>
    <s v="Feiras"/>
    <s v=""/>
    <s v=""/>
    <s v="Feiras"/>
    <s v="Pipeline de Vendas"/>
    <s v="Qualificação de Vendas (SQL) (25%)"/>
    <s v=""/>
    <m/>
    <m/>
    <m/>
    <n v="38"/>
    <s v="Fernanda Santiago"/>
    <d v="2025-02-11T00:00:00"/>
    <d v="1899-12-30T15:36:50"/>
    <s v=""/>
    <s v="Perdido"/>
    <d v="2025-03-21T00:00:00"/>
    <d v="1899-12-30T15:15:41"/>
    <s v="Fora do porte mínimo (sem fite estrutural)"/>
    <s v="Lojas muitos pequenas"/>
    <s v="11/02/2025 15:30"/>
    <x v="0"/>
    <s v="Fernanda Santiago"/>
    <x v="48"/>
    <s v=""/>
    <m/>
    <m/>
    <s v=""/>
    <s v=""/>
    <s v=""/>
    <s v=""/>
    <n v="1"/>
  </r>
  <r>
    <x v="0"/>
    <n v="232"/>
    <m/>
    <n v="1704"/>
    <s v=""/>
    <s v=""/>
    <x v="82"/>
    <n v="29432229000187"/>
    <s v=""/>
    <s v="Adriana"/>
    <s v="(41) 99861-1071"/>
    <s v=""/>
    <s v="contato@euromats.com.br"/>
    <s v=""/>
    <s v=""/>
    <s v=""/>
    <s v=""/>
    <s v=""/>
    <s v="Base de empresas Leads2b"/>
    <s v=""/>
    <s v=""/>
    <s v="msgabupfevereiro2025;REP+"/>
    <s v="Pipeline de Vendas"/>
    <s v="Qualificação de Vendas (SQL) (25%)"/>
    <s v=""/>
    <m/>
    <m/>
    <m/>
    <n v="42"/>
    <s v="Fernanda Santiago"/>
    <d v="2025-02-12T00:00:00"/>
    <d v="1899-12-30T10:51:17"/>
    <s v=""/>
    <s v="Perdido"/>
    <d v="2025-03-26T00:00:00"/>
    <d v="1899-12-30T17:34:58"/>
    <s v="Preço muito alto - fora do budget de investimento"/>
    <s v=""/>
    <s v="12/02/2025 08:00"/>
    <x v="0"/>
    <s v="Fernanda Santiago"/>
    <x v="49"/>
    <s v=""/>
    <m/>
    <m/>
    <s v=""/>
    <s v=""/>
    <s v=""/>
    <s v=""/>
    <n v="1"/>
  </r>
  <r>
    <x v="1"/>
    <n v="233"/>
    <m/>
    <n v="1747"/>
    <s v=""/>
    <s v=""/>
    <x v="83"/>
    <m/>
    <s v=""/>
    <s v="Ad &amp; Ad Comercio de Importacao"/>
    <s v="14996930353"/>
    <s v=""/>
    <s v="daniel@adimportacao.com.br"/>
    <s v=""/>
    <s v=""/>
    <s v=""/>
    <s v=""/>
    <s v=""/>
    <s v=""/>
    <s v=""/>
    <s v=""/>
    <s v="Abcasa2025fevereiro"/>
    <s v="Pipeline de Vendas"/>
    <s v="Em Fechamento (100%)"/>
    <s v=""/>
    <m/>
    <n v="60534"/>
    <n v="27562"/>
    <n v="18"/>
    <s v="Junior Lopes"/>
    <d v="2025-02-13T00:00:00"/>
    <d v="1899-12-30T10:18:19"/>
    <s v=""/>
    <s v="Ganho"/>
    <d v="2025-03-03T00:00:00"/>
    <d v="1899-12-30T11:33:34"/>
    <s v=""/>
    <s v=""/>
    <s v=""/>
    <x v="41"/>
    <s v=""/>
    <x v="47"/>
    <s v=""/>
    <m/>
    <m/>
    <s v=""/>
    <s v=""/>
    <s v=""/>
    <s v=""/>
    <n v="1"/>
  </r>
  <r>
    <x v="1"/>
    <n v="234"/>
    <m/>
    <n v="1748"/>
    <s v=""/>
    <s v=""/>
    <x v="84"/>
    <n v="26981837000152"/>
    <s v=""/>
    <s v="Chamma Festas (PDV)"/>
    <s v="(61) 9145-0480"/>
    <s v=""/>
    <s v="chammasuprimentos@hotmail.com"/>
    <s v=""/>
    <s v=""/>
    <s v=""/>
    <s v="BRASILIA"/>
    <s v="DF"/>
    <s v=""/>
    <s v=""/>
    <s v=""/>
    <s v="Abcasa2025fevereiro"/>
    <s v="Pipeline de Vendas"/>
    <s v="Apresentar Proposta (50%)"/>
    <s v=""/>
    <m/>
    <n v="40440"/>
    <n v="340574"/>
    <n v="11"/>
    <s v="Junior Lopes"/>
    <d v="2025-02-13T00:00:00"/>
    <d v="1899-12-30T10:49:31"/>
    <s v=""/>
    <s v="Perdido"/>
    <d v="2025-02-24T00:00:00"/>
    <d v="1899-12-30T16:44:24"/>
    <s v="Preço muito alto - fora do budget de investimento"/>
    <s v="14:59, 14/02/2025 Robson Chamma Festa: Obrigado júnior_x000a_14:59, 17/02/2025 Robson Chamma Festa: Oi Junior, ficou bem fora do nosso orçamento. No momento não vamos levar adiante. Fico grato pela sua atenção."/>
    <s v=""/>
    <x v="41"/>
    <s v=""/>
    <x v="50"/>
    <s v=""/>
    <m/>
    <m/>
    <s v=""/>
    <s v=""/>
    <s v=""/>
    <s v=""/>
    <n v="1"/>
  </r>
  <r>
    <x v="1"/>
    <n v="235"/>
    <m/>
    <n v="1750"/>
    <s v=""/>
    <s v=""/>
    <x v="85"/>
    <n v="43530585000164"/>
    <s v=""/>
    <s v="P10 Importadora"/>
    <s v="(49) 8817-6299"/>
    <s v=""/>
    <s v="prioridade10e20financeiro@hotmail.com"/>
    <s v=""/>
    <s v=""/>
    <s v=""/>
    <s v="CUNHA PORA"/>
    <s v="SC"/>
    <s v=""/>
    <s v=""/>
    <s v=""/>
    <s v="Abcasa2025fevereiro"/>
    <s v="Pipeline de Vendas"/>
    <s v="Apresentar Proposta (50%)"/>
    <s v=""/>
    <m/>
    <n v="4663152"/>
    <n v="15528"/>
    <n v="11"/>
    <s v="Junior Lopes"/>
    <d v="2025-02-13T00:00:00"/>
    <d v="1899-12-30T11:07:42"/>
    <s v=""/>
    <s v="Perdido"/>
    <d v="2025-02-24T00:00:00"/>
    <d v="1899-12-30T17:13:56"/>
    <s v="Preço muito alto - fora do budget de investimento"/>
    <s v="Bom dia_x000a_Junior, achei o sistema completo, não foge do que outras empresas proporcionam no mercado… no entanto, achei o valor de implantação muito elevado, da próximo de 80 mil reais pra fazer a implantação de um sistema"/>
    <s v=""/>
    <x v="42"/>
    <s v=""/>
    <x v="50"/>
    <s v=""/>
    <m/>
    <m/>
    <s v=""/>
    <s v=""/>
    <s v=""/>
    <s v=""/>
    <n v="1"/>
  </r>
  <r>
    <x v="1"/>
    <n v="236"/>
    <m/>
    <n v="1754"/>
    <s v=""/>
    <s v=""/>
    <x v="86"/>
    <n v="43530585000164"/>
    <s v=""/>
    <s v="P10 IMPORTADORA"/>
    <s v="(49) 8817-6299"/>
    <s v=""/>
    <s v="prioridade10e20financeiro@hotmail.com"/>
    <s v=""/>
    <s v=""/>
    <s v=""/>
    <s v="CUNHA PORA"/>
    <s v="SC"/>
    <s v=""/>
    <s v=""/>
    <s v=""/>
    <s v="Abcasa2025fevereiro"/>
    <s v="Pipeline de Vendas"/>
    <s v="Apresentar Proposta (50%)"/>
    <s v=""/>
    <m/>
    <n v="23580"/>
    <n v="3060"/>
    <n v="11"/>
    <s v="Junior Lopes"/>
    <d v="2025-02-13T00:00:00"/>
    <d v="1899-12-30T11:14:38"/>
    <s v=""/>
    <s v="Perdido"/>
    <d v="2025-02-24T00:00:00"/>
    <d v="1899-12-30T17:14:25"/>
    <s v="Preço muito alto - fora do budget de investimento"/>
    <s v="Bom dia_x000a_Junior, achei o sistema completo, não foge do que outras empresas proporcionam no mercado… no entanto, achei o valor de implantação muito elevado, da próximo de 80 mil reais pra fazer a implantação de um sistema"/>
    <s v=""/>
    <x v="42"/>
    <s v=""/>
    <x v="50"/>
    <s v=""/>
    <m/>
    <m/>
    <s v=""/>
    <s v=""/>
    <s v=""/>
    <s v=""/>
    <n v="1"/>
  </r>
  <r>
    <x v="1"/>
    <n v="237"/>
    <m/>
    <n v="1758"/>
    <s v=""/>
    <s v=""/>
    <x v="87"/>
    <n v="12182313000197"/>
    <s v=""/>
    <s v="PLASBERG INDUSTRIA E COMERCIO"/>
    <s v="(75) 2102-2102 / (75) 2101-2101"/>
    <s v=""/>
    <s v="cadastro@asseplan.cnt.br"/>
    <s v=""/>
    <s v=""/>
    <s v=""/>
    <s v="Feira de Santana"/>
    <s v="BA"/>
    <s v="Feiras"/>
    <s v=""/>
    <s v=""/>
    <s v="Abcasa2025fevereiro"/>
    <s v="Pipeline de Vendas"/>
    <s v="Apresentar Proposta (50%)"/>
    <s v="6x sem juros (0/30/60/90/120/150...)"/>
    <m/>
    <n v="85500"/>
    <n v="769354"/>
    <n v="62"/>
    <s v="Junior Lopes"/>
    <d v="2025-02-13T00:00:00"/>
    <d v="1899-12-30T11:27:23"/>
    <s v=""/>
    <s v="Perdido"/>
    <d v="2025-04-16T00:00:00"/>
    <d v="1899-12-30T09:27:55"/>
    <s v="Projeto adiado / sem prazo definido"/>
    <s v="Breno não responde as mensagens ! estou fechando oportunidade mas continuo em busca da oportunidade"/>
    <s v=""/>
    <x v="43"/>
    <s v=""/>
    <x v="47"/>
    <s v=""/>
    <m/>
    <m/>
    <s v=""/>
    <s v=""/>
    <s v=""/>
    <s v=""/>
    <n v="1"/>
  </r>
  <r>
    <x v="0"/>
    <n v="242"/>
    <m/>
    <n v="1746"/>
    <s v=""/>
    <s v=""/>
    <x v="88"/>
    <n v="865166000170"/>
    <s v=""/>
    <s v="Renor Preto"/>
    <s v="(19) 99188-1436"/>
    <s v=""/>
    <s v="renor.preto@adere.com"/>
    <s v=""/>
    <s v=""/>
    <s v=""/>
    <s v="Juiz de Fora"/>
    <s v=""/>
    <s v="Site"/>
    <s v=""/>
    <s v=""/>
    <s v="MORNO;Solicita demo"/>
    <s v="Pipeline de Vendas"/>
    <s v="Em negociação (75%)"/>
    <s v=""/>
    <m/>
    <m/>
    <m/>
    <n v="25"/>
    <s v="Paulo Souza"/>
    <d v="2025-02-13T00:00:00"/>
    <d v="1899-12-30T17:39:49"/>
    <s v=""/>
    <s v="Perdido"/>
    <d v="2025-03-10T00:00:00"/>
    <d v="1899-12-30T17:37:28"/>
    <s v="Nossa solução não atende - falta funcionalidade"/>
    <s v=""/>
    <s v=""/>
    <x v="0"/>
    <s v="Paulo Souza"/>
    <x v="51"/>
    <s v=""/>
    <m/>
    <m/>
    <s v=""/>
    <s v=""/>
    <s v=""/>
    <s v=""/>
    <n v="1"/>
  </r>
  <r>
    <x v="0"/>
    <n v="245"/>
    <m/>
    <n v="1763"/>
    <s v=""/>
    <s v=""/>
    <x v="89"/>
    <n v="30164963000191"/>
    <s v=""/>
    <s v="FERNANDA ALVES"/>
    <s v="(11) 99763-3759"/>
    <s v=""/>
    <s v="fernanda@jlkplasticos.com.br"/>
    <s v=""/>
    <s v=""/>
    <s v=""/>
    <s v="São Paulo"/>
    <s v=""/>
    <s v="Site"/>
    <s v=""/>
    <s v=""/>
    <s v="Abcasa2025fevereiro;Solicita demo"/>
    <s v="Pipeline de Vendas"/>
    <s v="Em Fechamento (100%)"/>
    <s v=""/>
    <m/>
    <n v="46332"/>
    <n v="257546"/>
    <n v="35"/>
    <s v="Paulo Souza"/>
    <d v="2025-02-14T00:00:00"/>
    <d v="1899-12-30T11:03:12"/>
    <s v=""/>
    <s v="Ganho"/>
    <d v="2025-03-21T00:00:00"/>
    <d v="1899-12-30T14:50:46"/>
    <s v=""/>
    <s v=""/>
    <s v=""/>
    <x v="44"/>
    <s v="Paulo Souza"/>
    <x v="51"/>
    <s v=""/>
    <m/>
    <m/>
    <s v=""/>
    <s v=""/>
    <s v=""/>
    <s v=""/>
    <n v="1"/>
  </r>
  <r>
    <x v="0"/>
    <n v="246"/>
    <m/>
    <n v="1768"/>
    <s v=""/>
    <s v=""/>
    <x v="90"/>
    <m/>
    <s v=""/>
    <s v="Nacib"/>
    <s v="11951945790"/>
    <s v=""/>
    <s v="nassib.saleh58@gmail.com"/>
    <s v=""/>
    <s v=""/>
    <s v=""/>
    <s v=""/>
    <s v=""/>
    <s v=""/>
    <s v=""/>
    <s v=""/>
    <s v=""/>
    <s v="Pipeline de Vendas"/>
    <s v="Em Fechamento (100%)"/>
    <s v=""/>
    <m/>
    <n v="0"/>
    <n v="3062"/>
    <n v="0"/>
    <s v="Paulo Souza"/>
    <d v="2025-02-14T00:00:00"/>
    <d v="1899-12-30T11:22:59"/>
    <s v=""/>
    <s v="Ganho"/>
    <d v="2025-02-14T00:00:00"/>
    <d v="1899-12-30T11:27:19"/>
    <s v=""/>
    <s v=""/>
    <s v=""/>
    <x v="41"/>
    <s v="Paulo Souza"/>
    <x v="52"/>
    <s v=""/>
    <m/>
    <m/>
    <s v=""/>
    <s v=""/>
    <s v=""/>
    <s v=""/>
    <n v="1"/>
  </r>
  <r>
    <x v="0"/>
    <n v="248"/>
    <m/>
    <n v="1770"/>
    <s v=""/>
    <s v=""/>
    <x v="91"/>
    <m/>
    <s v=""/>
    <s v="Caetano"/>
    <s v="11941743784"/>
    <s v=""/>
    <s v="aflordk@gmail.com"/>
    <s v=""/>
    <s v=""/>
    <s v=""/>
    <s v=""/>
    <s v=""/>
    <s v="Feiras"/>
    <s v=""/>
    <s v=""/>
    <s v="Abcasa2025fevereiro"/>
    <s v="Pipeline de Vendas"/>
    <s v="Em negociação (75%)"/>
    <s v="6x sem juros (0/30/60/90/120/150...)"/>
    <m/>
    <n v="64600"/>
    <n v="199064"/>
    <n v="53"/>
    <s v="Paulo Souza"/>
    <d v="2025-02-14T00:00:00"/>
    <d v="1899-12-30T16:18:04"/>
    <s v=""/>
    <s v="Perdido"/>
    <d v="2025-04-08T00:00:00"/>
    <d v="1899-12-30T09:04:24"/>
    <s v="Não quer mudar a solução atual"/>
    <s v=""/>
    <s v=""/>
    <x v="42"/>
    <s v=""/>
    <x v="52"/>
    <s v=""/>
    <m/>
    <m/>
    <s v=""/>
    <s v=""/>
    <s v=""/>
    <s v=""/>
    <n v="1"/>
  </r>
  <r>
    <x v="0"/>
    <n v="249"/>
    <m/>
    <n v="1771"/>
    <s v=""/>
    <s v=""/>
    <x v="92"/>
    <m/>
    <s v=""/>
    <s v="Keila"/>
    <s v="11996600206"/>
    <s v=""/>
    <s v="null"/>
    <s v=""/>
    <s v=""/>
    <s v=""/>
    <s v=""/>
    <s v=""/>
    <s v="Indicação"/>
    <s v=""/>
    <s v=""/>
    <s v="Abcasa2025fevereiro"/>
    <s v="Pipeline de Vendas"/>
    <s v="Em negociação (75%)"/>
    <s v="6x sem juros (0/30/60/90/120/150...)"/>
    <m/>
    <n v="16000"/>
    <n v="3724"/>
    <n v="116"/>
    <s v="Paulo Souza"/>
    <d v="2025-02-14T00:00:00"/>
    <d v="1899-12-30T16:24:00"/>
    <s v=""/>
    <s v="Perdido"/>
    <d v="2025-06-10T00:00:00"/>
    <d v="1899-12-30T14:49:46"/>
    <s v="Não quer mudar a solução atual"/>
    <s v=""/>
    <s v=""/>
    <x v="45"/>
    <s v="Paulo Souza"/>
    <x v="53"/>
    <s v=""/>
    <m/>
    <m/>
    <s v=""/>
    <s v=""/>
    <s v=""/>
    <s v=""/>
    <n v="1"/>
  </r>
  <r>
    <x v="0"/>
    <n v="250"/>
    <m/>
    <n v="1772"/>
    <s v=""/>
    <s v=""/>
    <x v="93"/>
    <m/>
    <s v=""/>
    <s v="Fabio"/>
    <s v="11981721166"/>
    <s v=""/>
    <s v="null"/>
    <s v=""/>
    <s v=""/>
    <s v=""/>
    <s v=""/>
    <s v=""/>
    <s v="Feiras"/>
    <s v=""/>
    <s v=""/>
    <s v="30%;Abcasa2025fevereiro;Pausado"/>
    <s v="Pipeline de Vendas"/>
    <s v="Apresentar Solução (35%)"/>
    <s v="6x sem juros (0/30/60/90/120/150...)"/>
    <d v="2028-07-01T00:00:00"/>
    <m/>
    <m/>
    <n v="208"/>
    <s v="Paulo Souza"/>
    <d v="2025-02-14T00:00:00"/>
    <d v="1899-12-30T16:27:14"/>
    <s v=""/>
    <s v="Perdido"/>
    <d v="2025-09-10T00:00:00"/>
    <d v="1899-12-30T16:11:00"/>
    <s v="Projeto adiado / sem prazo definido"/>
    <s v=""/>
    <s v=""/>
    <x v="0"/>
    <s v="Paulo Souza"/>
    <x v="54"/>
    <s v=""/>
    <m/>
    <m/>
    <s v=""/>
    <s v=""/>
    <s v=""/>
    <s v=""/>
    <n v="1"/>
  </r>
  <r>
    <x v="0"/>
    <n v="253"/>
    <m/>
    <n v="1776"/>
    <s v=""/>
    <s v=""/>
    <x v="94"/>
    <m/>
    <s v=""/>
    <s v="Guga"/>
    <s v="31984513164"/>
    <s v=""/>
    <s v="null"/>
    <s v=""/>
    <s v=""/>
    <s v=""/>
    <s v=""/>
    <s v=""/>
    <s v="Feiras"/>
    <s v=""/>
    <s v=""/>
    <s v="Abcasa2025fevereiro;Pausado"/>
    <s v="Pipeline de Vendas"/>
    <s v="Em negociação (75%)"/>
    <s v="6x sem juros (0/30/60/90/120/150...)"/>
    <d v="2026-01-15T00:00:00"/>
    <n v="48000"/>
    <n v="1690959"/>
    <n v="299"/>
    <s v="Paulo Souza"/>
    <d v="2025-02-14T00:00:00"/>
    <d v="1899-12-30T17:28:04"/>
    <s v=""/>
    <s v="Perdido"/>
    <d v="2025-12-10T00:00:00"/>
    <d v="1899-12-30T17:09:31"/>
    <s v="Não quer mudar a solução atual"/>
    <s v=""/>
    <s v=""/>
    <x v="46"/>
    <s v="Paulo Souza"/>
    <x v="51"/>
    <s v=""/>
    <m/>
    <m/>
    <s v=""/>
    <s v=""/>
    <s v=""/>
    <s v=""/>
    <n v="1"/>
  </r>
  <r>
    <x v="0"/>
    <n v="254"/>
    <m/>
    <n v="1777"/>
    <s v=""/>
    <s v=""/>
    <x v="95"/>
    <m/>
    <s v=""/>
    <s v="Emilio"/>
    <s v="11947392525"/>
    <s v=""/>
    <s v="null"/>
    <s v=""/>
    <s v=""/>
    <s v=""/>
    <s v=""/>
    <s v=""/>
    <s v="Feiras"/>
    <s v=""/>
    <s v=""/>
    <s v="Abcasa2025fevereiro"/>
    <s v="Pipeline de Vendas"/>
    <s v="Qualificação de Vendas (SQL) (25%)"/>
    <s v="6x sem juros (0/30/60/90/120/150...)"/>
    <m/>
    <m/>
    <m/>
    <n v="40"/>
    <s v="Paulo Souza"/>
    <d v="2025-02-14T00:00:00"/>
    <d v="1899-12-30T17:35:16"/>
    <s v=""/>
    <s v="Perdido"/>
    <d v="2025-03-26T00:00:00"/>
    <d v="1899-12-30T17:30:46"/>
    <s v="Fora do porte mínimo (sem fit estrutural)"/>
    <s v=""/>
    <s v=""/>
    <x v="0"/>
    <s v=""/>
    <x v="51"/>
    <s v=""/>
    <m/>
    <m/>
    <s v=""/>
    <s v=""/>
    <s v=""/>
    <s v=""/>
    <n v="1"/>
  </r>
  <r>
    <x v="0"/>
    <n v="255"/>
    <m/>
    <n v="1778"/>
    <s v=""/>
    <s v=""/>
    <x v="96"/>
    <m/>
    <s v=""/>
    <s v="Tiago - Diretor da Empresa"/>
    <s v="54981340574"/>
    <s v=""/>
    <s v="null"/>
    <s v=""/>
    <s v=""/>
    <s v=""/>
    <s v=""/>
    <s v=""/>
    <s v="Feiras"/>
    <s v=""/>
    <s v=""/>
    <s v="Abcasa2025fevereiro"/>
    <s v="Pipeline de Vendas"/>
    <s v="Qualificação de Vendas (SQL) (25%)"/>
    <s v="6x sem juros (0/30/60/90/120/150...)"/>
    <m/>
    <m/>
    <m/>
    <n v="116"/>
    <s v="Paulo Souza"/>
    <d v="2025-02-14T00:00:00"/>
    <d v="1899-12-30T17:37:06"/>
    <s v=""/>
    <s v="Perdido"/>
    <d v="2025-06-10T00:00:00"/>
    <d v="1899-12-30T14:50:38"/>
    <s v="Projeto adiado / sem prazo definido"/>
    <s v=""/>
    <s v=""/>
    <x v="0"/>
    <s v=""/>
    <x v="54"/>
    <s v=""/>
    <m/>
    <m/>
    <s v=""/>
    <s v=""/>
    <s v=""/>
    <s v=""/>
    <n v="1"/>
  </r>
  <r>
    <x v="0"/>
    <n v="256"/>
    <m/>
    <n v="1781"/>
    <s v=""/>
    <s v=""/>
    <x v="97"/>
    <m/>
    <s v=""/>
    <s v="Wanessa"/>
    <s v="38998346343"/>
    <s v=""/>
    <s v="rh@xododeminasmoc.com.br"/>
    <s v=""/>
    <s v=""/>
    <s v=""/>
    <s v=""/>
    <s v=""/>
    <s v="Indicação"/>
    <s v=""/>
    <s v=""/>
    <s v=""/>
    <s v="Pipeline de Vendas"/>
    <s v="Apresentar Solução (35%)"/>
    <s v="6x sem juros (0/30/60/90/120/150...)"/>
    <m/>
    <m/>
    <m/>
    <n v="37"/>
    <s v="Paulo Souza"/>
    <d v="2025-02-17T00:00:00"/>
    <d v="1899-12-30T12:20:30"/>
    <s v=""/>
    <s v="Perdido"/>
    <d v="2025-03-26T00:00:00"/>
    <d v="1899-12-30T17:36:27"/>
    <s v="Não quer mudar a solução atual"/>
    <s v=""/>
    <s v=""/>
    <x v="47"/>
    <s v="Paulo Souza"/>
    <x v="54"/>
    <s v=""/>
    <m/>
    <m/>
    <s v=""/>
    <s v=""/>
    <s v=""/>
    <s v=""/>
    <n v="1"/>
  </r>
  <r>
    <x v="0"/>
    <n v="257"/>
    <m/>
    <n v="1780"/>
    <s v=""/>
    <s v=""/>
    <x v="98"/>
    <m/>
    <s v=""/>
    <s v="Waldemar"/>
    <s v="(43) 99141-6611"/>
    <s v=""/>
    <s v="ti@gelonisorvetes.com.br"/>
    <s v=""/>
    <s v=""/>
    <s v=""/>
    <s v="Flórida"/>
    <s v=""/>
    <s v="Site"/>
    <s v=""/>
    <s v=""/>
    <s v="Abcasa2025fevereiro;Contato;GELADO"/>
    <s v="Pipeline de Vendas"/>
    <s v="Em negociação (75%)"/>
    <s v="6x sem juros (0/30/60/90/120/150...)"/>
    <m/>
    <n v="1234935"/>
    <n v="833725"/>
    <n v="113"/>
    <s v="Paulo Souza"/>
    <d v="2025-02-17T00:00:00"/>
    <d v="1899-12-30T12:55:36"/>
    <s v=""/>
    <s v="Perdido"/>
    <d v="2025-06-10T00:00:00"/>
    <d v="1899-12-30T14:38:18"/>
    <s v="Fechou com o concorrente - preço"/>
    <s v=""/>
    <s v=""/>
    <x v="47"/>
    <s v="Paulo Souza"/>
    <x v="54"/>
    <s v=""/>
    <m/>
    <m/>
    <s v=""/>
    <s v=""/>
    <s v=""/>
    <s v=""/>
    <n v="1"/>
  </r>
  <r>
    <x v="0"/>
    <n v="258"/>
    <m/>
    <n v="1782"/>
    <s v=""/>
    <s v=""/>
    <x v="99"/>
    <m/>
    <s v=""/>
    <s v="Elton"/>
    <s v="73999081706"/>
    <s v=""/>
    <s v="frutyba.rh@hotmail.com"/>
    <s v=""/>
    <s v=""/>
    <s v=""/>
    <s v=""/>
    <s v=""/>
    <s v=""/>
    <s v=""/>
    <s v=""/>
    <s v="Abcasa2025fevereiro"/>
    <s v="Pipeline de Vendas"/>
    <s v="Em negociação (75%)"/>
    <s v=""/>
    <m/>
    <m/>
    <m/>
    <n v="21"/>
    <s v="Paulo Souza"/>
    <d v="2025-02-17T00:00:00"/>
    <d v="1899-12-30T12:57:36"/>
    <s v=""/>
    <s v="Perdido"/>
    <d v="2025-03-10T00:00:00"/>
    <d v="1899-12-30T17:40:22"/>
    <s v="Preço muito alto - fora do budget de investimento"/>
    <s v=""/>
    <s v=""/>
    <x v="47"/>
    <s v="Paulo Souza"/>
    <x v="54"/>
    <s v=""/>
    <m/>
    <m/>
    <s v=""/>
    <s v=""/>
    <s v=""/>
    <s v=""/>
    <n v="1"/>
  </r>
  <r>
    <x v="0"/>
    <n v="259"/>
    <m/>
    <n v="1783"/>
    <s v=""/>
    <s v=""/>
    <x v="100"/>
    <m/>
    <s v=""/>
    <s v="Jose e Felipe"/>
    <s v="11997681796"/>
    <s v=""/>
    <s v="null"/>
    <s v=""/>
    <s v=""/>
    <s v=""/>
    <s v=""/>
    <s v=""/>
    <s v="Feiras"/>
    <s v=""/>
    <s v=""/>
    <s v="Abup2025Fevereiro;Pausado"/>
    <s v="Pipeline de Vendas"/>
    <s v="Qualificação de Vendas (SQL) (25%)"/>
    <s v="6x sem juros (0/30/60/90/120/150...)"/>
    <m/>
    <m/>
    <m/>
    <n v="75"/>
    <s v="Paulo Souza"/>
    <d v="2025-02-17T00:00:00"/>
    <d v="1899-12-30T13:19:01"/>
    <s v=""/>
    <s v="Perdido"/>
    <d v="2025-05-03T00:00:00"/>
    <d v="1899-12-30T11:01:03"/>
    <s v="Projeto adiado / sem prazo definido"/>
    <s v=""/>
    <s v=""/>
    <x v="0"/>
    <s v="Paulo Souza"/>
    <x v="55"/>
    <s v=""/>
    <m/>
    <m/>
    <s v=""/>
    <s v=""/>
    <s v=""/>
    <s v=""/>
    <n v="1"/>
  </r>
  <r>
    <x v="0"/>
    <n v="260"/>
    <m/>
    <n v="1785"/>
    <s v=""/>
    <s v=""/>
    <x v="101"/>
    <m/>
    <s v=""/>
    <s v="Luis Felips"/>
    <s v="11964237222"/>
    <s v=""/>
    <s v="null"/>
    <s v=""/>
    <s v=""/>
    <s v=""/>
    <s v=""/>
    <s v=""/>
    <s v="Feiras"/>
    <s v=""/>
    <s v=""/>
    <s v="Abup2025Fevereiro"/>
    <s v="Pipeline de Vendas"/>
    <s v="Qualificação de Vendas (SQL) (25%)"/>
    <s v="6x sem juros (0/30/60/90/120/150...)"/>
    <m/>
    <m/>
    <m/>
    <n v="37"/>
    <s v="Paulo Souza"/>
    <d v="2025-02-17T00:00:00"/>
    <d v="1899-12-30T13:24:02"/>
    <s v=""/>
    <s v="Perdido"/>
    <d v="2025-03-26T00:00:00"/>
    <d v="1899-12-30T17:33:35"/>
    <s v="Preço muito alto - fora do budget de investimento"/>
    <s v=""/>
    <s v=""/>
    <x v="0"/>
    <s v="Paulo Souza"/>
    <x v="55"/>
    <s v=""/>
    <m/>
    <m/>
    <s v=""/>
    <s v=""/>
    <s v=""/>
    <s v=""/>
    <n v="1"/>
  </r>
  <r>
    <x v="1"/>
    <n v="261"/>
    <m/>
    <n v="1786"/>
    <s v=""/>
    <s v=""/>
    <x v="102"/>
    <m/>
    <s v=""/>
    <s v="Prioridade 10"/>
    <s v="49991999161"/>
    <s v=""/>
    <s v="prioridade10e20financeiro@hotmail.com"/>
    <s v=""/>
    <s v=""/>
    <s v=""/>
    <s v=""/>
    <s v=""/>
    <s v=""/>
    <s v=""/>
    <s v=""/>
    <s v="Abcasa2025fevereiro"/>
    <s v="Pipeline de Vendas"/>
    <s v="Apresentar Proposta (50%)"/>
    <s v=""/>
    <m/>
    <n v="1600"/>
    <n v="2101"/>
    <n v="7"/>
    <s v="Junior Lopes"/>
    <d v="2025-02-17T00:00:00"/>
    <d v="1899-12-30T14:58:43"/>
    <s v=""/>
    <s v="Perdido"/>
    <d v="2025-02-24T00:00:00"/>
    <d v="1899-12-30T17:14:55"/>
    <s v="Preço muito alto - fora do budget de investimento"/>
    <s v="Bom dia_x000a_Junior, achei o sistema completo, não foge do que outras empresas proporcionam no mercado… no entanto, achei o valor de implantação muito elevado, da próximo de 80 mil reais pra fazer a implantação de um sistema"/>
    <s v=""/>
    <x v="42"/>
    <s v=""/>
    <x v="50"/>
    <s v=""/>
    <m/>
    <m/>
    <s v=""/>
    <s v=""/>
    <s v=""/>
    <s v=""/>
    <n v="1"/>
  </r>
  <r>
    <x v="0"/>
    <n v="263"/>
    <m/>
    <n v="1790"/>
    <s v="Falei com a Suzana sobre a sequencia do projeto. Ela esta de férias e retorna na semana do dia 12/01e vamos retomar. _x000a_Ligar para Susana no dia 14/01._x000a_23/01 Fiz FUP com a Susana que estava de férias e retornou hoje. Combinamos de eu Enviar para ela o form para ela preencher e após fazer a proposta ._x000a_17/02 Por falta de interação e interesse, estou declinando o lead."/>
    <s v=""/>
    <x v="103"/>
    <m/>
    <s v=""/>
    <s v="Suzana"/>
    <s v="11914779683"/>
    <s v=""/>
    <s v="null"/>
    <s v=""/>
    <s v=""/>
    <s v=""/>
    <s v=""/>
    <s v=""/>
    <s v="Outbound"/>
    <s v=""/>
    <s v=""/>
    <s v="50%"/>
    <s v="Pipeline de Vendas"/>
    <s v="Apresentar Proposta (50%)"/>
    <s v="6x sem juros (0/30/60/90/120/150...)"/>
    <d v="2026-01-31T00:00:00"/>
    <m/>
    <m/>
    <n v="364"/>
    <s v="Paulo Souza"/>
    <d v="2025-02-18T00:00:00"/>
    <d v="1899-12-30T10:00:38"/>
    <s v=""/>
    <s v="Perdido"/>
    <d v="2026-02-17T00:00:00"/>
    <d v="1899-12-30T14:29:08"/>
    <s v="Projeto adiado / sem prazo definido"/>
    <s v="17/02 Por falta de interação e interesse, estou declinando o lead."/>
    <s v=""/>
    <x v="48"/>
    <s v="Paulo Souza"/>
    <x v="56"/>
    <s v="21/11/2025"/>
    <d v="2026-01-23T00:00:00"/>
    <n v="50"/>
    <s v=""/>
    <s v=""/>
    <s v=""/>
    <s v=""/>
    <n v="1"/>
  </r>
  <r>
    <x v="1"/>
    <n v="266"/>
    <m/>
    <n v="1866"/>
    <s v=""/>
    <s v=""/>
    <x v="104"/>
    <n v="8652421000109"/>
    <s v=""/>
    <s v="Berenardi &amp; Bernardi"/>
    <s v="(55) 3744-6412 / (55) 3744-3600"/>
    <s v=""/>
    <s v="pedidos@suifarma.com.br"/>
    <s v=""/>
    <s v=""/>
    <s v=""/>
    <s v="FREDERICO WESTPHALEN"/>
    <s v="RS"/>
    <s v=""/>
    <s v=""/>
    <s v=""/>
    <s v=""/>
    <s v="Pipeline de Vendas"/>
    <s v="Qualificação de Vendas (SQL) (25%)"/>
    <s v=""/>
    <m/>
    <n v="14400"/>
    <n v="18034"/>
    <n v="30"/>
    <s v="Junior Lopes"/>
    <d v="2025-02-19T00:00:00"/>
    <d v="1899-12-30T17:02:21"/>
    <s v=""/>
    <s v="Perdido"/>
    <d v="2025-03-21T00:00:00"/>
    <d v="1899-12-30T14:43:49"/>
    <s v="Não quer mudar a solução atual"/>
    <s v="cliente esfriou após envio da proposta"/>
    <s v=""/>
    <x v="49"/>
    <s v=""/>
    <x v="57"/>
    <s v=""/>
    <m/>
    <m/>
    <s v=""/>
    <s v=""/>
    <s v=""/>
    <s v=""/>
    <n v="1"/>
  </r>
  <r>
    <x v="1"/>
    <n v="267"/>
    <m/>
    <n v="1871"/>
    <s v=""/>
    <s v=""/>
    <x v="105"/>
    <n v="21969045000149"/>
    <s v=""/>
    <s v="Açomix"/>
    <s v="(18) 3638-8000"/>
    <s v=""/>
    <s v="paulo@acomix.net"/>
    <s v=""/>
    <s v=""/>
    <s v=""/>
    <s v="COROADOS"/>
    <s v="SP"/>
    <s v="Feiras"/>
    <s v=""/>
    <s v=""/>
    <s v="Abup2025Fevereiro"/>
    <s v="Pipeline de Vendas"/>
    <s v="Em Fechamento (100%)"/>
    <s v="6x sem juros (0/30/60/90/120/150...)"/>
    <m/>
    <n v="88000"/>
    <n v="450432"/>
    <n v="64"/>
    <s v="Junior Lopes"/>
    <d v="2025-02-19T00:00:00"/>
    <d v="1899-12-30T17:06:03"/>
    <s v=""/>
    <s v="Ganho"/>
    <d v="2025-04-24T00:00:00"/>
    <d v="1899-12-30T12:10:45"/>
    <s v=""/>
    <s v=""/>
    <s v=""/>
    <x v="50"/>
    <s v=""/>
    <x v="0"/>
    <s v=""/>
    <m/>
    <m/>
    <s v=""/>
    <s v=""/>
    <s v=""/>
    <s v=""/>
    <n v="1"/>
  </r>
  <r>
    <x v="1"/>
    <n v="268"/>
    <m/>
    <n v="1874"/>
    <s v=""/>
    <s v=""/>
    <x v="106"/>
    <n v="52556578000122"/>
    <s v=""/>
    <s v="Elgin S/A"/>
    <s v="(11) 3411-2010"/>
    <s v=""/>
    <s v="rogerio.machado@elgin.com.br"/>
    <s v=""/>
    <s v=""/>
    <s v=""/>
    <s v="MOGI DAS CRUZES"/>
    <s v="SP"/>
    <s v="Feiras"/>
    <s v=""/>
    <s v=""/>
    <s v="Abup2025Fevereiro"/>
    <s v="Pipeline de Vendas"/>
    <s v="Qualificação de Vendas (SQL) (25%)"/>
    <s v="6x sem juros (0/30/60/90/120/150...)"/>
    <m/>
    <m/>
    <m/>
    <n v="54"/>
    <s v="Junior Lopes"/>
    <d v="2025-02-20T00:00:00"/>
    <d v="1899-12-30T10:37:30"/>
    <s v=""/>
    <s v="Perdido"/>
    <d v="2025-04-15T00:00:00"/>
    <d v="1899-12-30T16:39:42"/>
    <s v="Projeto adiado / sem prazo definido"/>
    <s v="cliente não responde as mensagens continuarei a prospectar em paralelo"/>
    <s v=""/>
    <x v="0"/>
    <s v=""/>
    <x v="0"/>
    <s v=""/>
    <m/>
    <m/>
    <s v=""/>
    <s v=""/>
    <s v=""/>
    <s v=""/>
    <n v="1"/>
  </r>
  <r>
    <x v="1"/>
    <n v="270"/>
    <n v="167"/>
    <n v="1880"/>
    <s v=""/>
    <s v=""/>
    <x v="107"/>
    <n v="7973104000121"/>
    <s v="ELMO ATACADO"/>
    <s v="Fabio"/>
    <s v="47999949301"/>
    <s v=""/>
    <s v="joao@atacadoelmo.com.br"/>
    <s v=""/>
    <s v=""/>
    <s v=""/>
    <s v="Joinville"/>
    <s v="SC"/>
    <s v=""/>
    <s v=""/>
    <s v=""/>
    <s v=""/>
    <s v="Pipeline de Vendas"/>
    <s v="Em Fechamento (100%)"/>
    <s v=""/>
    <m/>
    <n v="0"/>
    <n v="49896"/>
    <n v="11"/>
    <s v="Junior Lopes"/>
    <d v="2025-02-20T00:00:00"/>
    <d v="1899-12-30T11:43:19"/>
    <s v=""/>
    <s v="Ganho"/>
    <d v="2025-03-03T00:00:00"/>
    <d v="1899-12-30T11:34:05"/>
    <s v=""/>
    <s v=""/>
    <s v=""/>
    <x v="50"/>
    <s v=""/>
    <x v="0"/>
    <s v=""/>
    <m/>
    <m/>
    <s v=""/>
    <s v=""/>
    <s v=""/>
    <s v=""/>
    <n v="1"/>
  </r>
  <r>
    <x v="1"/>
    <n v="272"/>
    <m/>
    <n v="1882"/>
    <s v=""/>
    <s v=""/>
    <x v="108"/>
    <m/>
    <s v=""/>
    <s v="123 util"/>
    <s v="31987570994"/>
    <s v=""/>
    <s v="123util@maxximusimportadora.com.br"/>
    <s v=""/>
    <s v=""/>
    <s v=""/>
    <s v=""/>
    <s v=""/>
    <s v="Feiras"/>
    <s v=""/>
    <s v=""/>
    <s v="Abcasa2025fevereiro"/>
    <s v="Pipeline de Vendas"/>
    <s v="Qualificação de Vendas (SQL) (25%)"/>
    <s v="6x sem juros (0/30/60/90/120/150...)"/>
    <m/>
    <m/>
    <m/>
    <n v="50"/>
    <s v="Junior Lopes"/>
    <d v="2025-02-24T00:00:00"/>
    <d v="1899-12-30T09:24:09"/>
    <s v=""/>
    <s v="Perdido"/>
    <d v="2025-04-15T00:00:00"/>
    <d v="1899-12-30T16:37:27"/>
    <s v="Projeto adiado / sem prazo definido"/>
    <s v="cliente não responde as mensagens , continuarei a prospectar em paralelo"/>
    <s v=""/>
    <x v="0"/>
    <s v=""/>
    <x v="44"/>
    <s v=""/>
    <m/>
    <m/>
    <s v=""/>
    <s v=""/>
    <s v=""/>
    <s v=""/>
    <n v="1"/>
  </r>
  <r>
    <x v="2"/>
    <n v="273"/>
    <m/>
    <n v="1883"/>
    <s v=""/>
    <s v=""/>
    <x v="109"/>
    <m/>
    <s v=""/>
    <s v="Ilan Couselo"/>
    <s v="11991554630"/>
    <s v=""/>
    <s v="ilan@couselo.com.br"/>
    <s v=""/>
    <s v=""/>
    <s v=""/>
    <s v=""/>
    <s v=""/>
    <s v="Feiras"/>
    <s v=""/>
    <s v=""/>
    <s v=""/>
    <s v="Pipeline de Vendas"/>
    <s v="Em Fechamento (100%)"/>
    <s v="6x sem juros (0/30/60/90/120/150...)"/>
    <m/>
    <n v="55440"/>
    <n v="560465"/>
    <n v="39"/>
    <s v="Rayssa Karapeticov"/>
    <d v="2025-02-24T00:00:00"/>
    <d v="1899-12-30T15:53:45"/>
    <s v=""/>
    <s v="Perdido"/>
    <d v="2025-04-04T00:00:00"/>
    <d v="1899-12-30T15:28:34"/>
    <s v="Preço muito alto - fora do budget de investimento"/>
    <s v=""/>
    <s v=""/>
    <x v="51"/>
    <s v="Rayssa Karapeticov"/>
    <x v="58"/>
    <s v="24/02/2025 00:00"/>
    <m/>
    <m/>
    <s v=""/>
    <s v=""/>
    <s v=""/>
    <s v=""/>
    <n v="1"/>
  </r>
  <r>
    <x v="1"/>
    <n v="277"/>
    <m/>
    <n v="1887"/>
    <s v=""/>
    <s v=""/>
    <x v="110"/>
    <m/>
    <s v=""/>
    <s v="Erca Aluminio"/>
    <s v="19997023116"/>
    <s v=""/>
    <s v="rafael@ercaaluminio.com.br"/>
    <s v=""/>
    <s v=""/>
    <s v=""/>
    <s v=""/>
    <s v=""/>
    <s v=""/>
    <s v=""/>
    <s v=""/>
    <s v=""/>
    <s v="Pipeline de Vendas"/>
    <s v="Em Fechamento (100%)"/>
    <s v=""/>
    <m/>
    <n v="0"/>
    <n v="3564"/>
    <n v="5"/>
    <s v="Junior Lopes"/>
    <d v="2025-02-26T00:00:00"/>
    <d v="1899-12-30T09:12:09"/>
    <s v=""/>
    <s v="Ganho"/>
    <d v="2025-03-03T00:00:00"/>
    <d v="1899-12-30T11:34:23"/>
    <s v=""/>
    <s v=""/>
    <s v=""/>
    <x v="52"/>
    <s v=""/>
    <x v="0"/>
    <s v=""/>
    <m/>
    <m/>
    <s v=""/>
    <s v=""/>
    <s v=""/>
    <s v=""/>
    <n v="1"/>
  </r>
  <r>
    <x v="1"/>
    <n v="279"/>
    <m/>
    <n v="1890"/>
    <s v=""/>
    <s v=""/>
    <x v="111"/>
    <m/>
    <s v=""/>
    <s v="Claudio"/>
    <s v="14997530243"/>
    <s v=""/>
    <s v="null"/>
    <s v=""/>
    <s v=""/>
    <s v=""/>
    <s v=""/>
    <s v=""/>
    <s v=""/>
    <s v=""/>
    <s v=""/>
    <s v=""/>
    <s v="Pipeline de Vendas"/>
    <s v="Qualificação de Vendas (SQL) (25%)"/>
    <s v=""/>
    <m/>
    <m/>
    <m/>
    <n v="2"/>
    <s v="Paulo Souza"/>
    <d v="2025-02-26T00:00:00"/>
    <d v="1899-12-30T17:34:49"/>
    <s v=""/>
    <s v="Perdido"/>
    <d v="2025-02-28T00:00:00"/>
    <d v="1899-12-30T17:04:22"/>
    <s v="Fora do porte mínimo (sem fit estrutural)"/>
    <s v="Representante"/>
    <s v=""/>
    <x v="0"/>
    <s v="Junior Lopes"/>
    <x v="0"/>
    <s v=""/>
    <m/>
    <m/>
    <s v=""/>
    <s v=""/>
    <s v=""/>
    <s v=""/>
    <n v="1"/>
  </r>
  <r>
    <x v="1"/>
    <n v="281"/>
    <m/>
    <n v="1892"/>
    <s v=""/>
    <s v=""/>
    <x v="112"/>
    <m/>
    <s v=""/>
    <s v="açomix soluções para o lar"/>
    <s v="17996266839"/>
    <s v=""/>
    <s v="fernando@acomix.net"/>
    <s v=""/>
    <s v=""/>
    <s v=""/>
    <s v=""/>
    <s v=""/>
    <s v="Feiras"/>
    <s v=""/>
    <s v=""/>
    <s v=""/>
    <s v="Pipeline de Vendas"/>
    <s v="Em Fechamento (100%)"/>
    <s v="6x sem juros (0/30/60/90/120/150...)"/>
    <m/>
    <n v="0"/>
    <n v="449635"/>
    <n v="55"/>
    <s v="Junior Lopes"/>
    <d v="2025-02-28T00:00:00"/>
    <d v="1899-12-30T10:13:32"/>
    <s v=""/>
    <s v="Ganho"/>
    <d v="2025-04-24T00:00:00"/>
    <d v="1899-12-30T12:11:29"/>
    <s v=""/>
    <s v=""/>
    <s v=""/>
    <x v="46"/>
    <s v=""/>
    <x v="59"/>
    <s v=""/>
    <m/>
    <m/>
    <s v=""/>
    <s v=""/>
    <s v=""/>
    <s v=""/>
    <n v="1"/>
  </r>
  <r>
    <x v="1"/>
    <n v="282"/>
    <m/>
    <n v="1894"/>
    <s v=""/>
    <s v=""/>
    <x v="113"/>
    <m/>
    <s v=""/>
    <s v="Plasberg"/>
    <s v="75981412000"/>
    <s v=""/>
    <s v="breno@plasberg.com.br"/>
    <s v=""/>
    <s v=""/>
    <s v=""/>
    <s v=""/>
    <s v=""/>
    <s v="Feiras"/>
    <s v=""/>
    <s v=""/>
    <s v=""/>
    <s v="Pipeline de Vendas"/>
    <s v="Apresentar Proposta (50%)"/>
    <s v="6x sem juros (0/30/60/90/120/150...)"/>
    <m/>
    <n v="1600"/>
    <n v="5"/>
    <n v="47"/>
    <s v="Junior Lopes"/>
    <d v="2025-02-28T00:00:00"/>
    <d v="1899-12-30T16:52:57"/>
    <s v=""/>
    <s v="Perdido"/>
    <d v="2025-04-16T00:00:00"/>
    <d v="1899-12-30T09:28:18"/>
    <s v="Projeto adiado / sem prazo definido"/>
    <s v="Breno não responde as mensagens ! estou fechando oportunidade mas continuo em busca da oportunidade"/>
    <s v=""/>
    <x v="43"/>
    <s v=""/>
    <x v="47"/>
    <s v=""/>
    <m/>
    <m/>
    <s v=""/>
    <s v=""/>
    <s v=""/>
    <s v=""/>
    <n v="1"/>
  </r>
  <r>
    <x v="2"/>
    <n v="283"/>
    <m/>
    <n v="1895"/>
    <s v=""/>
    <s v=""/>
    <x v="114"/>
    <n v="37075503000136"/>
    <s v=""/>
    <s v="Rafael"/>
    <s v="(48) 3380-3374"/>
    <s v=""/>
    <s v="pupiimports@gmail.com"/>
    <s v=""/>
    <s v=""/>
    <s v=""/>
    <s v="TIJUCAS"/>
    <s v="SC"/>
    <s v=""/>
    <s v=""/>
    <s v=""/>
    <s v=""/>
    <s v="Pipeline de Vendas"/>
    <s v="Em Fechamento (100%)"/>
    <s v=""/>
    <m/>
    <n v="63000"/>
    <n v="211328"/>
    <n v="20"/>
    <s v="Rayssa Karapeticov"/>
    <d v="2025-03-04T00:00:00"/>
    <d v="1899-12-30T09:43:38"/>
    <s v=""/>
    <s v="Ganho"/>
    <d v="2025-03-24T00:00:00"/>
    <d v="1899-12-30T19:14:21"/>
    <s v=""/>
    <s v=""/>
    <s v=""/>
    <x v="53"/>
    <s v="Rayssa Karapeticov"/>
    <x v="0"/>
    <s v=""/>
    <m/>
    <m/>
    <s v=""/>
    <s v=""/>
    <s v=""/>
    <s v=""/>
    <n v="1"/>
  </r>
  <r>
    <x v="2"/>
    <n v="284"/>
    <m/>
    <n v="1897"/>
    <s v=""/>
    <s v=""/>
    <x v="115"/>
    <n v="37075503000136"/>
    <s v=""/>
    <s v="Rafael"/>
    <s v="(48) 3380-3374"/>
    <s v=""/>
    <s v="pupiimports@gmail.com"/>
    <s v=""/>
    <s v=""/>
    <s v=""/>
    <s v="TIJUCAS"/>
    <s v="SC"/>
    <s v="Feiras"/>
    <s v=""/>
    <s v=""/>
    <s v=""/>
    <s v="Pipeline de Vendas"/>
    <s v="Em Fechamento (100%)"/>
    <s v=""/>
    <m/>
    <n v="1600"/>
    <n v="287073"/>
    <n v="22"/>
    <s v="Rayssa Karapeticov"/>
    <d v="2025-03-04T00:00:00"/>
    <d v="1899-12-30T15:18:52"/>
    <s v=""/>
    <s v="Ganho"/>
    <d v="2025-03-26T00:00:00"/>
    <d v="1899-12-30T10:41:15"/>
    <s v=""/>
    <s v=""/>
    <s v=""/>
    <x v="53"/>
    <s v="Rayssa Karapeticov"/>
    <x v="60"/>
    <s v=""/>
    <m/>
    <m/>
    <s v=""/>
    <s v=""/>
    <s v=""/>
    <s v=""/>
    <n v="1"/>
  </r>
  <r>
    <x v="2"/>
    <n v="286"/>
    <m/>
    <n v="1900"/>
    <s v=""/>
    <s v=""/>
    <x v="116"/>
    <n v="37075503000136"/>
    <s v=""/>
    <s v="Rafael"/>
    <s v="5196199231"/>
    <s v=""/>
    <s v="pupiimports@gmail.com"/>
    <s v=""/>
    <s v=""/>
    <s v=""/>
    <s v="TIJUCAS"/>
    <s v="SC"/>
    <s v="Outbound"/>
    <s v=""/>
    <s v=""/>
    <s v=""/>
    <s v="Pipeline de Vendas"/>
    <s v="Em negociação (75%)"/>
    <s v="6x sem juros (0/30/60/90/120/150...)"/>
    <m/>
    <n v="23580"/>
    <n v="1800"/>
    <n v="65"/>
    <s v="Rayssa Karapeticov"/>
    <d v="2025-03-10T00:00:00"/>
    <d v="1899-12-30T15:20:29"/>
    <s v=""/>
    <s v="Perdido"/>
    <d v="2025-05-14T00:00:00"/>
    <d v="1899-12-30T11:32:41"/>
    <s v="Não houve aprovação financeira"/>
    <s v=""/>
    <s v=""/>
    <x v="54"/>
    <s v="Rayssa Karapeticov"/>
    <x v="61"/>
    <s v=""/>
    <m/>
    <m/>
    <s v=""/>
    <s v=""/>
    <s v=""/>
    <s v=""/>
    <n v="1"/>
  </r>
  <r>
    <x v="0"/>
    <n v="287"/>
    <m/>
    <n v="1902"/>
    <s v=""/>
    <s v=""/>
    <x v="117"/>
    <n v="7764744000202"/>
    <s v=""/>
    <s v="Xeryus"/>
    <s v="11997802621"/>
    <s v=""/>
    <s v="jesica@xeryus.com.br"/>
    <s v=""/>
    <s v=""/>
    <s v=""/>
    <s v=""/>
    <s v=""/>
    <s v="Outbound"/>
    <s v=""/>
    <s v=""/>
    <s v="MORNO"/>
    <s v="Pipeline de Vendas"/>
    <s v="Em negociação (75%)"/>
    <s v="6x sem juros (0/30/60/90/120/150...)"/>
    <m/>
    <n v="16000"/>
    <n v="68607"/>
    <n v="54"/>
    <s v="Paulo Souza"/>
    <d v="2025-03-10T00:00:00"/>
    <d v="1899-12-30T16:44:02"/>
    <s v=""/>
    <s v="Perdido"/>
    <d v="2025-05-03T00:00:00"/>
    <d v="1899-12-30T10:37:26"/>
    <s v="Fechou com o concorrente - preço"/>
    <s v=""/>
    <s v=""/>
    <x v="55"/>
    <s v="Paulo Souza"/>
    <x v="62"/>
    <s v="11/03/2025 00:00"/>
    <m/>
    <m/>
    <s v=""/>
    <s v=""/>
    <s v=""/>
    <s v=""/>
    <n v="1"/>
  </r>
  <r>
    <x v="1"/>
    <n v="291"/>
    <m/>
    <n v="1904"/>
    <s v=""/>
    <s v=""/>
    <x v="118"/>
    <m/>
    <s v=""/>
    <s v="Ponto 10"/>
    <s v="7199841895"/>
    <s v=""/>
    <s v="gabriel@grupoponto10.com.br"/>
    <s v=""/>
    <s v=""/>
    <s v=""/>
    <s v=""/>
    <s v=""/>
    <s v="Parceiros"/>
    <s v=""/>
    <s v=""/>
    <s v=""/>
    <s v="Pipeline de Vendas"/>
    <s v="Em Fechamento (100%)"/>
    <s v="6x sem juros (0/30/60/90/120/150...)"/>
    <m/>
    <n v="12720"/>
    <n v="1764"/>
    <n v="47"/>
    <s v="Junior Lopes"/>
    <d v="2025-03-13T00:00:00"/>
    <d v="1899-12-30T14:19:18"/>
    <s v=""/>
    <s v="Ganho"/>
    <d v="2025-04-29T00:00:00"/>
    <d v="1899-12-30T14:35:30"/>
    <s v=""/>
    <s v=""/>
    <s v=""/>
    <x v="56"/>
    <s v=""/>
    <x v="63"/>
    <s v=""/>
    <m/>
    <m/>
    <s v=""/>
    <s v=""/>
    <s v=""/>
    <s v=""/>
    <n v="1"/>
  </r>
  <r>
    <x v="0"/>
    <n v="293"/>
    <m/>
    <n v="1907"/>
    <s v=""/>
    <s v=""/>
    <x v="119"/>
    <m/>
    <s v=""/>
    <s v="Rodrigo"/>
    <s v="(17) 99734-7687"/>
    <s v=""/>
    <s v="rodrigovaquerosilva@gmail.com"/>
    <s v=""/>
    <s v=""/>
    <s v=""/>
    <s v="Jales"/>
    <s v=""/>
    <s v="Site"/>
    <s v=""/>
    <s v=""/>
    <s v="Contato"/>
    <s v="Pipeline de Vendas"/>
    <s v="Apresentar Solução (35%)"/>
    <s v="6x sem juros (0/30/60/90/120/150...)"/>
    <m/>
    <m/>
    <m/>
    <n v="21"/>
    <s v="Paulo Souza"/>
    <d v="2025-03-17T00:00:00"/>
    <d v="1899-12-30T08:53:12"/>
    <s v=""/>
    <s v="Perdido"/>
    <d v="2025-04-07T00:00:00"/>
    <d v="1899-12-30T14:00:24"/>
    <s v="Não quer mudar a solução atual"/>
    <s v=""/>
    <s v=""/>
    <x v="57"/>
    <s v=""/>
    <x v="64"/>
    <s v=""/>
    <m/>
    <m/>
    <s v=""/>
    <s v=""/>
    <s v=""/>
    <s v=""/>
    <n v="1"/>
  </r>
  <r>
    <x v="0"/>
    <n v="294"/>
    <m/>
    <n v="1908"/>
    <s v=""/>
    <s v=""/>
    <x v="120"/>
    <m/>
    <s v=""/>
    <s v="Anne"/>
    <s v="31995069963"/>
    <s v=""/>
    <s v="null"/>
    <s v=""/>
    <s v=""/>
    <s v=""/>
    <s v=""/>
    <s v=""/>
    <s v="Inbound"/>
    <s v=""/>
    <s v=""/>
    <s v=""/>
    <s v="Pipeline de Vendas"/>
    <s v="Apresentar Solução (35%)"/>
    <s v="6x sem juros (0/30/60/90/120/150...)"/>
    <m/>
    <m/>
    <m/>
    <n v="21"/>
    <s v="Paulo Souza"/>
    <d v="2025-03-17T00:00:00"/>
    <d v="1899-12-30T08:58:27"/>
    <s v=""/>
    <s v="Perdido"/>
    <d v="2025-04-07T00:00:00"/>
    <d v="1899-12-30T11:48:49"/>
    <s v="Não quer mudar a solução atual"/>
    <s v=""/>
    <s v=""/>
    <x v="57"/>
    <s v="Paulo Souza"/>
    <x v="64"/>
    <s v=""/>
    <m/>
    <m/>
    <s v=""/>
    <s v=""/>
    <s v=""/>
    <s v=""/>
    <n v="1"/>
  </r>
  <r>
    <x v="1"/>
    <n v="295"/>
    <m/>
    <n v="1909"/>
    <s v=""/>
    <s v=""/>
    <x v="121"/>
    <m/>
    <s v=""/>
    <s v="GBL Import"/>
    <s v="21996127685"/>
    <s v=""/>
    <s v="gilberto@gblimport.com.br"/>
    <s v=""/>
    <s v=""/>
    <s v=""/>
    <s v=""/>
    <s v=""/>
    <s v="Indicação"/>
    <s v=""/>
    <s v=""/>
    <s v=""/>
    <s v="Pipeline de Vendas"/>
    <s v="Em negociação (75%)"/>
    <s v="6x sem juros (0/30/60/90/120/150...)"/>
    <m/>
    <n v="79920"/>
    <n v="33813"/>
    <n v="59"/>
    <s v="Junior Lopes"/>
    <d v="2025-03-17T00:00:00"/>
    <d v="1899-12-30T12:35:35"/>
    <s v=""/>
    <s v="Perdido"/>
    <d v="2025-05-15T00:00:00"/>
    <d v="1899-12-30T16:21:33"/>
    <s v="Projeto adiado / sem prazo definido"/>
    <s v="sem retorno do cliente"/>
    <s v=""/>
    <x v="58"/>
    <s v=""/>
    <x v="65"/>
    <s v=""/>
    <m/>
    <m/>
    <s v=""/>
    <s v=""/>
    <s v=""/>
    <s v=""/>
    <n v="1"/>
  </r>
  <r>
    <x v="1"/>
    <n v="298"/>
    <m/>
    <n v="1913"/>
    <s v=""/>
    <s v=""/>
    <x v="122"/>
    <m/>
    <s v=""/>
    <s v="GBL Import - Cloud"/>
    <s v="21996127685"/>
    <s v=""/>
    <s v="geraldolima@gblimport.com.br"/>
    <s v=""/>
    <s v=""/>
    <s v=""/>
    <s v=""/>
    <s v=""/>
    <s v="Indicação"/>
    <s v=""/>
    <s v=""/>
    <s v=""/>
    <s v="Pipeline de Vendas"/>
    <s v="Em negociação (75%)"/>
    <s v="6x sem juros (0/30/60/90/120/150...)"/>
    <m/>
    <n v="1600"/>
    <n v="3196"/>
    <n v="58"/>
    <s v="Junior Lopes"/>
    <d v="2025-03-18T00:00:00"/>
    <d v="1899-12-30T15:00:29"/>
    <s v=""/>
    <s v="Perdido"/>
    <d v="2025-05-15T00:00:00"/>
    <d v="1899-12-30T16:22:10"/>
    <s v="Projeto adiado / sem prazo definido"/>
    <s v="sem retorno do cliente"/>
    <s v=""/>
    <x v="58"/>
    <s v=""/>
    <x v="65"/>
    <s v=""/>
    <m/>
    <m/>
    <s v=""/>
    <s v=""/>
    <s v=""/>
    <s v=""/>
    <n v="1"/>
  </r>
  <r>
    <x v="1"/>
    <n v="301"/>
    <m/>
    <n v="1916"/>
    <s v=""/>
    <s v=""/>
    <x v="123"/>
    <m/>
    <s v=""/>
    <s v="Erca alumínio"/>
    <s v="19997023116"/>
    <s v=""/>
    <s v="rafael@ercaaluminio.com.br"/>
    <s v=""/>
    <s v=""/>
    <s v=""/>
    <s v=""/>
    <s v=""/>
    <s v="Outbound"/>
    <s v=""/>
    <s v=""/>
    <s v=""/>
    <s v="Pipeline de Vendas"/>
    <s v="Em Fechamento (100%)"/>
    <s v=""/>
    <m/>
    <n v="2339208"/>
    <n v="0"/>
    <n v="13"/>
    <s v="Junior Lopes"/>
    <d v="2025-03-20T00:00:00"/>
    <d v="1899-12-30T14:50:12"/>
    <s v=""/>
    <s v="Ganho"/>
    <d v="2025-04-02T00:00:00"/>
    <d v="1899-12-30T10:04:50"/>
    <s v=""/>
    <s v=""/>
    <s v=""/>
    <x v="59"/>
    <s v=""/>
    <x v="0"/>
    <s v=""/>
    <m/>
    <m/>
    <s v=""/>
    <s v=""/>
    <s v=""/>
    <s v=""/>
    <n v="1"/>
  </r>
  <r>
    <x v="1"/>
    <n v="303"/>
    <m/>
    <n v="1919"/>
    <s v=""/>
    <s v=""/>
    <x v="124"/>
    <m/>
    <s v=""/>
    <s v="Dayane"/>
    <s v="(62) 99360-9476"/>
    <s v=""/>
    <s v="dayane.tecelagemcastilho@gmail.com"/>
    <s v=""/>
    <s v=""/>
    <s v=""/>
    <s v="Goiânia"/>
    <s v=""/>
    <s v="Site"/>
    <s v=""/>
    <s v=""/>
    <s v="Solicita demo"/>
    <s v="Pipeline de Vendas"/>
    <s v="Em Fechamento (100%)"/>
    <s v="6x sem juros (0/30/60/90/120/150...)"/>
    <m/>
    <n v="583848"/>
    <n v="229112"/>
    <n v="57"/>
    <s v="Paulo Souza"/>
    <d v="2025-03-25T00:00:00"/>
    <d v="1899-12-30T09:13:21"/>
    <s v=""/>
    <s v="Ganho"/>
    <d v="2025-05-21T00:00:00"/>
    <d v="1899-12-30T09:01:18"/>
    <s v=""/>
    <s v=""/>
    <s v=""/>
    <x v="60"/>
    <s v=""/>
    <x v="66"/>
    <s v="28/03/2025"/>
    <m/>
    <m/>
    <s v=""/>
    <s v=""/>
    <s v=""/>
    <s v=""/>
    <n v="1"/>
  </r>
  <r>
    <x v="1"/>
    <n v="304"/>
    <m/>
    <n v="1922"/>
    <s v=""/>
    <s v=""/>
    <x v="125"/>
    <m/>
    <s v=""/>
    <s v="Erca Alumínio"/>
    <s v="19997023116"/>
    <s v=""/>
    <s v="rafael@ercaaluminio.com.br"/>
    <s v=""/>
    <s v=""/>
    <s v=""/>
    <s v=""/>
    <s v=""/>
    <s v=""/>
    <s v=""/>
    <s v=""/>
    <s v=""/>
    <s v="Pipeline de Vendas"/>
    <s v="Em Fechamento (100%)"/>
    <s v=""/>
    <m/>
    <n v="0"/>
    <n v="14256"/>
    <n v="0"/>
    <s v="Junior Lopes"/>
    <d v="2025-03-26T00:00:00"/>
    <d v="1899-12-30T12:26:05"/>
    <s v=""/>
    <s v="Ganho"/>
    <d v="2025-03-26T00:00:00"/>
    <d v="1899-12-30T12:28:36"/>
    <s v=""/>
    <s v=""/>
    <s v=""/>
    <x v="61"/>
    <s v=""/>
    <x v="0"/>
    <s v=""/>
    <m/>
    <m/>
    <s v=""/>
    <s v=""/>
    <s v=""/>
    <s v=""/>
    <n v="1"/>
  </r>
  <r>
    <x v="1"/>
    <n v="305"/>
    <m/>
    <n v="1923"/>
    <s v=""/>
    <s v=""/>
    <x v="126"/>
    <n v="49695060000165"/>
    <s v=""/>
    <s v="Sk Importacao e Exportacao"/>
    <s v="(11) 2171-0800"/>
    <s v=""/>
    <s v="legal@vrscontabil.com.br"/>
    <s v=""/>
    <s v=""/>
    <s v=""/>
    <s v="SAO PAULO"/>
    <s v="SP"/>
    <s v="Inbound"/>
    <s v=""/>
    <s v=""/>
    <s v=""/>
    <s v="Pipeline de Vendas"/>
    <s v="Apresentar Proposta (50%)"/>
    <s v="6x sem juros (0/30/60/90/120/150...)"/>
    <m/>
    <n v="64448"/>
    <n v="159326"/>
    <n v="50"/>
    <s v="Junior Lopes"/>
    <d v="2025-03-26T00:00:00"/>
    <d v="1899-12-30T12:54:52"/>
    <s v=""/>
    <s v="Perdido"/>
    <d v="2025-05-15T00:00:00"/>
    <d v="1899-12-30T15:25:04"/>
    <s v="Projeto adiado / sem prazo definido"/>
    <s v="14:31, 06/05/2025 Jamal: Tudo bem_x000a_14:34, 06/05/2025 Junior Lopes: por aqui td bem Jamal_x000a_14:35, 06/05/2025 Junior Lopes: sobre o Software Guarani, vamos dar sequencia ?_x000a_15:02, 06/05/2025 Jamal: Meu amigo pra ser sincero estou em mudanças e esta muita correria por aqui_x000a_15:02, 06/05/2025 Jamal: Mas depois vou estudar melhor sobre"/>
    <s v=""/>
    <x v="62"/>
    <s v=""/>
    <x v="67"/>
    <s v=""/>
    <m/>
    <m/>
    <s v=""/>
    <s v=""/>
    <s v=""/>
    <s v=""/>
    <n v="1"/>
  </r>
  <r>
    <x v="1"/>
    <n v="311"/>
    <m/>
    <n v="1942"/>
    <s v=""/>
    <s v=""/>
    <x v="127"/>
    <m/>
    <s v=""/>
    <s v="Tritec"/>
    <s v="47991900625"/>
    <s v=""/>
    <s v="gisele.ehlert@tritec.ind.com"/>
    <s v=""/>
    <s v=""/>
    <s v=""/>
    <s v=""/>
    <s v=""/>
    <s v=""/>
    <s v=""/>
    <s v=""/>
    <s v=""/>
    <s v="Pipeline de Vendas"/>
    <s v="Em Fechamento (100%)"/>
    <s v="4x sem juros (0/30/60/90)"/>
    <m/>
    <n v="16960"/>
    <n v="10810"/>
    <n v="43"/>
    <s v="Junior Lopes"/>
    <d v="2025-03-27T00:00:00"/>
    <d v="1899-12-30T12:48:43"/>
    <s v=""/>
    <s v="Ganho"/>
    <d v="2025-05-09T00:00:00"/>
    <d v="1899-12-30T12:02:54"/>
    <s v=""/>
    <s v=""/>
    <s v=""/>
    <x v="60"/>
    <s v=""/>
    <x v="66"/>
    <s v="24/04/2025"/>
    <m/>
    <m/>
    <s v=""/>
    <s v=""/>
    <s v=""/>
    <s v=""/>
    <n v="1"/>
  </r>
  <r>
    <x v="0"/>
    <n v="313"/>
    <m/>
    <n v="1944"/>
    <s v=""/>
    <s v=""/>
    <x v="128"/>
    <n v="1787082000129"/>
    <s v=""/>
    <s v="Marcos"/>
    <s v="(11) 99755-7094"/>
    <s v=""/>
    <s v="contato@styroform.com.br"/>
    <s v=""/>
    <s v=""/>
    <s v=""/>
    <s v=""/>
    <s v=""/>
    <s v="Indicação"/>
    <s v=""/>
    <s v=""/>
    <s v="MORNO"/>
    <s v="Pipeline de Vendas"/>
    <s v="Em Fechamento (100%)"/>
    <s v="6x sem juros (0/30/60/90/120/150...)"/>
    <d v="2028-05-31T00:00:00"/>
    <n v="51200"/>
    <n v="42262"/>
    <n v="75"/>
    <s v="Paulo Souza"/>
    <d v="2025-03-27T00:00:00"/>
    <d v="1899-12-30T15:59:16"/>
    <s v=""/>
    <s v="Perdido"/>
    <d v="2025-06-10T00:00:00"/>
    <d v="1899-12-30T12:16:08"/>
    <s v="Preço muito alto - fora do budget de investimento"/>
    <s v=""/>
    <s v=""/>
    <x v="45"/>
    <s v="Paulo Souza"/>
    <x v="68"/>
    <s v=""/>
    <m/>
    <m/>
    <s v=""/>
    <s v=""/>
    <s v=""/>
    <s v=""/>
    <n v="1"/>
  </r>
  <r>
    <x v="0"/>
    <n v="314"/>
    <m/>
    <n v="1948"/>
    <s v=""/>
    <s v=""/>
    <x v="129"/>
    <m/>
    <s v=""/>
    <s v="Claudio"/>
    <s v="12991051939"/>
    <s v=""/>
    <s v="null"/>
    <s v=""/>
    <s v=""/>
    <s v=""/>
    <s v=""/>
    <s v=""/>
    <s v=""/>
    <s v=""/>
    <s v=""/>
    <s v=""/>
    <s v="Pipeline de Vendas"/>
    <s v="Qualificação de Vendas (SQL) (25%)"/>
    <s v=""/>
    <m/>
    <m/>
    <m/>
    <n v="10"/>
    <s v="Paulo Souza"/>
    <d v="2025-03-28T00:00:00"/>
    <d v="1899-12-30T11:11:42"/>
    <s v=""/>
    <s v="Perdido"/>
    <d v="2025-04-07T00:00:00"/>
    <d v="1899-12-30T14:36:03"/>
    <s v="Fora do porte mínimo (sem fit estrutural)"/>
    <s v=""/>
    <s v=""/>
    <x v="0"/>
    <s v="Paulo Souza"/>
    <x v="69"/>
    <s v=""/>
    <m/>
    <m/>
    <s v=""/>
    <s v=""/>
    <s v=""/>
    <s v=""/>
    <n v="1"/>
  </r>
  <r>
    <x v="1"/>
    <n v="315"/>
    <m/>
    <n v="1949"/>
    <s v=""/>
    <s v=""/>
    <x v="130"/>
    <m/>
    <s v=""/>
    <s v="Tecelagem Castitho - Cloud"/>
    <s v="62993609476"/>
    <s v=""/>
    <s v="dayane.tecelagemcastilho@gmail.com"/>
    <s v=""/>
    <s v=""/>
    <s v=""/>
    <s v=""/>
    <s v=""/>
    <s v=""/>
    <s v=""/>
    <s v=""/>
    <s v=""/>
    <s v="Pipeline de Vendas"/>
    <s v="Em Fechamento (100%)"/>
    <s v="10x sem juros (0/30/60/90/120/150...)"/>
    <m/>
    <n v="1600"/>
    <n v="180443"/>
    <n v="54"/>
    <s v="Junior Lopes"/>
    <d v="2025-03-28T00:00:00"/>
    <d v="1899-12-30T11:49:45"/>
    <s v=""/>
    <s v="Ganho"/>
    <d v="2025-05-21T00:00:00"/>
    <d v="1899-12-30T09:02:37"/>
    <s v=""/>
    <s v=""/>
    <s v=""/>
    <x v="60"/>
    <s v=""/>
    <x v="66"/>
    <s v=""/>
    <m/>
    <m/>
    <s v=""/>
    <s v=""/>
    <s v=""/>
    <s v=""/>
    <n v="1"/>
  </r>
  <r>
    <x v="1"/>
    <n v="316"/>
    <m/>
    <n v="1950"/>
    <s v=""/>
    <s v=""/>
    <x v="131"/>
    <n v="49695060000165"/>
    <s v=""/>
    <s v="SK Importação - Cloud"/>
    <s v="(11) 2171-0800"/>
    <s v=""/>
    <s v="legal@vrscontabil.com.br"/>
    <s v=""/>
    <s v=""/>
    <s v=""/>
    <s v="SAO PAULO"/>
    <s v="SP"/>
    <s v=""/>
    <s v=""/>
    <s v=""/>
    <s v=""/>
    <s v="Pipeline de Vendas"/>
    <s v="Apresentar Proposta (50%)"/>
    <s v=""/>
    <m/>
    <n v="1600"/>
    <n v="2178"/>
    <n v="48"/>
    <s v="Junior Lopes"/>
    <d v="2025-03-28T00:00:00"/>
    <d v="1899-12-30T15:06:00"/>
    <s v=""/>
    <s v="Perdido"/>
    <d v="2025-05-15T00:00:00"/>
    <d v="1899-12-30T15:26:40"/>
    <s v="Projeto adiado / sem prazo definido"/>
    <s v="14:31, 06/05/2025 Jamal: Tudo bem_x000a_14:34, 06/05/2025 Junior Lopes: por aqui td bem Jamal_x000a_14:35, 06/05/2025 Junior Lopes: sobre o Software Guarani, vamos dar sequencia ?_x000a_15:02, 06/05/2025 Jamal: Meu amigo pra ser sincero estou em mudanças e esta muita correria por aqui_x000a_15:02, 06/05/2025 Jamal: Mas depois vou estudar melhor sobre"/>
    <s v="26/03/2025"/>
    <x v="61"/>
    <s v=""/>
    <x v="67"/>
    <s v=""/>
    <m/>
    <m/>
    <s v=""/>
    <s v=""/>
    <s v=""/>
    <s v=""/>
    <n v="1"/>
  </r>
  <r>
    <x v="1"/>
    <n v="317"/>
    <m/>
    <n v="1952"/>
    <s v=""/>
    <s v=""/>
    <x v="132"/>
    <n v="8652421000109"/>
    <s v=""/>
    <s v="Comércio de prod. vet. bernardi e bernardi"/>
    <s v="(55) 3744-6412"/>
    <s v=""/>
    <s v="pedidos@suifarma.com.br"/>
    <s v=""/>
    <s v=""/>
    <s v=""/>
    <s v="FREDERICO WESTPHALEN"/>
    <s v="RS"/>
    <s v=""/>
    <s v=""/>
    <s v=""/>
    <s v=""/>
    <s v="Pipeline de Vendas"/>
    <s v="Em negociação (75%)"/>
    <s v=""/>
    <m/>
    <n v="74860"/>
    <n v="641932"/>
    <n v="48"/>
    <s v="Junior Lopes"/>
    <d v="2025-03-28T00:00:00"/>
    <d v="1899-12-30T15:37:47"/>
    <s v=""/>
    <s v="Perdido"/>
    <d v="2025-05-15T00:00:00"/>
    <d v="1899-12-30T11:35:21"/>
    <s v="Projeto adiado / sem prazo definido"/>
    <s v="cliente ainda não definiu _x000a_estou baixando oportunidade mas manterei contato via WhatsApp"/>
    <s v=""/>
    <x v="60"/>
    <s v=""/>
    <x v="70"/>
    <s v=""/>
    <m/>
    <m/>
    <s v=""/>
    <s v=""/>
    <s v=""/>
    <s v=""/>
    <n v="1"/>
  </r>
  <r>
    <x v="1"/>
    <n v="318"/>
    <m/>
    <n v="1957"/>
    <s v=""/>
    <s v=""/>
    <x v="133"/>
    <n v="8652421000109"/>
    <s v=""/>
    <s v="Comércio Bernardi e Bernardi - Cloud"/>
    <s v="43991395000"/>
    <s v=""/>
    <s v="pedidos@suifarma.com.br"/>
    <s v=""/>
    <s v=""/>
    <s v=""/>
    <s v=""/>
    <s v=""/>
    <s v=""/>
    <s v=""/>
    <s v=""/>
    <s v=""/>
    <s v="Pipeline de Vendas"/>
    <s v="Apresentar Proposta (50%)"/>
    <s v=""/>
    <m/>
    <m/>
    <m/>
    <n v="19"/>
    <s v="Junior Lopes"/>
    <d v="2025-03-28T00:00:00"/>
    <d v="1899-12-30T15:40:43"/>
    <s v=""/>
    <s v="Perdido"/>
    <d v="2025-04-16T00:00:00"/>
    <d v="1899-12-30T09:39:03"/>
    <s v="Projeto adiado / sem prazo definido"/>
    <s v="cadastro em duplicidade"/>
    <s v=""/>
    <x v="60"/>
    <s v=""/>
    <x v="70"/>
    <s v=""/>
    <m/>
    <m/>
    <s v=""/>
    <s v=""/>
    <s v=""/>
    <s v=""/>
    <n v="1"/>
  </r>
  <r>
    <x v="1"/>
    <n v="319"/>
    <m/>
    <n v="1958"/>
    <s v=""/>
    <s v=""/>
    <x v="134"/>
    <m/>
    <s v=""/>
    <s v="culturama - Horas"/>
    <s v="54996596274"/>
    <s v=""/>
    <s v="vinicius.mathyas@culturama.com.br"/>
    <s v=""/>
    <s v=""/>
    <s v=""/>
    <s v=""/>
    <s v=""/>
    <s v=""/>
    <s v=""/>
    <s v=""/>
    <s v=""/>
    <s v="Pipeline de Vendas"/>
    <s v="Em Fechamento (100%)"/>
    <s v=""/>
    <m/>
    <n v="1760013"/>
    <n v="0"/>
    <n v="0"/>
    <s v="Junior Lopes"/>
    <d v="2025-03-31T00:00:00"/>
    <d v="1899-12-30T11:20:59"/>
    <s v=""/>
    <s v="Ganho"/>
    <d v="2025-03-31T00:00:00"/>
    <d v="1899-12-30T11:36:21"/>
    <s v=""/>
    <s v=""/>
    <s v=""/>
    <x v="56"/>
    <s v=""/>
    <x v="0"/>
    <s v=""/>
    <m/>
    <m/>
    <s v=""/>
    <s v=""/>
    <s v=""/>
    <s v=""/>
    <n v="1"/>
  </r>
  <r>
    <x v="1"/>
    <n v="321"/>
    <m/>
    <n v="1961"/>
    <s v=""/>
    <s v=""/>
    <x v="133"/>
    <m/>
    <s v=""/>
    <s v="Comércio Bernardi e Bernardi - Cloud"/>
    <s v="5537446412"/>
    <s v=""/>
    <s v="pedidos@suifarma.com.br"/>
    <s v=""/>
    <s v=""/>
    <s v=""/>
    <s v=""/>
    <s v=""/>
    <s v=""/>
    <s v=""/>
    <s v=""/>
    <s v=""/>
    <s v="Pipeline de Vendas"/>
    <s v="Em negociação (75%)"/>
    <s v=""/>
    <m/>
    <n v="1600"/>
    <n v="462522"/>
    <n v="45"/>
    <s v="Junior Lopes"/>
    <d v="2025-03-31T00:00:00"/>
    <d v="1899-12-30T15:10:22"/>
    <s v=""/>
    <s v="Perdido"/>
    <d v="2025-05-15T00:00:00"/>
    <d v="1899-12-30T11:36:48"/>
    <s v="Projeto adiado / sem prazo definido"/>
    <s v="cliente ainda não definiu _x000a_estou baixando oportunidade mas manterei contato via WhatsApp"/>
    <s v=""/>
    <x v="60"/>
    <s v=""/>
    <x v="70"/>
    <s v=""/>
    <m/>
    <m/>
    <s v=""/>
    <s v=""/>
    <s v=""/>
    <s v=""/>
    <n v="1"/>
  </r>
  <r>
    <x v="1"/>
    <n v="322"/>
    <m/>
    <n v="1962"/>
    <s v=""/>
    <s v=""/>
    <x v="135"/>
    <m/>
    <s v=""/>
    <s v="GB . Importadora - XML"/>
    <s v="19993040768"/>
    <s v=""/>
    <s v="pehpbroglio@gmail.com"/>
    <s v=""/>
    <s v=""/>
    <s v=""/>
    <s v=""/>
    <s v=""/>
    <s v=""/>
    <s v=""/>
    <s v=""/>
    <s v=""/>
    <s v="Pipeline de Vendas"/>
    <s v="Em Fechamento (100%)"/>
    <s v=""/>
    <m/>
    <n v="0"/>
    <n v="30002"/>
    <n v="24"/>
    <s v="Junior Lopes"/>
    <d v="2025-03-31T00:00:00"/>
    <d v="1899-12-30T16:37:55"/>
    <s v=""/>
    <s v="Ganho"/>
    <d v="2025-04-24T00:00:00"/>
    <d v="1899-12-30T12:03:46"/>
    <s v=""/>
    <s v=""/>
    <s v=""/>
    <x v="60"/>
    <s v=""/>
    <x v="0"/>
    <s v=""/>
    <m/>
    <m/>
    <s v=""/>
    <s v=""/>
    <s v=""/>
    <s v=""/>
    <n v="1"/>
  </r>
  <r>
    <x v="1"/>
    <n v="323"/>
    <m/>
    <n v="1963"/>
    <s v=""/>
    <s v=""/>
    <x v="136"/>
    <m/>
    <s v=""/>
    <s v="ARK Brasil"/>
    <s v="21964397621"/>
    <s v=""/>
    <s v="luana.dale@arkbrasil.com.br"/>
    <s v=""/>
    <s v=""/>
    <s v=""/>
    <s v=""/>
    <s v=""/>
    <s v=""/>
    <s v=""/>
    <s v=""/>
    <s v=""/>
    <s v="Pipeline de Vendas"/>
    <s v="Apresentar Proposta (50%)"/>
    <s v=""/>
    <m/>
    <n v="16960"/>
    <n v="1980"/>
    <n v="64"/>
    <s v="Junior Lopes"/>
    <d v="2025-03-31T00:00:00"/>
    <d v="1899-12-30T16:49:47"/>
    <s v=""/>
    <s v="Perdido"/>
    <d v="2025-06-03T00:00:00"/>
    <d v="1899-12-30T11:06:14"/>
    <s v="Não quer mudar a solução atual"/>
    <s v="estou mantendo contato para força de vendas"/>
    <s v=""/>
    <x v="60"/>
    <s v=""/>
    <x v="71"/>
    <s v=""/>
    <m/>
    <m/>
    <s v=""/>
    <s v=""/>
    <s v=""/>
    <s v=""/>
    <n v="1"/>
  </r>
  <r>
    <x v="1"/>
    <n v="328"/>
    <m/>
    <n v="1970"/>
    <s v=""/>
    <s v=""/>
    <x v="137"/>
    <m/>
    <s v=""/>
    <s v="Casa Ambiente"/>
    <s v="11983264135"/>
    <s v=""/>
    <s v="contato@casaambienteud.com.br"/>
    <s v=""/>
    <s v=""/>
    <s v=""/>
    <s v=""/>
    <s v=""/>
    <s v=""/>
    <s v=""/>
    <s v=""/>
    <s v=""/>
    <s v="Pipeline de Vendas"/>
    <s v="Qualificação de Vendas (SQL) (25%)"/>
    <s v=""/>
    <m/>
    <m/>
    <m/>
    <n v="71"/>
    <s v="Junior Lopes"/>
    <d v="2025-04-01T00:00:00"/>
    <d v="1899-12-30T15:57:21"/>
    <s v=""/>
    <s v="Perdido"/>
    <d v="2025-06-11T00:00:00"/>
    <d v="1899-12-30T14:35:24"/>
    <s v="Projeto adiado / sem prazo definido"/>
    <s v="sem resposta ao contato"/>
    <s v="09/04/2025"/>
    <x v="0"/>
    <s v=""/>
    <x v="0"/>
    <s v=""/>
    <m/>
    <m/>
    <s v=""/>
    <s v=""/>
    <s v=""/>
    <s v=""/>
    <n v="1"/>
  </r>
  <r>
    <x v="1"/>
    <n v="333"/>
    <m/>
    <n v="1977"/>
    <s v=""/>
    <s v=""/>
    <x v="138"/>
    <n v="32921219000110"/>
    <s v=""/>
    <s v="MDL Import"/>
    <s v="11910695515"/>
    <s v=""/>
    <s v="janaina@mdlimport.com.br"/>
    <s v=""/>
    <s v=""/>
    <s v=""/>
    <s v=""/>
    <s v=""/>
    <s v=""/>
    <s v=""/>
    <s v=""/>
    <s v="80%"/>
    <s v="Pipeline de Vendas"/>
    <s v="Em negociação (75%)"/>
    <s v=""/>
    <m/>
    <n v="69112"/>
    <n v="318388"/>
    <n v="88"/>
    <s v="Junior Lopes"/>
    <d v="2025-04-03T00:00:00"/>
    <d v="1899-12-30T15:52:15"/>
    <s v=""/>
    <s v="Perdido"/>
    <d v="2025-06-30T00:00:00"/>
    <d v="1899-12-30T15:11:40"/>
    <s v="Não houve aprovação financeira"/>
    <s v="integração com WMS inviabilizou o projeto"/>
    <s v=""/>
    <x v="63"/>
    <s v="Junior Lopes"/>
    <x v="72"/>
    <s v="15/04/2025"/>
    <m/>
    <m/>
    <s v=""/>
    <s v=""/>
    <s v=""/>
    <s v=""/>
    <n v="1"/>
  </r>
  <r>
    <x v="2"/>
    <n v="334"/>
    <m/>
    <n v="1978"/>
    <s v=""/>
    <s v=""/>
    <x v="139"/>
    <n v="55940574000131"/>
    <s v=""/>
    <s v="Herbert Felipe Monteiro"/>
    <s v="16994380062"/>
    <s v=""/>
    <s v="felipe.monteiro@pimpinella.com.br"/>
    <s v=""/>
    <s v=""/>
    <s v=""/>
    <s v=""/>
    <s v=""/>
    <s v="Indicação"/>
    <s v=""/>
    <s v=""/>
    <s v="80%"/>
    <s v="Pipeline de Vendas"/>
    <s v="Em negociação (75%)"/>
    <s v="10x sem juros (0/30/60/90/120/150...)"/>
    <d v="2026-01-31T00:00:00"/>
    <m/>
    <m/>
    <n v="228"/>
    <s v="Rayssa Karapeticov"/>
    <d v="2025-04-04T00:00:00"/>
    <d v="1899-12-30T15:30:02"/>
    <s v=""/>
    <s v="Perdido"/>
    <d v="2025-11-18T00:00:00"/>
    <d v="1899-12-30T09:22:52"/>
    <s v="Projeto adiado / sem prazo definido"/>
    <s v=""/>
    <s v=""/>
    <x v="64"/>
    <s v="Rayssa Karapeticov"/>
    <x v="73"/>
    <s v="16/04/2025"/>
    <m/>
    <m/>
    <s v=""/>
    <s v=""/>
    <s v=""/>
    <s v=""/>
    <n v="1"/>
  </r>
  <r>
    <x v="1"/>
    <n v="336"/>
    <m/>
    <n v="1980"/>
    <s v=""/>
    <s v=""/>
    <x v="140"/>
    <n v="56262451000151"/>
    <s v=""/>
    <s v="Mais Barato Brinquedos"/>
    <s v="(11) 2492-2763"/>
    <s v=""/>
    <s v="fbastosauditores@terra.com.br"/>
    <s v=""/>
    <s v=""/>
    <s v=""/>
    <s v="GUARULHOS"/>
    <s v="SP"/>
    <s v=""/>
    <s v=""/>
    <s v=""/>
    <s v=""/>
    <s v="Pipeline de Vendas"/>
    <s v="Em negociação (75%)"/>
    <s v=""/>
    <m/>
    <n v="110486"/>
    <n v="704412"/>
    <n v="16"/>
    <s v="Junior Lopes"/>
    <d v="2025-04-07T00:00:00"/>
    <d v="1899-12-30T10:11:44"/>
    <s v=""/>
    <s v="Perdido"/>
    <d v="2025-04-23T00:00:00"/>
    <d v="1899-12-30T15:03:14"/>
    <s v="Não houve aprovação financeira"/>
    <s v="Após envio da proposta comercial, não obtive mais retorno do Kaique, estou declinando a oportunidade mas continuarei tentando contato"/>
    <s v="10/04/2025"/>
    <x v="65"/>
    <s v=""/>
    <x v="0"/>
    <s v=""/>
    <m/>
    <m/>
    <s v=""/>
    <s v=""/>
    <s v=""/>
    <s v=""/>
    <n v="1"/>
  </r>
  <r>
    <x v="0"/>
    <n v="338"/>
    <m/>
    <n v="1983"/>
    <s v=""/>
    <s v=""/>
    <x v="141"/>
    <n v="750764000102"/>
    <s v=""/>
    <s v="Adavilson"/>
    <s v="4834332503"/>
    <s v=""/>
    <s v="adavilson@bruver.com.br"/>
    <s v=""/>
    <s v=""/>
    <s v=""/>
    <s v=""/>
    <s v=""/>
    <s v=""/>
    <s v=""/>
    <s v=""/>
    <s v=""/>
    <s v="Pipeline de Vendas"/>
    <s v="Em negociação (75%)"/>
    <s v=""/>
    <m/>
    <n v="50000"/>
    <n v="30502"/>
    <n v="26"/>
    <s v="Paulo Souza"/>
    <d v="2025-04-07T00:00:00"/>
    <d v="1899-12-30T14:24:21"/>
    <s v=""/>
    <s v="Perdido"/>
    <d v="2025-05-03T00:00:00"/>
    <d v="1899-12-30T10:41:00"/>
    <s v="Preço muito alto - fora do budget de investimento"/>
    <s v=""/>
    <s v=""/>
    <x v="66"/>
    <s v="Paulo Souza"/>
    <x v="74"/>
    <s v=""/>
    <m/>
    <m/>
    <s v=""/>
    <s v=""/>
    <s v=""/>
    <s v=""/>
    <n v="1"/>
  </r>
  <r>
    <x v="1"/>
    <n v="343"/>
    <m/>
    <n v="1988"/>
    <s v=""/>
    <s v=""/>
    <x v="142"/>
    <m/>
    <s v=""/>
    <s v="ALMAPY"/>
    <s v="11940062281"/>
    <s v=""/>
    <s v="projetos@almapy.com.br"/>
    <s v=""/>
    <s v=""/>
    <s v=""/>
    <s v=""/>
    <s v=""/>
    <s v=""/>
    <s v=""/>
    <s v=""/>
    <s v=""/>
    <s v="Pipeline de Vendas"/>
    <s v="Apresentar Proposta (50%)"/>
    <s v=""/>
    <m/>
    <n v="32400"/>
    <n v="104544"/>
    <n v="34"/>
    <s v="Junior Lopes"/>
    <d v="2025-04-11T00:00:00"/>
    <d v="1899-12-30T11:56:04"/>
    <s v=""/>
    <s v="Perdido"/>
    <d v="2025-05-15T00:00:00"/>
    <d v="1899-12-30T11:17:15"/>
    <s v="Projeto adiado / sem prazo definido"/>
    <s v="Não vai dar sequencia no momento"/>
    <s v=""/>
    <x v="67"/>
    <s v=""/>
    <x v="75"/>
    <s v=""/>
    <m/>
    <m/>
    <s v=""/>
    <s v=""/>
    <s v=""/>
    <s v=""/>
    <n v="1"/>
  </r>
  <r>
    <x v="1"/>
    <n v="346"/>
    <m/>
    <n v="1991"/>
    <s v=""/>
    <s v=""/>
    <x v="143"/>
    <m/>
    <s v=""/>
    <s v="Renovação Porcelanas"/>
    <s v="11965745182"/>
    <s v=""/>
    <s v="camila@rnporcelanas.com.br"/>
    <s v=""/>
    <s v=""/>
    <s v=""/>
    <s v=""/>
    <s v=""/>
    <s v=""/>
    <s v=""/>
    <s v=""/>
    <s v="30%;90%;Fabio Indica"/>
    <s v="Pipeline de Vendas"/>
    <s v="Em Fechamento (100%)"/>
    <s v=""/>
    <d v="2026-01-31T00:00:00"/>
    <n v="51306"/>
    <n v="2700"/>
    <n v="296"/>
    <s v="Junior Lopes"/>
    <d v="2025-04-15T00:00:00"/>
    <d v="1899-12-30T14:58:16"/>
    <s v=""/>
    <s v="Ganho"/>
    <d v="2025-05-06T00:00:00"/>
    <d v="1899-12-30T11:39:55"/>
    <s v=""/>
    <s v="0"/>
    <s v=""/>
    <x v="6"/>
    <s v=""/>
    <x v="41"/>
    <s v=""/>
    <d v="2026-01-06T00:00:00"/>
    <m/>
    <s v=""/>
    <s v=""/>
    <s v=""/>
    <s v=""/>
    <n v="1"/>
  </r>
  <r>
    <x v="1"/>
    <n v="347"/>
    <m/>
    <n v="1992"/>
    <s v=""/>
    <s v=""/>
    <x v="144"/>
    <m/>
    <s v=""/>
    <s v="Renovação Porcelanas - AFV"/>
    <s v="11965745182"/>
    <s v=""/>
    <s v="camila@rnporcelanas.com.br"/>
    <s v=""/>
    <s v=""/>
    <s v=""/>
    <s v=""/>
    <s v=""/>
    <s v=""/>
    <s v=""/>
    <s v=""/>
    <s v=""/>
    <s v="Pipeline de Vendas"/>
    <s v="Em negociação (75%)"/>
    <s v=""/>
    <m/>
    <n v="15216"/>
    <n v="37684"/>
    <n v="21"/>
    <s v="Junior Lopes"/>
    <d v="2025-04-15T00:00:00"/>
    <d v="1899-12-30T14:59:35"/>
    <s v=""/>
    <s v="Perdido"/>
    <d v="2025-05-06T00:00:00"/>
    <d v="1899-12-30T11:41:13"/>
    <s v="Preço muito alto - fora do budget de investimento"/>
    <s v="Camila ! Sobre o projeto, acredita que vamos dar sequência?_x000a_,_x000a_Camila ? Boa tarde ! Espero que esteja bem ._x000a_Acredita que vamos seguir !_x000a_Oi boa tarde_x000a_Olá Camila ! Bom dia _x000a_Sobre o software? Tem interesse em dar continuidade?_x000a_Oi Camila, acredito que não tenham interesse nesse momento e tudo bem ! fico a disposição caso queira voltar sobre o projeto em breve_x000a_Junior bom dia_x000a_estou te devendo um retorno_x000a_esse valor de investimento no momento não faz sentido pra nós_x000a_voces querem fazer uma contra proposta ? posso verificar com minha diretoria"/>
    <s v=""/>
    <x v="68"/>
    <s v=""/>
    <x v="76"/>
    <s v=""/>
    <m/>
    <m/>
    <s v=""/>
    <s v=""/>
    <s v=""/>
    <s v=""/>
    <n v="1"/>
  </r>
  <r>
    <x v="1"/>
    <n v="348"/>
    <m/>
    <n v="1993"/>
    <s v=""/>
    <s v=""/>
    <x v="145"/>
    <m/>
    <s v=""/>
    <s v="Unik"/>
    <s v="11997371774"/>
    <s v=""/>
    <s v="leonardo@unik.com.br"/>
    <s v=""/>
    <s v=""/>
    <s v=""/>
    <s v=""/>
    <s v=""/>
    <s v=""/>
    <s v=""/>
    <s v=""/>
    <s v=""/>
    <s v="Pipeline de Vendas"/>
    <s v="Em Fechamento (100%)"/>
    <s v="10x sem juros (0/30/60/90/120/150...)"/>
    <m/>
    <n v="15264"/>
    <n v="8210"/>
    <n v="22"/>
    <s v="Junior Lopes"/>
    <d v="2025-04-15T00:00:00"/>
    <d v="1899-12-30T17:21:27"/>
    <s v=""/>
    <s v="Ganho"/>
    <d v="2025-05-07T00:00:00"/>
    <d v="1899-12-30T08:54:54"/>
    <s v=""/>
    <s v=""/>
    <s v=""/>
    <x v="69"/>
    <s v=""/>
    <x v="0"/>
    <s v=""/>
    <m/>
    <m/>
    <s v=""/>
    <s v=""/>
    <s v=""/>
    <s v=""/>
    <n v="1"/>
  </r>
  <r>
    <x v="1"/>
    <n v="351"/>
    <m/>
    <n v="1997"/>
    <s v=""/>
    <s v=""/>
    <x v="146"/>
    <n v="56262451000151"/>
    <s v=""/>
    <s v="XieXie Com. de brinquedos - B2B"/>
    <s v="(11) 2492-2763"/>
    <s v=""/>
    <s v="fbastosauditores@terra.com.br"/>
    <s v=""/>
    <s v=""/>
    <s v=""/>
    <s v="GUARULHOS"/>
    <s v="SP"/>
    <s v=""/>
    <s v=""/>
    <s v=""/>
    <s v=""/>
    <s v="Pipeline de Vendas"/>
    <s v="Em negociação (75%)"/>
    <s v=""/>
    <m/>
    <n v="1620001"/>
    <n v="3400"/>
    <n v="6"/>
    <s v="Junior Lopes"/>
    <d v="2025-04-17T00:00:00"/>
    <d v="1899-12-30T10:20:26"/>
    <s v=""/>
    <s v="Perdido"/>
    <d v="2025-04-23T00:00:00"/>
    <d v="1899-12-30T15:04:23"/>
    <s v="Não houve aprovação financeira"/>
    <s v="Após envio da proposta comercial, não obtive mais retorno do Kaique, estou declinando a oportunidade mas continuarei tentando contato"/>
    <s v=""/>
    <x v="70"/>
    <s v=""/>
    <x v="77"/>
    <s v=""/>
    <m/>
    <m/>
    <s v=""/>
    <s v=""/>
    <s v=""/>
    <s v=""/>
    <n v="1"/>
  </r>
  <r>
    <x v="1"/>
    <n v="352"/>
    <m/>
    <n v="1999"/>
    <s v=""/>
    <s v=""/>
    <x v="147"/>
    <m/>
    <s v=""/>
    <s v="XieXie Com. de brinquedos - BI"/>
    <s v="11949590732"/>
    <s v=""/>
    <s v="fbastosauditores@terra.com.br"/>
    <s v=""/>
    <s v=""/>
    <s v=""/>
    <s v=""/>
    <s v=""/>
    <s v=""/>
    <s v=""/>
    <s v=""/>
    <s v=""/>
    <s v="Pipeline de Vendas"/>
    <s v="Em negociação (75%)"/>
    <s v=""/>
    <m/>
    <n v="16200"/>
    <n v="2160"/>
    <n v="6"/>
    <s v="Junior Lopes"/>
    <d v="2025-04-17T00:00:00"/>
    <d v="1899-12-30T11:11:07"/>
    <s v=""/>
    <s v="Perdido"/>
    <d v="2025-04-23T00:00:00"/>
    <d v="1899-12-30T15:05:19"/>
    <s v="Não houve aprovação financeira"/>
    <s v="Após envio da proposta comercial, não obtive mais retorno do Kaique, estou declinando a oportunidade mas continuarei tentando contato"/>
    <s v=""/>
    <x v="70"/>
    <s v=""/>
    <x v="77"/>
    <s v=""/>
    <m/>
    <m/>
    <s v=""/>
    <s v=""/>
    <s v=""/>
    <s v=""/>
    <n v="1"/>
  </r>
  <r>
    <x v="1"/>
    <n v="353"/>
    <m/>
    <n v="2000"/>
    <s v=""/>
    <s v=""/>
    <x v="148"/>
    <n v="8678467000105"/>
    <s v=""/>
    <s v="Y-888 - ERP"/>
    <s v="(21) 2784-2650"/>
    <s v=""/>
    <s v=""/>
    <s v=""/>
    <s v=""/>
    <s v=""/>
    <s v="DUQUE DE CAXIAS"/>
    <s v="RJ"/>
    <s v=""/>
    <s v=""/>
    <s v=""/>
    <s v="50%"/>
    <s v="Pipeline de Vendas"/>
    <s v="Em negociação (75%)"/>
    <s v=""/>
    <m/>
    <n v="5667184"/>
    <n v="539533"/>
    <n v="68"/>
    <s v="Junior Lopes"/>
    <d v="2025-04-17T00:00:00"/>
    <d v="1899-12-30T12:16:07"/>
    <s v=""/>
    <s v="Perdido"/>
    <d v="2025-06-24T00:00:00"/>
    <d v="1899-12-30T11:54:52"/>
    <s v="Não houve aprovação financeira"/>
    <s v="estou fechando oportunidade porem manterei contato com Victor"/>
    <s v=""/>
    <x v="63"/>
    <s v=""/>
    <x v="72"/>
    <s v=""/>
    <m/>
    <m/>
    <s v=""/>
    <s v=""/>
    <s v=""/>
    <s v=""/>
    <n v="1"/>
  </r>
  <r>
    <x v="1"/>
    <n v="354"/>
    <m/>
    <n v="2002"/>
    <s v=""/>
    <s v=""/>
    <x v="149"/>
    <n v="8678467000105"/>
    <s v=""/>
    <s v="Y 888 importação - AFV"/>
    <s v="(21) 2784-2650"/>
    <s v=""/>
    <s v=""/>
    <s v=""/>
    <s v=""/>
    <s v=""/>
    <s v="DUQUE DE CAXIAS"/>
    <s v="RJ"/>
    <s v=""/>
    <s v=""/>
    <s v=""/>
    <s v="50%"/>
    <s v="Pipeline de Vendas"/>
    <s v="Em negociação (75%)"/>
    <s v=""/>
    <m/>
    <n v="1600"/>
    <n v="28747"/>
    <n v="68"/>
    <s v="Junior Lopes"/>
    <d v="2025-04-17T00:00:00"/>
    <d v="1899-12-30T14:20:48"/>
    <s v=""/>
    <s v="Perdido"/>
    <d v="2025-06-24T00:00:00"/>
    <d v="1899-12-30T11:56:26"/>
    <s v="Não houve aprovação financeira"/>
    <s v="estou descartando oportunidade porem vou manter contato com Victor"/>
    <s v=""/>
    <x v="63"/>
    <s v=""/>
    <x v="72"/>
    <s v=""/>
    <m/>
    <m/>
    <s v=""/>
    <s v=""/>
    <s v=""/>
    <s v=""/>
    <n v="1"/>
  </r>
  <r>
    <x v="1"/>
    <n v="355"/>
    <m/>
    <n v="2004"/>
    <s v=""/>
    <s v=""/>
    <x v="150"/>
    <m/>
    <s v=""/>
    <s v="MDL Import - Cloud"/>
    <s v="11910695515"/>
    <s v=""/>
    <s v="janaina@mdlimpoort.com.br"/>
    <s v=""/>
    <s v=""/>
    <s v=""/>
    <s v=""/>
    <s v=""/>
    <s v=""/>
    <s v=""/>
    <s v=""/>
    <s v="80%"/>
    <s v="Pipeline de Vendas"/>
    <s v="Em negociação (75%)"/>
    <s v=""/>
    <m/>
    <n v="1600"/>
    <n v="32107"/>
    <n v="74"/>
    <s v="Junior Lopes"/>
    <d v="2025-04-17T00:00:00"/>
    <d v="1899-12-30T15:26:06"/>
    <s v=""/>
    <s v="Perdido"/>
    <d v="2025-06-30T00:00:00"/>
    <d v="1899-12-30T15:13:09"/>
    <s v="Não houve aprovação financeira"/>
    <s v="integração com WMS inviabilizou projeto"/>
    <s v=""/>
    <x v="63"/>
    <s v=""/>
    <x v="72"/>
    <s v="15/04/2025"/>
    <m/>
    <m/>
    <s v=""/>
    <s v=""/>
    <s v=""/>
    <s v=""/>
    <n v="1"/>
  </r>
  <r>
    <x v="1"/>
    <n v="358"/>
    <m/>
    <n v="2008"/>
    <s v=""/>
    <s v=""/>
    <x v="151"/>
    <m/>
    <s v=""/>
    <s v="Cassio"/>
    <s v="(22) 99967-1888"/>
    <s v=""/>
    <s v="ngcassio@gmail.com"/>
    <s v=""/>
    <s v=""/>
    <s v=""/>
    <s v="Nova Friburgo"/>
    <s v=""/>
    <s v="Site"/>
    <s v=""/>
    <s v=""/>
    <s v="Solicita demo"/>
    <s v="Pipeline de Vendas"/>
    <s v="Apresentar Proposta (50%)"/>
    <s v=""/>
    <m/>
    <n v="58088"/>
    <n v="112089"/>
    <n v="17"/>
    <s v="Paulo Souza"/>
    <d v="2025-04-28T00:00:00"/>
    <d v="1899-12-30T16:40:49"/>
    <s v=""/>
    <s v="Perdido"/>
    <d v="2025-05-15T00:00:00"/>
    <d v="1899-12-30T15:31:10"/>
    <s v="Projeto adiado / sem prazo definido"/>
    <s v="empresa ainda esta no zero ! cliente mentaliza algo fora da realidade !"/>
    <s v=""/>
    <x v="64"/>
    <s v="Junior Lopes"/>
    <x v="78"/>
    <s v=""/>
    <m/>
    <m/>
    <s v=""/>
    <s v=""/>
    <s v=""/>
    <s v=""/>
    <n v="1"/>
  </r>
  <r>
    <x v="0"/>
    <n v="359"/>
    <m/>
    <n v="2019"/>
    <s v=""/>
    <s v=""/>
    <x v="152"/>
    <m/>
    <s v=""/>
    <s v="Vagner"/>
    <s v="(16) 99126-8825"/>
    <s v=""/>
    <s v="flordesedaimportadora@outlook.com"/>
    <s v=""/>
    <s v=""/>
    <s v=""/>
    <s v=""/>
    <s v=""/>
    <s v=""/>
    <s v=""/>
    <s v=""/>
    <s v=""/>
    <s v="Pipeline de Vendas"/>
    <s v="Em Fechamento (100%)"/>
    <s v=""/>
    <m/>
    <n v="40000"/>
    <n v="23581"/>
    <n v="43"/>
    <s v="Paulo Souza"/>
    <d v="2025-04-28T00:00:00"/>
    <d v="1899-12-30T16:44:09"/>
    <s v=""/>
    <s v="Ganho"/>
    <d v="2025-06-10T00:00:00"/>
    <d v="1899-12-30T12:15:46"/>
    <s v=""/>
    <s v=""/>
    <s v=""/>
    <x v="71"/>
    <s v="Paulo Souza"/>
    <x v="79"/>
    <s v=""/>
    <m/>
    <m/>
    <s v=""/>
    <s v=""/>
    <s v=""/>
    <s v=""/>
    <n v="1"/>
  </r>
  <r>
    <x v="0"/>
    <n v="360"/>
    <m/>
    <n v="1986"/>
    <s v=""/>
    <s v=""/>
    <x v="153"/>
    <m/>
    <s v=""/>
    <s v="Gabrielle"/>
    <s v="(11) 93449-7333"/>
    <s v=""/>
    <s v="gabi.bertoni@outlook.com"/>
    <s v=""/>
    <s v=""/>
    <s v=""/>
    <s v="São Paulo"/>
    <s v=""/>
    <s v="Site"/>
    <s v=""/>
    <s v=""/>
    <s v="Solicita demo"/>
    <s v="Pipeline de Vendas"/>
    <s v="Em negociação (75%)"/>
    <s v=""/>
    <m/>
    <n v="68400"/>
    <n v="302046"/>
    <n v="43"/>
    <s v="Paulo Souza"/>
    <d v="2025-04-28T00:00:00"/>
    <d v="1899-12-30T16:51:09"/>
    <s v=""/>
    <s v="Perdido"/>
    <d v="2025-06-10T00:00:00"/>
    <d v="1899-12-30T14:43:33"/>
    <s v="Não quer mudar a solução atual"/>
    <s v=""/>
    <s v=""/>
    <x v="71"/>
    <s v="Paulo Souza"/>
    <x v="79"/>
    <s v=""/>
    <m/>
    <m/>
    <s v=""/>
    <s v=""/>
    <s v=""/>
    <s v=""/>
    <n v="1"/>
  </r>
  <r>
    <x v="1"/>
    <n v="361"/>
    <m/>
    <n v="2010"/>
    <s v=""/>
    <s v=""/>
    <x v="154"/>
    <m/>
    <s v=""/>
    <s v="Importadora Cassio - Cloud"/>
    <s v="22999671888"/>
    <s v=""/>
    <s v="ngcassio@gmail.com"/>
    <s v=""/>
    <s v=""/>
    <s v=""/>
    <s v=""/>
    <s v=""/>
    <s v=""/>
    <s v=""/>
    <s v=""/>
    <s v=""/>
    <s v="Pipeline de Vendas"/>
    <s v="Apresentar Proposta (50%)"/>
    <s v=""/>
    <m/>
    <n v="26200"/>
    <n v="3400"/>
    <n v="16"/>
    <s v="Junior Lopes"/>
    <d v="2025-04-29T00:00:00"/>
    <d v="1899-12-30T14:49:37"/>
    <s v=""/>
    <s v="Perdido"/>
    <d v="2025-05-15T00:00:00"/>
    <d v="1899-12-30T15:31:35"/>
    <s v="Projeto adiado / sem prazo definido"/>
    <s v="empresa ainda esta no zero ! cliente mentaliza algo fora da realidade !"/>
    <s v=""/>
    <x v="64"/>
    <s v=""/>
    <x v="78"/>
    <s v=""/>
    <m/>
    <m/>
    <s v=""/>
    <s v=""/>
    <s v=""/>
    <s v=""/>
    <n v="1"/>
  </r>
  <r>
    <x v="1"/>
    <n v="362"/>
    <m/>
    <n v="2011"/>
    <s v=""/>
    <s v=""/>
    <x v="155"/>
    <m/>
    <s v=""/>
    <s v="Renovação porcelanas - Cloud"/>
    <s v="11965745182"/>
    <s v=""/>
    <s v="camila@rnporcelanas.com.br"/>
    <s v=""/>
    <s v=""/>
    <s v=""/>
    <s v=""/>
    <s v=""/>
    <s v=""/>
    <s v=""/>
    <s v=""/>
    <s v=""/>
    <s v="Pipeline de Vendas"/>
    <s v="Em negociação (75%)"/>
    <s v=""/>
    <m/>
    <n v="1600"/>
    <n v="1026"/>
    <n v="7"/>
    <s v="Junior Lopes"/>
    <d v="2025-04-29T00:00:00"/>
    <d v="1899-12-30T16:51:32"/>
    <s v=""/>
    <s v="Perdido"/>
    <d v="2025-05-06T00:00:00"/>
    <d v="1899-12-30T15:02:15"/>
    <s v="Preço muito alto - fora do budget de investimento"/>
    <s v=""/>
    <s v=""/>
    <x v="68"/>
    <s v=""/>
    <x v="76"/>
    <s v=""/>
    <m/>
    <m/>
    <s v=""/>
    <s v=""/>
    <s v=""/>
    <s v=""/>
    <n v="1"/>
  </r>
  <r>
    <x v="2"/>
    <n v="366"/>
    <m/>
    <n v="2015"/>
    <s v=""/>
    <s v=""/>
    <x v="156"/>
    <m/>
    <s v=""/>
    <s v="Jose Roberto"/>
    <s v=""/>
    <s v=""/>
    <s v="diretoria@grupobeline.com.br"/>
    <s v=""/>
    <s v=""/>
    <s v=""/>
    <s v=""/>
    <s v=""/>
    <s v=""/>
    <s v=""/>
    <s v=""/>
    <s v=""/>
    <s v="Pipeline de Vendas"/>
    <s v="Em Fechamento (100%)"/>
    <s v=""/>
    <m/>
    <n v="3360"/>
    <n v="165372"/>
    <n v="19"/>
    <s v="Rayssa Karapeticov"/>
    <d v="2025-04-30T00:00:00"/>
    <d v="1899-12-30T15:10:38"/>
    <s v=""/>
    <s v="Ganho"/>
    <d v="2025-05-19T00:00:00"/>
    <d v="1899-12-30T09:02:32"/>
    <s v=""/>
    <s v=""/>
    <s v=""/>
    <x v="72"/>
    <s v=""/>
    <x v="80"/>
    <s v=""/>
    <m/>
    <m/>
    <s v=""/>
    <s v=""/>
    <s v=""/>
    <s v=""/>
    <n v="1"/>
  </r>
  <r>
    <x v="1"/>
    <n v="367"/>
    <m/>
    <n v="2016"/>
    <s v=""/>
    <s v=""/>
    <x v="157"/>
    <m/>
    <s v=""/>
    <s v="Cassio importadora - Cloud"/>
    <s v="22999671888"/>
    <s v=""/>
    <s v="ngcassio@gmail.com"/>
    <s v=""/>
    <s v=""/>
    <s v=""/>
    <s v=""/>
    <s v=""/>
    <s v=""/>
    <s v=""/>
    <s v=""/>
    <s v=""/>
    <s v="Pipeline de Vendas"/>
    <s v="Apresentar Proposta (50%)"/>
    <s v=""/>
    <m/>
    <n v="1600"/>
    <n v="210169"/>
    <n v="15"/>
    <s v="Junior Lopes"/>
    <d v="2025-04-30T00:00:00"/>
    <d v="1899-12-30T15:30:14"/>
    <s v=""/>
    <s v="Perdido"/>
    <d v="2025-05-15T00:00:00"/>
    <d v="1899-12-30T15:31:57"/>
    <s v="Projeto adiado / sem prazo definido"/>
    <s v="empresa ainda esta no zero ! cliente mentaliza algo fora da realidade !"/>
    <s v=""/>
    <x v="64"/>
    <s v=""/>
    <x v="78"/>
    <s v=""/>
    <m/>
    <m/>
    <s v=""/>
    <s v=""/>
    <s v=""/>
    <s v=""/>
    <n v="1"/>
  </r>
  <r>
    <x v="0"/>
    <n v="368"/>
    <m/>
    <n v="2017"/>
    <s v=""/>
    <s v=""/>
    <x v="158"/>
    <n v="18677964000134"/>
    <s v=""/>
    <s v="L&amp;T Importadora"/>
    <s v="1127696004"/>
    <s v=""/>
    <s v="financeiro@ltimportadora.com.br"/>
    <s v=""/>
    <s v=""/>
    <s v=""/>
    <s v=""/>
    <s v=""/>
    <s v=""/>
    <s v=""/>
    <s v=""/>
    <s v=""/>
    <s v="Pipeline de Vendas"/>
    <s v="Em Fechamento (100%)"/>
    <s v=""/>
    <m/>
    <n v="14000"/>
    <n v="886"/>
    <n v="0"/>
    <s v="Paulo Souza"/>
    <d v="2025-05-02T00:00:00"/>
    <d v="1899-12-30T13:58:07"/>
    <s v=""/>
    <s v="Ganho"/>
    <d v="2025-05-02T00:00:00"/>
    <d v="1899-12-30T14:04:33"/>
    <s v=""/>
    <s v=""/>
    <s v=""/>
    <x v="73"/>
    <s v="Paulo Souza"/>
    <x v="81"/>
    <s v=""/>
    <m/>
    <m/>
    <s v=""/>
    <s v=""/>
    <s v=""/>
    <s v=""/>
    <n v="1"/>
  </r>
  <r>
    <x v="0"/>
    <n v="369"/>
    <m/>
    <n v="2018"/>
    <s v=""/>
    <s v=""/>
    <x v="159"/>
    <n v="10906096000105"/>
    <s v=""/>
    <s v="Sakes"/>
    <s v="1133133243"/>
    <s v=""/>
    <s v="MARCIA@SAKES.COM.BR"/>
    <s v=""/>
    <s v=""/>
    <s v=""/>
    <s v=""/>
    <s v=""/>
    <s v=""/>
    <s v=""/>
    <s v=""/>
    <s v=""/>
    <s v="Pipeline de Vendas"/>
    <s v="Agendamento (0%)"/>
    <s v=""/>
    <m/>
    <n v="13600"/>
    <n v="886"/>
    <n v="0"/>
    <s v="Paulo Souza"/>
    <d v="2025-05-02T00:00:00"/>
    <d v="1899-12-30T14:06:04"/>
    <s v=""/>
    <s v="Ganho"/>
    <d v="2025-05-02T00:00:00"/>
    <d v="1899-12-30T14:08:29"/>
    <s v=""/>
    <s v=""/>
    <s v=""/>
    <x v="73"/>
    <s v="Paulo Souza"/>
    <x v="81"/>
    <s v=""/>
    <m/>
    <m/>
    <s v=""/>
    <s v=""/>
    <s v=""/>
    <s v=""/>
    <n v="1"/>
  </r>
  <r>
    <x v="0"/>
    <n v="370"/>
    <m/>
    <n v="2020"/>
    <s v=""/>
    <s v=""/>
    <x v="160"/>
    <m/>
    <s v=""/>
    <s v="Nathan"/>
    <s v="15998182143"/>
    <s v=""/>
    <s v="null"/>
    <s v=""/>
    <s v=""/>
    <s v=""/>
    <s v=""/>
    <s v=""/>
    <s v=""/>
    <s v=""/>
    <s v=""/>
    <s v="50%"/>
    <s v="Pipeline de Vendas"/>
    <s v="Em negociação (75%)"/>
    <s v=""/>
    <m/>
    <n v="51250"/>
    <n v="33381"/>
    <n v="114"/>
    <s v="Paulo Souza"/>
    <d v="2025-05-03T00:00:00"/>
    <d v="1899-12-30T11:03:22"/>
    <s v=""/>
    <s v="Perdido"/>
    <d v="2025-08-25T00:00:00"/>
    <d v="1899-12-30T14:34:31"/>
    <s v="Projeto adiado / sem prazo definido"/>
    <s v=""/>
    <s v=""/>
    <x v="0"/>
    <s v="Paulo Souza"/>
    <x v="82"/>
    <s v=""/>
    <m/>
    <m/>
    <s v=""/>
    <s v=""/>
    <s v=""/>
    <s v=""/>
    <n v="1"/>
  </r>
  <r>
    <x v="1"/>
    <n v="375"/>
    <m/>
    <n v="2024"/>
    <s v=""/>
    <s v=""/>
    <x v="161"/>
    <m/>
    <s v=""/>
    <s v="Mundial Log"/>
    <s v="11947482090"/>
    <s v=""/>
    <s v="rafael@mundiallog.com.br"/>
    <s v=""/>
    <s v=""/>
    <s v=""/>
    <s v=""/>
    <s v=""/>
    <s v=""/>
    <s v=""/>
    <s v=""/>
    <s v=""/>
    <s v="Pipeline de Vendas"/>
    <s v="Apresentar Proposta (50%)"/>
    <s v=""/>
    <m/>
    <n v="69112"/>
    <n v="508112"/>
    <n v="7"/>
    <s v="Junior Lopes"/>
    <d v="2025-05-08T00:00:00"/>
    <d v="1899-12-30T16:11:25"/>
    <s v=""/>
    <s v="Perdido"/>
    <d v="2025-05-15T00:00:00"/>
    <d v="1899-12-30T16:22:48"/>
    <s v="Não houve aprovação financeira"/>
    <s v=""/>
    <s v=""/>
    <x v="74"/>
    <s v=""/>
    <x v="83"/>
    <s v=""/>
    <m/>
    <m/>
    <s v=""/>
    <s v=""/>
    <s v=""/>
    <s v=""/>
    <n v="1"/>
  </r>
  <r>
    <x v="1"/>
    <n v="376"/>
    <m/>
    <n v="2025"/>
    <s v=""/>
    <s v=""/>
    <x v="162"/>
    <m/>
    <s v=""/>
    <s v="Mundial Log - Cloud"/>
    <s v="11947482090"/>
    <s v=""/>
    <s v="rafael@mundiallog.com.br"/>
    <s v=""/>
    <s v=""/>
    <s v=""/>
    <s v=""/>
    <s v=""/>
    <s v=""/>
    <s v=""/>
    <s v=""/>
    <s v=""/>
    <s v="Pipeline de Vendas"/>
    <s v="Apresentar Proposta (50%)"/>
    <s v=""/>
    <m/>
    <n v="1600"/>
    <n v="32107"/>
    <n v="7"/>
    <s v="Junior Lopes"/>
    <d v="2025-05-08T00:00:00"/>
    <d v="1899-12-30T16:29:40"/>
    <s v=""/>
    <s v="Perdido"/>
    <d v="2025-05-15T00:00:00"/>
    <d v="1899-12-30T16:23:14"/>
    <s v="Não houve aprovação financeira"/>
    <s v=""/>
    <s v=""/>
    <x v="74"/>
    <s v=""/>
    <x v="83"/>
    <s v=""/>
    <m/>
    <m/>
    <s v=""/>
    <s v=""/>
    <s v=""/>
    <s v=""/>
    <n v="1"/>
  </r>
  <r>
    <x v="0"/>
    <n v="379"/>
    <m/>
    <n v="2199"/>
    <s v=""/>
    <s v=""/>
    <x v="163"/>
    <m/>
    <s v=""/>
    <s v="Anderson"/>
    <s v="(16) 99707-0733"/>
    <s v=""/>
    <s v=""/>
    <s v=""/>
    <s v=""/>
    <s v=""/>
    <s v=""/>
    <s v=""/>
    <s v="Indicação"/>
    <s v=""/>
    <s v=""/>
    <s v="50%"/>
    <s v="Pipeline de Vendas"/>
    <s v="Em negociação (75%)"/>
    <s v=""/>
    <m/>
    <n v="68400"/>
    <n v="17345"/>
    <n v="108"/>
    <s v="Paulo Souza"/>
    <d v="2025-05-09T00:00:00"/>
    <d v="1899-12-30T16:01:00"/>
    <s v=""/>
    <s v="Perdido"/>
    <d v="2025-08-25T00:00:00"/>
    <d v="1899-12-30T14:28:20"/>
    <s v="Fechou com o concorrente - preço"/>
    <s v=""/>
    <s v=""/>
    <x v="0"/>
    <s v=""/>
    <x v="0"/>
    <s v=""/>
    <m/>
    <m/>
    <s v=""/>
    <s v=""/>
    <s v=""/>
    <s v=""/>
    <n v="1"/>
  </r>
  <r>
    <x v="1"/>
    <n v="382"/>
    <m/>
    <n v="2031"/>
    <s v=""/>
    <s v=""/>
    <x v="164"/>
    <n v="27173648000116"/>
    <s v=""/>
    <s v="Fest Buuble"/>
    <s v="(11) 9342-9915"/>
    <s v=""/>
    <s v="amandfast@gmail.com"/>
    <s v=""/>
    <s v=""/>
    <s v=""/>
    <s v="SAO PAULO"/>
    <s v="SP"/>
    <s v=""/>
    <s v=""/>
    <s v=""/>
    <s v=""/>
    <s v="Pipeline de Vendas"/>
    <s v="Agendamento (0%)"/>
    <s v=""/>
    <m/>
    <m/>
    <m/>
    <n v="50"/>
    <s v="Junior Lopes"/>
    <d v="2025-05-12T00:00:00"/>
    <d v="1899-12-30T15:21:57"/>
    <s v=""/>
    <s v="Perdido"/>
    <d v="2025-07-01T00:00:00"/>
    <d v="1899-12-30T09:46:00"/>
    <s v="Projeto adiado / sem prazo definido"/>
    <s v="Aguardar Rep Mais"/>
    <s v=""/>
    <x v="0"/>
    <s v=""/>
    <x v="84"/>
    <s v=""/>
    <m/>
    <m/>
    <s v=""/>
    <s v=""/>
    <s v=""/>
    <s v=""/>
    <n v="1"/>
  </r>
  <r>
    <x v="1"/>
    <n v="383"/>
    <m/>
    <n v="2033"/>
    <s v=""/>
    <s v=""/>
    <x v="165"/>
    <n v="86890639000105"/>
    <s v=""/>
    <s v="Arrtef Brasil - RMS"/>
    <s v=""/>
    <s v=""/>
    <s v=""/>
    <s v=""/>
    <s v=""/>
    <s v=""/>
    <s v="CURITIBA"/>
    <s v="PR"/>
    <s v=""/>
    <s v=""/>
    <s v=""/>
    <s v=""/>
    <s v="Pipeline de Vendas"/>
    <s v="Agendamento (0%)"/>
    <s v=""/>
    <m/>
    <m/>
    <m/>
    <n v="50"/>
    <s v="Junior Lopes"/>
    <d v="2025-05-12T00:00:00"/>
    <d v="1899-12-30T15:34:32"/>
    <s v=""/>
    <s v="Perdido"/>
    <d v="2025-07-01T00:00:00"/>
    <d v="1899-12-30T09:46:34"/>
    <s v="Projeto adiado / sem prazo definido"/>
    <s v="Aguardar Rep Mais"/>
    <s v=""/>
    <x v="0"/>
    <s v=""/>
    <x v="0"/>
    <s v=""/>
    <m/>
    <m/>
    <s v=""/>
    <s v=""/>
    <s v=""/>
    <s v=""/>
    <n v="1"/>
  </r>
  <r>
    <x v="1"/>
    <n v="384"/>
    <m/>
    <n v="2036"/>
    <s v=""/>
    <s v=""/>
    <x v="166"/>
    <m/>
    <s v=""/>
    <s v="Fa fa Import"/>
    <s v="21989290057"/>
    <s v=""/>
    <s v="lucianadsmoura@gmail.com"/>
    <s v=""/>
    <s v=""/>
    <s v=""/>
    <s v=""/>
    <s v=""/>
    <s v=""/>
    <s v=""/>
    <s v=""/>
    <s v="90%"/>
    <s v="Pipeline de Vendas"/>
    <s v="Em Fechamento (100%)"/>
    <s v=""/>
    <m/>
    <n v="3230634"/>
    <n v="17706"/>
    <n v="35"/>
    <s v="Junior Lopes"/>
    <d v="2025-05-13T00:00:00"/>
    <d v="1899-12-30T17:15:52"/>
    <s v=""/>
    <s v="Ganho"/>
    <d v="2025-06-17T00:00:00"/>
    <d v="1899-12-30T16:19:34"/>
    <s v=""/>
    <s v=""/>
    <s v=""/>
    <x v="75"/>
    <s v=""/>
    <x v="85"/>
    <s v=""/>
    <m/>
    <m/>
    <s v=""/>
    <s v=""/>
    <s v=""/>
    <s v=""/>
    <n v="1"/>
  </r>
  <r>
    <x v="1"/>
    <n v="385"/>
    <m/>
    <n v="2037"/>
    <s v=""/>
    <s v=""/>
    <x v="167"/>
    <m/>
    <s v=""/>
    <s v="Fa Fa Import - Cloud"/>
    <s v="21989290058"/>
    <s v=""/>
    <s v="lucianadsmoura@gmail.com"/>
    <s v=""/>
    <s v=""/>
    <s v=""/>
    <s v=""/>
    <s v=""/>
    <s v=""/>
    <s v=""/>
    <s v=""/>
    <s v="90%"/>
    <s v="Pipeline de Vendas"/>
    <s v="Em Fechamento (100%)"/>
    <s v=""/>
    <m/>
    <n v="0"/>
    <n v="208313"/>
    <n v="35"/>
    <s v="Junior Lopes"/>
    <d v="2025-05-13T00:00:00"/>
    <d v="1899-12-30T17:16:59"/>
    <s v=""/>
    <s v="Ganho"/>
    <d v="2025-06-17T00:00:00"/>
    <d v="1899-12-30T16:20:18"/>
    <s v=""/>
    <s v=""/>
    <s v=""/>
    <x v="75"/>
    <s v=""/>
    <x v="85"/>
    <s v=""/>
    <m/>
    <m/>
    <s v=""/>
    <s v=""/>
    <s v=""/>
    <s v=""/>
    <n v="1"/>
  </r>
  <r>
    <x v="1"/>
    <n v="405"/>
    <m/>
    <n v="2061"/>
    <s v=""/>
    <s v=""/>
    <x v="168"/>
    <m/>
    <s v=""/>
    <s v="Amazonia aromas"/>
    <s v="11991266405"/>
    <s v=""/>
    <s v="atendimento@amazoniaaromas.com.br"/>
    <s v=""/>
    <s v=""/>
    <s v=""/>
    <s v=""/>
    <s v=""/>
    <s v=""/>
    <s v=""/>
    <s v=""/>
    <s v="50%"/>
    <s v="Pipeline de Vendas"/>
    <s v="Em negociação (75%)"/>
    <s v=""/>
    <m/>
    <m/>
    <m/>
    <n v="20"/>
    <s v="Junior Lopes"/>
    <d v="2025-05-28T00:00:00"/>
    <d v="1899-12-30T09:32:20"/>
    <s v=""/>
    <s v="Perdido"/>
    <d v="2025-06-17T00:00:00"/>
    <d v="1899-12-30T16:21:42"/>
    <s v="Nossa solução não atende - falta funcionalidade"/>
    <s v="15:18, 3/6/2025 André Oliveira (Amazonia Aromas): Quanto?_x000a_15:21, 3/6/2025 Junior Lopes: acredito que uns 90 dias ! estamos em homologação em um cliente da nossa base_x000a_15:31, 3/6/2025 André Oliveira (Amazonia Aromas): Mobile Android e ios normal_x000a_15:34, 3/6/2025 Junior Lopes: Mobile Android Off-line _x000a_iOS e Windows on-line_x000a_15:37, 3/6/2025 André Oliveira (Amazonia Aromas): Hum ios ferra um pouco"/>
    <s v=""/>
    <x v="76"/>
    <s v=""/>
    <x v="86"/>
    <s v=""/>
    <m/>
    <m/>
    <s v=""/>
    <s v=""/>
    <s v=""/>
    <s v=""/>
    <n v="1"/>
  </r>
  <r>
    <x v="1"/>
    <n v="406"/>
    <m/>
    <n v="2062"/>
    <s v=""/>
    <s v=""/>
    <x v="169"/>
    <n v="5215210000110"/>
    <s v=""/>
    <s v="AZPR"/>
    <s v="(41) 3376-2439"/>
    <s v=""/>
    <s v=""/>
    <s v=""/>
    <s v=""/>
    <s v=""/>
    <s v="CURITIBA"/>
    <s v="PR"/>
    <s v=""/>
    <s v=""/>
    <s v=""/>
    <s v="30%"/>
    <s v="Pipeline de Vendas"/>
    <s v="Apresentar Solução (35%)"/>
    <s v=""/>
    <m/>
    <n v="622008"/>
    <n v="23661"/>
    <n v="26"/>
    <s v="Junior Lopes"/>
    <d v="2025-05-28T00:00:00"/>
    <d v="1899-12-30T09:50:40"/>
    <s v=""/>
    <s v="Perdido"/>
    <d v="2025-06-23T00:00:00"/>
    <d v="1899-12-30T08:51:59"/>
    <s v="Projeto adiado / sem prazo definido"/>
    <s v="voltar contato quando RepMais"/>
    <s v=""/>
    <x v="77"/>
    <s v=""/>
    <x v="87"/>
    <s v=""/>
    <m/>
    <m/>
    <s v=""/>
    <s v=""/>
    <s v=""/>
    <s v=""/>
    <n v="1"/>
  </r>
  <r>
    <x v="1"/>
    <n v="407"/>
    <m/>
    <n v="2065"/>
    <s v=""/>
    <s v=""/>
    <x v="170"/>
    <n v="5215210000110"/>
    <s v=""/>
    <s v="AZPR"/>
    <s v="(41) 3376-2439"/>
    <s v=""/>
    <s v=""/>
    <s v=""/>
    <s v=""/>
    <s v=""/>
    <s v="CURITIBA"/>
    <s v="PR"/>
    <s v=""/>
    <s v=""/>
    <s v=""/>
    <s v="30%"/>
    <s v="Pipeline de Vendas"/>
    <s v="Apresentar Solução (35%)"/>
    <s v=""/>
    <m/>
    <n v="1600"/>
    <n v="26507"/>
    <n v="26"/>
    <s v="Junior Lopes"/>
    <d v="2025-05-28T00:00:00"/>
    <d v="1899-12-30T09:54:27"/>
    <s v=""/>
    <s v="Perdido"/>
    <d v="2025-06-23T00:00:00"/>
    <d v="1899-12-30T08:53:19"/>
    <s v="Projeto adiado / sem prazo definido"/>
    <s v="Procurar quando RepMais"/>
    <s v=""/>
    <x v="77"/>
    <s v=""/>
    <x v="87"/>
    <s v=""/>
    <m/>
    <m/>
    <s v=""/>
    <s v=""/>
    <s v=""/>
    <s v=""/>
    <n v="1"/>
  </r>
  <r>
    <x v="1"/>
    <n v="408"/>
    <m/>
    <n v="2068"/>
    <s v=""/>
    <s v=""/>
    <x v="171"/>
    <m/>
    <s v=""/>
    <s v="Erca alumínio"/>
    <s v="19997023116"/>
    <s v=""/>
    <s v="rafael@ercaaluminio.com.br"/>
    <s v=""/>
    <s v=""/>
    <s v=""/>
    <s v=""/>
    <s v=""/>
    <s v=""/>
    <s v=""/>
    <s v=""/>
    <s v=""/>
    <s v="Pipeline de Vendas"/>
    <s v="Em Fechamento (100%)"/>
    <s v="10x sem juros (0/30/60/90/120/150...)"/>
    <m/>
    <n v="123066"/>
    <n v="0"/>
    <n v="0"/>
    <s v="Junior Lopes"/>
    <d v="2025-05-28T00:00:00"/>
    <d v="1899-12-30T10:09:38"/>
    <s v=""/>
    <s v="Ganho"/>
    <d v="2025-05-28T00:00:00"/>
    <d v="1899-12-30T10:22:07"/>
    <s v=""/>
    <s v=""/>
    <s v=""/>
    <x v="78"/>
    <s v=""/>
    <x v="0"/>
    <s v=""/>
    <m/>
    <m/>
    <s v=""/>
    <s v=""/>
    <s v=""/>
    <s v=""/>
    <n v="1"/>
  </r>
  <r>
    <x v="1"/>
    <n v="409"/>
    <m/>
    <n v="2069"/>
    <s v=""/>
    <s v=""/>
    <x v="172"/>
    <n v="56262451000151"/>
    <s v=""/>
    <s v="XieXie Mais barato"/>
    <s v="(11) 2492-2763"/>
    <s v=""/>
    <s v="fbastosauditores@terra.com.br"/>
    <s v=""/>
    <s v=""/>
    <s v=""/>
    <s v="GUARULHOS"/>
    <s v="SP"/>
    <s v=""/>
    <s v=""/>
    <s v=""/>
    <s v=""/>
    <s v="Pipeline de Vendas"/>
    <s v="Em negociação (75%)"/>
    <s v=""/>
    <m/>
    <n v="52258"/>
    <n v="606364"/>
    <n v="6"/>
    <s v="Junior Lopes"/>
    <d v="2025-05-28T00:00:00"/>
    <d v="1899-12-30T10:32:07"/>
    <s v=""/>
    <s v="Perdido"/>
    <d v="2025-06-03T00:00:00"/>
    <d v="1899-12-30T10:00:29"/>
    <s v="Preço muito alto - fora do budget de investimento"/>
    <s v="PROPOSTA RENOVCADA POREM CLIENTE NÃO DEU SEQUENCIA"/>
    <s v=""/>
    <x v="79"/>
    <s v=""/>
    <x v="0"/>
    <s v=""/>
    <m/>
    <m/>
    <s v=""/>
    <s v=""/>
    <s v=""/>
    <s v=""/>
    <n v="1"/>
  </r>
  <r>
    <x v="1"/>
    <n v="410"/>
    <m/>
    <n v="2071"/>
    <s v=""/>
    <s v=""/>
    <x v="173"/>
    <n v="56262451000151"/>
    <s v=""/>
    <s v="XieXie Mais Barato - BI B2B"/>
    <s v="(11) 2492-2763"/>
    <s v=""/>
    <s v="fbastosauditores@terra.com.br"/>
    <s v=""/>
    <s v=""/>
    <s v=""/>
    <s v="GUARULHOS"/>
    <s v="SP"/>
    <s v=""/>
    <s v=""/>
    <s v=""/>
    <s v=""/>
    <s v="Pipeline de Vendas"/>
    <s v="Em negociação (75%)"/>
    <s v=""/>
    <m/>
    <n v="42400"/>
    <n v="5560"/>
    <n v="6"/>
    <s v="Junior Lopes"/>
    <d v="2025-05-28T00:00:00"/>
    <d v="1899-12-30T10:38:48"/>
    <s v=""/>
    <s v="Perdido"/>
    <d v="2025-06-03T00:00:00"/>
    <d v="1899-12-30T10:01:26"/>
    <s v="Preço muito alto - fora do budget de investimento"/>
    <s v="PROPOSTA RENOVADA POREM CÇIENTE NÃO DEU SEQUENCIA"/>
    <s v=""/>
    <x v="79"/>
    <s v=""/>
    <x v="0"/>
    <s v=""/>
    <m/>
    <m/>
    <s v=""/>
    <s v=""/>
    <s v=""/>
    <s v=""/>
    <n v="1"/>
  </r>
  <r>
    <x v="1"/>
    <n v="412"/>
    <m/>
    <n v="2075"/>
    <s v=""/>
    <s v=""/>
    <x v="174"/>
    <m/>
    <s v=""/>
    <s v="Gala - B2B"/>
    <s v="67981004151"/>
    <s v=""/>
    <s v="diego@grupogala.com.br"/>
    <s v=""/>
    <s v=""/>
    <s v=""/>
    <s v=""/>
    <s v=""/>
    <s v=""/>
    <s v=""/>
    <s v=""/>
    <s v="50%"/>
    <s v="Pipeline de Vendas"/>
    <s v="Em negociação (75%)"/>
    <s v=""/>
    <m/>
    <n v="26200"/>
    <n v="3400"/>
    <n v="92"/>
    <s v="Junior Lopes"/>
    <d v="2025-05-28T00:00:00"/>
    <d v="1899-12-30T10:50:13"/>
    <s v=""/>
    <s v="Perdido"/>
    <d v="2025-08-28T00:00:00"/>
    <d v="1899-12-30T15:33:20"/>
    <s v="Não houve aprovação financeira"/>
    <s v=""/>
    <s v=""/>
    <x v="80"/>
    <s v=""/>
    <x v="87"/>
    <s v=""/>
    <m/>
    <m/>
    <s v=""/>
    <s v=""/>
    <s v=""/>
    <s v=""/>
    <n v="1"/>
  </r>
  <r>
    <x v="1"/>
    <n v="413"/>
    <m/>
    <n v="2076"/>
    <s v=""/>
    <s v=""/>
    <x v="175"/>
    <m/>
    <s v=""/>
    <s v="Flora Nectar - AFV"/>
    <s v="19971332893"/>
    <s v=""/>
    <s v="marina.dopekevicuz@v4company.com"/>
    <s v=""/>
    <s v=""/>
    <s v=""/>
    <s v=""/>
    <s v=""/>
    <s v=""/>
    <s v=""/>
    <s v=""/>
    <s v=""/>
    <s v="Pipeline de Vendas"/>
    <s v="Apresentar Solução (35%)"/>
    <s v=""/>
    <m/>
    <m/>
    <m/>
    <n v="12"/>
    <s v="Junior Lopes"/>
    <d v="2025-05-28T00:00:00"/>
    <d v="1899-12-30T11:12:16"/>
    <s v=""/>
    <s v="Perdido"/>
    <d v="2025-06-09T00:00:00"/>
    <d v="1899-12-30T15:53:56"/>
    <s v="Projeto adiado / sem prazo definido"/>
    <s v="Rayssa esta mantendo contato"/>
    <s v=""/>
    <x v="0"/>
    <s v=""/>
    <x v="88"/>
    <s v=""/>
    <m/>
    <m/>
    <s v=""/>
    <s v=""/>
    <s v=""/>
    <s v=""/>
    <n v="1"/>
  </r>
  <r>
    <x v="1"/>
    <n v="415"/>
    <m/>
    <n v="2127"/>
    <s v=""/>
    <s v=""/>
    <x v="176"/>
    <m/>
    <s v=""/>
    <s v="Xpert - ERP"/>
    <s v="11996219888"/>
    <s v=""/>
    <s v="manuela.xpert@gmail.com"/>
    <s v=""/>
    <s v=""/>
    <s v=""/>
    <s v=""/>
    <s v=""/>
    <s v=""/>
    <s v=""/>
    <s v=""/>
    <s v=""/>
    <s v="Pipeline de Vendas"/>
    <s v="Apresentar Solução (35%)"/>
    <s v=""/>
    <m/>
    <n v="622008"/>
    <n v="28481"/>
    <n v="12"/>
    <s v="Junior Lopes"/>
    <d v="2025-05-30T00:00:00"/>
    <d v="1899-12-30T09:10:03"/>
    <s v=""/>
    <s v="Perdido"/>
    <d v="2025-06-11T00:00:00"/>
    <d v="1899-12-30T14:24:50"/>
    <s v="Não houve aprovação financeira"/>
    <s v="informou que não tem verba de investimento"/>
    <s v=""/>
    <x v="76"/>
    <s v=""/>
    <x v="89"/>
    <s v=""/>
    <m/>
    <m/>
    <s v=""/>
    <s v=""/>
    <s v=""/>
    <s v=""/>
    <n v="1"/>
  </r>
  <r>
    <x v="1"/>
    <n v="416"/>
    <m/>
    <n v="2132"/>
    <s v=""/>
    <s v=""/>
    <x v="177"/>
    <m/>
    <s v=""/>
    <s v="Xpert - Cloud"/>
    <s v="11996219888"/>
    <s v=""/>
    <s v="manuela.xpert@gmail.com"/>
    <s v=""/>
    <s v=""/>
    <s v=""/>
    <s v=""/>
    <s v=""/>
    <s v=""/>
    <s v=""/>
    <s v=""/>
    <s v=""/>
    <s v="Pipeline de Vendas"/>
    <s v="Apresentar Proposta (50%)"/>
    <s v=""/>
    <m/>
    <n v="1600"/>
    <n v="28747"/>
    <n v="12"/>
    <s v="Junior Lopes"/>
    <d v="2025-05-30T00:00:00"/>
    <d v="1899-12-30T10:11:13"/>
    <s v=""/>
    <s v="Perdido"/>
    <d v="2025-06-11T00:00:00"/>
    <d v="1899-12-30T14:25:29"/>
    <s v="Não houve aprovação financeira"/>
    <s v="informou que não tem verba para investimento"/>
    <s v=""/>
    <x v="76"/>
    <s v=""/>
    <x v="89"/>
    <s v=""/>
    <m/>
    <m/>
    <s v=""/>
    <s v=""/>
    <s v=""/>
    <s v=""/>
    <n v="1"/>
  </r>
  <r>
    <x v="1"/>
    <n v="417"/>
    <m/>
    <n v="2133"/>
    <s v=""/>
    <s v=""/>
    <x v="178"/>
    <m/>
    <s v=""/>
    <s v="Ponto das festas"/>
    <s v="43988505997"/>
    <s v=""/>
    <s v="gerencia@pontodasfestas.com.br"/>
    <s v=""/>
    <s v=""/>
    <s v=""/>
    <s v=""/>
    <s v=""/>
    <s v=""/>
    <s v=""/>
    <s v=""/>
    <s v="30%"/>
    <s v="Pipeline de Vendas"/>
    <s v="Apresentar Proposta (50%)"/>
    <s v=""/>
    <m/>
    <n v="16960"/>
    <n v="40572"/>
    <n v="52"/>
    <s v="Junior Lopes"/>
    <d v="2025-05-30T00:00:00"/>
    <d v="1899-12-30T10:33:15"/>
    <s v=""/>
    <s v="Perdido"/>
    <d v="2025-07-21T00:00:00"/>
    <d v="1899-12-30T09:14:38"/>
    <s v="Projeto adiado / sem prazo definido"/>
    <s v="varias tentativas de contato sem retorno"/>
    <s v=""/>
    <x v="76"/>
    <s v=""/>
    <x v="89"/>
    <s v=""/>
    <m/>
    <m/>
    <s v=""/>
    <s v=""/>
    <s v=""/>
    <s v=""/>
    <n v="1"/>
  </r>
  <r>
    <x v="1"/>
    <n v="419"/>
    <m/>
    <n v="2144"/>
    <s v=""/>
    <s v=""/>
    <x v="179"/>
    <m/>
    <s v=""/>
    <s v="Oikos - Cloud"/>
    <s v="11987154112"/>
    <s v=""/>
    <s v="pedro@grupoecoa.com.br"/>
    <s v=""/>
    <s v=""/>
    <s v=""/>
    <s v=""/>
    <s v=""/>
    <s v=""/>
    <s v=""/>
    <s v=""/>
    <s v="90%"/>
    <s v="Pipeline de Vendas"/>
    <s v="Em Fechamento (100%)"/>
    <s v=""/>
    <m/>
    <n v="1600"/>
    <n v="1833334"/>
    <n v="52"/>
    <s v="Junior Lopes"/>
    <d v="2025-05-30T00:00:00"/>
    <d v="1899-12-30T14:05:15"/>
    <s v=""/>
    <s v="Perdido"/>
    <d v="2025-07-21T00:00:00"/>
    <d v="1899-12-30T09:47:38"/>
    <s v="Projeto adiado / sem prazo definido"/>
    <s v="cliente não responde sobre a continuidade"/>
    <s v=""/>
    <x v="80"/>
    <s v=""/>
    <x v="0"/>
    <s v=""/>
    <m/>
    <m/>
    <s v=""/>
    <s v=""/>
    <s v=""/>
    <s v=""/>
    <n v="1"/>
  </r>
  <r>
    <x v="1"/>
    <n v="422"/>
    <m/>
    <n v="2141"/>
    <s v=""/>
    <s v=""/>
    <x v="180"/>
    <n v="27898532000144"/>
    <s v=""/>
    <s v="Tainã"/>
    <s v="(14) 99811-7753"/>
    <s v=""/>
    <s v="atacadaodastripasfinanceiro@hotmail.com"/>
    <s v=""/>
    <s v=""/>
    <s v=""/>
    <s v="Tupã"/>
    <s v="SP"/>
    <s v="Inbound Opens"/>
    <s v=""/>
    <s v=""/>
    <s v=""/>
    <s v="Pipeline de Vendas"/>
    <s v="Apresentar Solução (35%)"/>
    <s v=""/>
    <m/>
    <n v="69592"/>
    <n v="23661"/>
    <n v="42"/>
    <s v="Débora Duarte"/>
    <d v="2025-06-02T00:00:00"/>
    <d v="1899-12-30T10:51:39"/>
    <s v=""/>
    <s v="Perdido"/>
    <d v="2025-07-14T00:00:00"/>
    <d v="1899-12-30T10:33:15"/>
    <s v="Projeto adiado / sem prazo definido"/>
    <s v="Descartando ! cliente não encontra tempo para seguir"/>
    <s v="30/05/2025 11:00"/>
    <x v="81"/>
    <s v="Débora Duarte"/>
    <x v="90"/>
    <s v="13/06/2025"/>
    <m/>
    <m/>
    <s v=""/>
    <s v=""/>
    <s v=""/>
    <s v=""/>
    <n v="1"/>
  </r>
  <r>
    <x v="2"/>
    <n v="423"/>
    <m/>
    <n v="2179"/>
    <s v=""/>
    <s v=""/>
    <x v="181"/>
    <n v="62182753000112"/>
    <s v=""/>
    <s v="Felipe"/>
    <s v="16994380062"/>
    <s v=""/>
    <s v="felipe.monteiro@pimpinella.com.br"/>
    <s v=""/>
    <s v=""/>
    <s v=""/>
    <s v=""/>
    <s v=""/>
    <s v="Indicação"/>
    <s v=""/>
    <s v=""/>
    <s v="80%"/>
    <s v="Pipeline de Vendas"/>
    <s v="Em negociação (75%)"/>
    <s v=""/>
    <m/>
    <n v="14280"/>
    <n v="127673"/>
    <n v="168"/>
    <s v="Rayssa Karapeticov"/>
    <d v="2025-06-03T00:00:00"/>
    <d v="1899-12-30T11:32:35"/>
    <s v=""/>
    <s v="Perdido"/>
    <d v="2025-11-18T00:00:00"/>
    <d v="1899-12-30T09:34:53"/>
    <s v="Projeto adiado / sem prazo definido"/>
    <s v=""/>
    <s v=""/>
    <x v="82"/>
    <s v="Rayssa Karapeticov"/>
    <x v="91"/>
    <s v=""/>
    <m/>
    <m/>
    <s v=""/>
    <s v=""/>
    <s v=""/>
    <s v=""/>
    <n v="1"/>
  </r>
  <r>
    <x v="1"/>
    <n v="425"/>
    <m/>
    <n v="2181"/>
    <s v=""/>
    <s v=""/>
    <x v="182"/>
    <n v="3971592000187"/>
    <s v=""/>
    <s v="Brinquedos Afv (RMS_AFV)"/>
    <s v="(51) 99840-3160"/>
    <s v=""/>
    <s v=""/>
    <s v=""/>
    <s v=""/>
    <s v=""/>
    <s v="PORTAO"/>
    <s v="RS"/>
    <s v=""/>
    <s v=""/>
    <s v=""/>
    <s v="30%"/>
    <s v="Pipeline de Vendas"/>
    <s v="Apresentar Solução (35%)"/>
    <s v=""/>
    <m/>
    <m/>
    <m/>
    <n v="26"/>
    <s v="Junior Lopes"/>
    <d v="2025-06-05T00:00:00"/>
    <d v="1899-12-30T10:52:19"/>
    <s v=""/>
    <s v="Perdido"/>
    <d v="2025-07-01T00:00:00"/>
    <d v="1899-12-30T09:56:25"/>
    <s v="Projeto adiado / sem prazo definido"/>
    <s v="Aguardar Rep Mais"/>
    <s v=""/>
    <x v="0"/>
    <s v=""/>
    <x v="0"/>
    <s v=""/>
    <m/>
    <m/>
    <s v=""/>
    <s v=""/>
    <s v=""/>
    <s v=""/>
    <n v="1"/>
  </r>
  <r>
    <x v="1"/>
    <n v="426"/>
    <m/>
    <n v="2186"/>
    <s v=""/>
    <s v=""/>
    <x v="183"/>
    <n v="480542000290"/>
    <s v=""/>
    <s v="Anjo brinquedos (RMS - AFV)"/>
    <s v="15997651713"/>
    <s v=""/>
    <s v="fat@brinquedosanjo.com.br"/>
    <s v=""/>
    <s v=""/>
    <s v=""/>
    <s v="LARANJAL PAULISTA"/>
    <s v="SP"/>
    <s v=""/>
    <s v=""/>
    <s v=""/>
    <s v=""/>
    <s v="Pipeline de Vendas"/>
    <s v="Agendamento (0%)"/>
    <s v=""/>
    <m/>
    <m/>
    <m/>
    <n v="26"/>
    <s v="Junior Lopes"/>
    <d v="2025-06-05T00:00:00"/>
    <d v="1899-12-30T11:03:34"/>
    <s v=""/>
    <s v="Perdido"/>
    <d v="2025-07-01T00:00:00"/>
    <d v="1899-12-30T09:47:14"/>
    <s v="Projeto adiado / sem prazo definido"/>
    <s v="Aguardar Rep Mais"/>
    <s v=""/>
    <x v="0"/>
    <s v=""/>
    <x v="0"/>
    <s v=""/>
    <m/>
    <m/>
    <s v=""/>
    <s v=""/>
    <s v=""/>
    <s v=""/>
    <n v="1"/>
  </r>
  <r>
    <x v="1"/>
    <n v="428"/>
    <m/>
    <n v="2189"/>
    <s v=""/>
    <s v=""/>
    <x v="184"/>
    <n v="10509268000107"/>
    <s v=""/>
    <s v="meio atacado"/>
    <s v="19997556622"/>
    <s v=""/>
    <s v="camila@meioatacado.com.br"/>
    <s v=""/>
    <s v=""/>
    <s v=""/>
    <s v="PIRACICABA"/>
    <s v="SP"/>
    <s v=""/>
    <s v=""/>
    <s v=""/>
    <s v="30%"/>
    <s v="Pipeline de Vendas"/>
    <s v="Apresentar Solução (35%)"/>
    <s v=""/>
    <m/>
    <n v="73430"/>
    <n v="37382"/>
    <n v="24"/>
    <s v="Junior Lopes"/>
    <d v="2025-06-06T00:00:00"/>
    <d v="1899-12-30T10:17:02"/>
    <s v=""/>
    <s v="Perdido"/>
    <d v="2025-06-30T00:00:00"/>
    <d v="1899-12-30T15:06:25"/>
    <s v="Projeto adiado / sem prazo definido"/>
    <s v="não responde mais aos contatos"/>
    <s v=""/>
    <x v="83"/>
    <s v=""/>
    <x v="92"/>
    <s v="16/06/2025"/>
    <m/>
    <m/>
    <s v=""/>
    <s v=""/>
    <s v=""/>
    <s v=""/>
    <n v="1"/>
  </r>
  <r>
    <x v="1"/>
    <n v="431"/>
    <m/>
    <n v="2194"/>
    <s v=""/>
    <s v=""/>
    <x v="185"/>
    <n v="28646036000166"/>
    <s v=""/>
    <s v="Goal comercial"/>
    <s v="11938010304"/>
    <s v=""/>
    <s v="juraci@goalcomercial.com.br"/>
    <s v=""/>
    <s v=""/>
    <s v=""/>
    <s v="SAO CAETANO DO SUL"/>
    <s v="SP"/>
    <s v=""/>
    <s v=""/>
    <s v=""/>
    <s v="30%"/>
    <s v="Pipeline de Vendas"/>
    <s v="Em negociação (75%)"/>
    <s v=""/>
    <m/>
    <n v="16960"/>
    <n v="70432"/>
    <n v="80"/>
    <s v="Junior Lopes"/>
    <d v="2025-06-09T00:00:00"/>
    <d v="1899-12-30T11:25:17"/>
    <s v=""/>
    <s v="Perdido"/>
    <d v="2025-08-28T00:00:00"/>
    <d v="1899-12-30T15:35:05"/>
    <s v="Projeto adiado / sem prazo definido"/>
    <s v="sem retorno do cliente"/>
    <s v=""/>
    <x v="84"/>
    <s v=""/>
    <x v="93"/>
    <s v="13/03/2026"/>
    <m/>
    <m/>
    <s v=""/>
    <s v=""/>
    <s v=""/>
    <s v=""/>
    <n v="1"/>
  </r>
  <r>
    <x v="1"/>
    <n v="433"/>
    <m/>
    <n v="2197"/>
    <s v=""/>
    <s v=""/>
    <x v="186"/>
    <m/>
    <s v=""/>
    <s v="Galpão importadora"/>
    <s v="81992522279"/>
    <s v=""/>
    <s v="null"/>
    <s v=""/>
    <s v=""/>
    <s v=""/>
    <s v=""/>
    <s v=""/>
    <s v=""/>
    <s v=""/>
    <s v=""/>
    <s v=""/>
    <s v="Pipeline de Vendas"/>
    <s v="Apresentar Solução (35%)"/>
    <s v=""/>
    <m/>
    <n v="16960"/>
    <n v="998"/>
    <n v="20"/>
    <s v="Junior Lopes"/>
    <d v="2025-06-11T00:00:00"/>
    <d v="1899-12-30T09:05:28"/>
    <s v=""/>
    <s v="Perdido"/>
    <d v="2025-07-01T00:00:00"/>
    <d v="1899-12-30T09:59:28"/>
    <s v="Projeto adiado / sem prazo definido"/>
    <s v="cliente não encontra tempo para apresentação"/>
    <s v=""/>
    <x v="85"/>
    <s v=""/>
    <x v="94"/>
    <s v=""/>
    <m/>
    <m/>
    <s v=""/>
    <s v=""/>
    <s v=""/>
    <s v=""/>
    <n v="1"/>
  </r>
  <r>
    <x v="0"/>
    <n v="434"/>
    <m/>
    <n v="2198"/>
    <s v=""/>
    <s v=""/>
    <x v="187"/>
    <m/>
    <s v=""/>
    <s v="Alexandre"/>
    <s v="11976806556"/>
    <s v=""/>
    <s v="vendas@finaideia.com.br"/>
    <s v=""/>
    <s v=""/>
    <s v=""/>
    <s v=""/>
    <s v=""/>
    <s v="Indicação"/>
    <s v=""/>
    <s v=""/>
    <s v="30%"/>
    <s v="Pipeline de Vendas"/>
    <s v="Apresentar Solução (35%)"/>
    <s v="6x sem juros (0/30/60/90/120/150...)"/>
    <m/>
    <m/>
    <m/>
    <n v="90"/>
    <s v="Paulo Souza"/>
    <d v="2025-06-12T00:00:00"/>
    <d v="1899-12-30T15:13:20"/>
    <s v=""/>
    <s v="Perdido"/>
    <d v="2025-09-10T00:00:00"/>
    <d v="1899-12-30T16:13:03"/>
    <s v="Projeto adiado / sem prazo definido"/>
    <s v=""/>
    <s v=""/>
    <x v="0"/>
    <s v="Paulo Souza"/>
    <x v="0"/>
    <s v=""/>
    <m/>
    <m/>
    <s v=""/>
    <s v=""/>
    <s v=""/>
    <s v=""/>
    <n v="1"/>
  </r>
  <r>
    <x v="0"/>
    <n v="435"/>
    <m/>
    <n v="2200"/>
    <s v=""/>
    <s v=""/>
    <x v="188"/>
    <m/>
    <s v=""/>
    <s v="Gustavo"/>
    <s v="16996352359"/>
    <s v=""/>
    <s v="null"/>
    <s v=""/>
    <s v=""/>
    <s v=""/>
    <s v=""/>
    <s v=""/>
    <s v="Indicação"/>
    <s v=""/>
    <s v=""/>
    <s v="50%"/>
    <s v="Pipeline de Vendas"/>
    <s v="Em Fechamento (100%)"/>
    <s v=""/>
    <m/>
    <n v="28800"/>
    <n v="201012"/>
    <n v="56"/>
    <s v="Paulo Souza"/>
    <d v="2025-06-12T00:00:00"/>
    <d v="1899-12-30T16:24:50"/>
    <s v=""/>
    <s v="Ganho"/>
    <d v="2025-08-07T00:00:00"/>
    <d v="1899-12-30T12:06:18"/>
    <s v=""/>
    <s v=""/>
    <s v=""/>
    <x v="0"/>
    <s v="Paulo Souza"/>
    <x v="0"/>
    <s v=""/>
    <m/>
    <m/>
    <s v=""/>
    <s v=""/>
    <s v=""/>
    <s v=""/>
    <n v="1"/>
  </r>
  <r>
    <x v="1"/>
    <n v="447"/>
    <m/>
    <n v="2213"/>
    <s v=""/>
    <s v=""/>
    <x v="189"/>
    <m/>
    <s v=""/>
    <s v="Vitoria cortinas"/>
    <s v="53999594657"/>
    <s v=""/>
    <s v="compras@vitoriacortinasdecoracoes.com.br"/>
    <s v=""/>
    <s v=""/>
    <s v=""/>
    <s v=""/>
    <s v=""/>
    <s v=""/>
    <s v=""/>
    <s v=""/>
    <s v=""/>
    <s v="Pipeline de Vendas"/>
    <s v="Em Fechamento (100%)"/>
    <s v=""/>
    <m/>
    <n v="1782"/>
    <n v="3564"/>
    <n v="2"/>
    <s v="Junior Lopes"/>
    <d v="2025-06-16T00:00:00"/>
    <d v="1899-12-30T15:57:47"/>
    <s v=""/>
    <s v="Ganho"/>
    <d v="2025-06-18T00:00:00"/>
    <d v="1899-12-30T14:49:21"/>
    <s v=""/>
    <s v=""/>
    <s v=""/>
    <x v="86"/>
    <s v=""/>
    <x v="93"/>
    <s v=""/>
    <m/>
    <m/>
    <s v=""/>
    <s v=""/>
    <s v=""/>
    <s v=""/>
    <n v="1"/>
  </r>
  <r>
    <x v="1"/>
    <n v="451"/>
    <m/>
    <n v="2217"/>
    <s v=""/>
    <s v=""/>
    <x v="190"/>
    <n v="27898532000144"/>
    <s v=""/>
    <s v="Atacadão das Tripas (cloud)"/>
    <s v="14998117753"/>
    <s v=""/>
    <s v="atacadaodastripasfinanceiro@hotmail.com"/>
    <s v=""/>
    <s v=""/>
    <s v=""/>
    <s v="TUPA"/>
    <s v="SP"/>
    <s v=""/>
    <s v=""/>
    <s v=""/>
    <s v=""/>
    <s v="Pipeline de Vendas"/>
    <s v="Apresentar Solução (35%)"/>
    <s v=""/>
    <m/>
    <n v="1600"/>
    <n v="26507"/>
    <n v="26"/>
    <s v="Junior Lopes"/>
    <d v="2025-06-18T00:00:00"/>
    <d v="1899-12-30T14:31:48"/>
    <s v=""/>
    <s v="Perdido"/>
    <d v="2025-07-14T00:00:00"/>
    <d v="1899-12-30T10:34:04"/>
    <s v="Projeto adiado / sem prazo definido"/>
    <s v="Descartando ! cliente não encontra tempo para seguir"/>
    <s v=""/>
    <x v="81"/>
    <s v=""/>
    <x v="93"/>
    <s v=""/>
    <m/>
    <m/>
    <s v=""/>
    <s v=""/>
    <s v=""/>
    <s v=""/>
    <n v="1"/>
  </r>
  <r>
    <x v="1"/>
    <n v="453"/>
    <m/>
    <n v="2219"/>
    <s v=""/>
    <s v=""/>
    <x v="191"/>
    <m/>
    <s v=""/>
    <s v="MDL Import - int.WMS"/>
    <s v="11910695515"/>
    <s v=""/>
    <s v="janaina@mdlimport.com.br"/>
    <s v=""/>
    <s v=""/>
    <s v=""/>
    <s v=""/>
    <s v=""/>
    <s v=""/>
    <s v=""/>
    <s v=""/>
    <s v="30%"/>
    <s v="Pipeline de Vendas"/>
    <s v="Em negociação (75%)"/>
    <s v=""/>
    <m/>
    <n v="29680"/>
    <n v="0"/>
    <n v="7"/>
    <s v="Junior Lopes"/>
    <d v="2025-06-23T00:00:00"/>
    <d v="1899-12-30T09:14:24"/>
    <s v=""/>
    <s v="Perdido"/>
    <d v="2025-06-30T00:00:00"/>
    <d v="1899-12-30T15:12:28"/>
    <s v="Não houve aprovação financeira"/>
    <s v="orçamento não foi aprovado"/>
    <s v=""/>
    <x v="83"/>
    <s v=""/>
    <x v="95"/>
    <s v=""/>
    <m/>
    <m/>
    <s v=""/>
    <s v=""/>
    <s v=""/>
    <s v=""/>
    <n v="1"/>
  </r>
  <r>
    <x v="1"/>
    <n v="455"/>
    <m/>
    <n v="2221"/>
    <s v=""/>
    <s v=""/>
    <x v="192"/>
    <n v="1537246000160"/>
    <s v=""/>
    <s v="BS Toys (RMS)"/>
    <s v="15997551770"/>
    <s v=""/>
    <s v="atendimento@bstoys.com.br"/>
    <s v=""/>
    <s v=""/>
    <s v=""/>
    <s v="BOITUVA"/>
    <s v="SP"/>
    <s v=""/>
    <s v=""/>
    <s v=""/>
    <s v=""/>
    <s v="Pipeline de Vendas"/>
    <s v="Agendamento (0%)"/>
    <s v=""/>
    <m/>
    <m/>
    <m/>
    <n v="7"/>
    <s v="Junior Lopes"/>
    <d v="2025-06-24T00:00:00"/>
    <d v="1899-12-30T11:14:18"/>
    <s v=""/>
    <s v="Perdido"/>
    <d v="2025-07-01T00:00:00"/>
    <d v="1899-12-30T09:49:52"/>
    <s v="Projeto adiado / sem prazo definido"/>
    <s v="Aguardar Rep Mais"/>
    <s v=""/>
    <x v="0"/>
    <s v=""/>
    <x v="0"/>
    <s v=""/>
    <m/>
    <m/>
    <s v=""/>
    <s v=""/>
    <s v=""/>
    <s v=""/>
    <n v="1"/>
  </r>
  <r>
    <x v="1"/>
    <n v="456"/>
    <m/>
    <n v="2226"/>
    <s v=""/>
    <s v=""/>
    <x v="193"/>
    <n v="1684187000152"/>
    <s v=""/>
    <s v="Dielu"/>
    <s v="11947837975"/>
    <s v=""/>
    <s v=""/>
    <s v=""/>
    <s v=""/>
    <s v=""/>
    <s v="SAO PAULO"/>
    <s v="SP"/>
    <s v=""/>
    <s v=""/>
    <s v=""/>
    <s v=""/>
    <s v="Pipeline de Vendas"/>
    <s v="Agendamento (0%)"/>
    <s v=""/>
    <m/>
    <m/>
    <m/>
    <n v="7"/>
    <s v="Junior Lopes"/>
    <d v="2025-06-24T00:00:00"/>
    <d v="1899-12-30T11:20:52"/>
    <s v=""/>
    <s v="Perdido"/>
    <d v="2025-07-01T00:00:00"/>
    <d v="1899-12-30T09:50:21"/>
    <s v="Projeto adiado / sem prazo definido"/>
    <s v="Aguardar Rep Mais"/>
    <s v=""/>
    <x v="0"/>
    <s v=""/>
    <x v="0"/>
    <s v=""/>
    <m/>
    <m/>
    <s v=""/>
    <s v=""/>
    <s v=""/>
    <s v=""/>
    <n v="1"/>
  </r>
  <r>
    <x v="1"/>
    <n v="457"/>
    <m/>
    <n v="2230"/>
    <s v=""/>
    <s v=""/>
    <x v="194"/>
    <n v="28895260000191"/>
    <s v=""/>
    <s v="ceramica salute"/>
    <s v="19999094519"/>
    <s v=""/>
    <s v="comercial@ceramicasalute.com.br"/>
    <s v=""/>
    <s v=""/>
    <s v=""/>
    <s v="JABOTICABAL"/>
    <s v="SP"/>
    <s v=""/>
    <s v=""/>
    <s v=""/>
    <s v=""/>
    <s v="Pipeline de Vendas"/>
    <s v="Agendamento (0%)"/>
    <s v=""/>
    <m/>
    <m/>
    <m/>
    <n v="7"/>
    <s v="Junior Lopes"/>
    <d v="2025-06-24T00:00:00"/>
    <d v="1899-12-30T11:28:08"/>
    <s v=""/>
    <s v="Perdido"/>
    <d v="2025-07-01T00:00:00"/>
    <d v="1899-12-30T09:50:51"/>
    <s v="Projeto adiado / sem prazo definido"/>
    <s v="Aguardar Rep Mais"/>
    <s v=""/>
    <x v="0"/>
    <s v=""/>
    <x v="0"/>
    <s v=""/>
    <m/>
    <m/>
    <s v=""/>
    <s v=""/>
    <s v=""/>
    <s v=""/>
    <n v="1"/>
  </r>
  <r>
    <x v="1"/>
    <n v="462"/>
    <m/>
    <n v="2237"/>
    <s v=""/>
    <s v=""/>
    <x v="195"/>
    <n v="61630786000115"/>
    <s v=""/>
    <s v="Palete Chiari"/>
    <s v="16993303692"/>
    <s v=""/>
    <s v=""/>
    <s v=""/>
    <s v=""/>
    <s v=""/>
    <s v="SAO CARLOS"/>
    <s v="SP"/>
    <s v=""/>
    <s v=""/>
    <s v=""/>
    <s v=""/>
    <s v="Pipeline de Vendas"/>
    <s v="Apresentar Solução (35%)"/>
    <s v=""/>
    <m/>
    <n v="80560"/>
    <n v="249008"/>
    <n v="1"/>
    <s v="Junior Lopes"/>
    <d v="2025-06-25T00:00:00"/>
    <d v="1899-12-30T10:30:51"/>
    <s v=""/>
    <s v="Perdido"/>
    <d v="2025-06-26T00:00:00"/>
    <d v="1899-12-30T10:45:55"/>
    <s v="Projeto adiado / sem prazo definido"/>
    <s v="cliente não respondeu mais aos contatos ! estou decertando e manterei contato"/>
    <s v=""/>
    <x v="86"/>
    <s v=""/>
    <x v="96"/>
    <s v=""/>
    <m/>
    <m/>
    <s v=""/>
    <s v=""/>
    <s v=""/>
    <s v=""/>
    <n v="1"/>
  </r>
  <r>
    <x v="1"/>
    <n v="463"/>
    <m/>
    <n v="2239"/>
    <s v=""/>
    <s v=""/>
    <x v="196"/>
    <n v="61630786000115"/>
    <s v=""/>
    <s v="Chiare Palete - Cloud"/>
    <s v="16993303692"/>
    <s v=""/>
    <s v=""/>
    <s v=""/>
    <s v=""/>
    <s v=""/>
    <s v="SAO CARLOS"/>
    <s v="SP"/>
    <s v=""/>
    <s v=""/>
    <s v=""/>
    <s v=""/>
    <s v="Pipeline de Vendas"/>
    <s v="Apresentar Solução (35%)"/>
    <s v=""/>
    <m/>
    <n v="1600"/>
    <n v="278556"/>
    <n v="1"/>
    <s v="Junior Lopes"/>
    <d v="2025-06-25T00:00:00"/>
    <d v="1899-12-30T10:37:01"/>
    <s v=""/>
    <s v="Perdido"/>
    <d v="2025-06-26T00:00:00"/>
    <d v="1899-12-30T10:46:25"/>
    <s v="Projeto adiado / sem prazo definido"/>
    <s v="cliente não respondeu mais aos contatos ! estou decertando e manterei contato"/>
    <s v=""/>
    <x v="86"/>
    <s v=""/>
    <x v="96"/>
    <s v=""/>
    <m/>
    <m/>
    <s v=""/>
    <s v=""/>
    <s v=""/>
    <s v=""/>
    <n v="1"/>
  </r>
  <r>
    <x v="1"/>
    <n v="466"/>
    <m/>
    <n v="2243"/>
    <s v=""/>
    <s v=""/>
    <x v="197"/>
    <m/>
    <s v=""/>
    <s v="vitoria cortinas - User AFV"/>
    <s v="3599959465"/>
    <s v=""/>
    <s v="comercial@vitoriacortninasdecoracoes.com.br"/>
    <s v=""/>
    <s v=""/>
    <s v=""/>
    <s v=""/>
    <s v=""/>
    <s v=""/>
    <s v=""/>
    <s v=""/>
    <s v=""/>
    <s v="Pipeline de Vendas"/>
    <s v="Em Fechamento (100%)"/>
    <s v=""/>
    <m/>
    <n v="0"/>
    <n v="54887"/>
    <n v="5"/>
    <s v="Junior Lopes"/>
    <d v="2025-06-25T00:00:00"/>
    <d v="1899-12-30T14:32:40"/>
    <s v=""/>
    <s v="Ganho"/>
    <d v="2025-06-30T00:00:00"/>
    <d v="1899-12-30T08:34:12"/>
    <s v=""/>
    <s v=""/>
    <s v=""/>
    <x v="87"/>
    <s v=""/>
    <x v="97"/>
    <s v=""/>
    <m/>
    <m/>
    <s v=""/>
    <s v=""/>
    <s v=""/>
    <s v=""/>
    <n v="1"/>
  </r>
  <r>
    <x v="1"/>
    <n v="467"/>
    <m/>
    <n v="2244"/>
    <s v=""/>
    <s v=""/>
    <x v="198"/>
    <m/>
    <s v=""/>
    <s v="Meio atacado - Cloud"/>
    <s v="19997556622"/>
    <s v=""/>
    <s v="camila@meioatacado.com.br"/>
    <s v=""/>
    <s v=""/>
    <s v=""/>
    <s v=""/>
    <s v=""/>
    <s v=""/>
    <s v=""/>
    <s v=""/>
    <s v=""/>
    <s v="Pipeline de Vendas"/>
    <s v="Apresentar Solução (35%)"/>
    <s v=""/>
    <m/>
    <n v="1600"/>
    <n v="309656"/>
    <n v="5"/>
    <s v="Junior Lopes"/>
    <d v="2025-06-25T00:00:00"/>
    <d v="1899-12-30T15:54:02"/>
    <s v=""/>
    <s v="Perdido"/>
    <d v="2025-06-30T00:00:00"/>
    <d v="1899-12-30T15:06:57"/>
    <s v="Projeto adiado / sem prazo definido"/>
    <s v="não responde mais aos contatos"/>
    <s v=""/>
    <x v="83"/>
    <s v=""/>
    <x v="98"/>
    <s v=""/>
    <m/>
    <m/>
    <s v=""/>
    <s v=""/>
    <s v=""/>
    <s v=""/>
    <n v="1"/>
  </r>
  <r>
    <x v="1"/>
    <n v="468"/>
    <m/>
    <n v="2245"/>
    <s v=""/>
    <s v=""/>
    <x v="199"/>
    <n v="9509581000166"/>
    <s v=""/>
    <s v="Emporio Villamarin"/>
    <s v="11999265872"/>
    <s v=""/>
    <s v="alfonso@emporiovillamarin.com.br"/>
    <s v=""/>
    <s v=""/>
    <s v=""/>
    <s v="SAO PAULO"/>
    <s v="SP"/>
    <s v=""/>
    <s v=""/>
    <s v=""/>
    <s v=""/>
    <s v="Pipeline de Vendas"/>
    <s v="Apresentar Proposta (50%)"/>
    <s v=""/>
    <m/>
    <n v="10800"/>
    <n v="450"/>
    <n v="5"/>
    <s v="Junior Lopes"/>
    <d v="2025-06-25T00:00:00"/>
    <d v="1899-12-30T16:08:55"/>
    <s v=""/>
    <s v="Perdido"/>
    <d v="2025-06-30T00:00:00"/>
    <d v="1899-12-30T15:05:29"/>
    <s v="Projeto adiado / sem prazo definido"/>
    <s v="não ira dar continuidade no momento"/>
    <s v=""/>
    <x v="88"/>
    <s v=""/>
    <x v="92"/>
    <s v=""/>
    <m/>
    <m/>
    <s v=""/>
    <s v=""/>
    <s v=""/>
    <s v=""/>
    <n v="1"/>
  </r>
  <r>
    <x v="1"/>
    <n v="469"/>
    <m/>
    <n v="2250"/>
    <s v=""/>
    <s v=""/>
    <x v="200"/>
    <m/>
    <s v=""/>
    <s v="Elmo atacado (horas exc)"/>
    <s v="47984366161"/>
    <s v=""/>
    <s v="fabio@elmoatacado.com.br"/>
    <s v=""/>
    <s v=""/>
    <s v=""/>
    <s v=""/>
    <s v=""/>
    <s v=""/>
    <s v=""/>
    <s v=""/>
    <s v=""/>
    <s v="Pipeline de Vendas"/>
    <s v="Em Fechamento (100%)"/>
    <s v=""/>
    <m/>
    <n v="607121"/>
    <n v="0"/>
    <n v="25"/>
    <s v="Junior Lopes"/>
    <d v="2025-06-26T00:00:00"/>
    <d v="1899-12-30T11:58:43"/>
    <s v=""/>
    <s v="Ganho"/>
    <d v="2025-07-21T00:00:00"/>
    <d v="1899-12-30T09:16:58"/>
    <s v=""/>
    <s v=""/>
    <s v=""/>
    <x v="89"/>
    <s v=""/>
    <x v="99"/>
    <s v=""/>
    <m/>
    <m/>
    <s v=""/>
    <s v=""/>
    <s v=""/>
    <s v=""/>
    <n v="1"/>
  </r>
  <r>
    <x v="1"/>
    <n v="470"/>
    <m/>
    <n v="2272"/>
    <s v=""/>
    <s v=""/>
    <x v="201"/>
    <n v="912882000161"/>
    <s v=""/>
    <s v="Grupo K1"/>
    <s v="51980225006"/>
    <s v=""/>
    <s v="angela@kappersberg.com.br"/>
    <s v=""/>
    <s v=""/>
    <s v=""/>
    <s v="TUPANDI"/>
    <s v="RS"/>
    <s v=""/>
    <s v=""/>
    <s v=""/>
    <s v="30%"/>
    <s v="Pipeline de Vendas"/>
    <s v="Em negociação (75%)"/>
    <s v=""/>
    <m/>
    <n v="16960"/>
    <n v="14034"/>
    <n v="84"/>
    <s v="Junior Lopes"/>
    <d v="2025-06-30T00:00:00"/>
    <d v="1899-12-30T11:52:50"/>
    <s v=""/>
    <s v="Perdido"/>
    <d v="2025-09-22T00:00:00"/>
    <d v="1899-12-30T11:28:00"/>
    <s v="Projeto adiado / sem prazo definido"/>
    <s v="em contato com Ângela, nao esta descartado porem não seguirá nesse momento"/>
    <s v=""/>
    <x v="90"/>
    <s v=""/>
    <x v="100"/>
    <s v=""/>
    <m/>
    <m/>
    <s v=""/>
    <s v=""/>
    <s v=""/>
    <s v=""/>
    <n v="1"/>
  </r>
  <r>
    <x v="2"/>
    <n v="475"/>
    <m/>
    <n v="2299"/>
    <s v=""/>
    <s v=""/>
    <x v="202"/>
    <n v="3436772000169"/>
    <s v=""/>
    <s v="Julia Soares"/>
    <s v="11983386298"/>
    <s v=""/>
    <s v="vendas@trilharty.com.br"/>
    <s v=""/>
    <s v=""/>
    <s v=""/>
    <s v="SAO PAULO"/>
    <s v="SP"/>
    <s v=""/>
    <s v=""/>
    <s v=""/>
    <s v=""/>
    <s v="Pipeline de Vendas"/>
    <s v="Apresentar Proposta (50%)"/>
    <s v=""/>
    <m/>
    <m/>
    <m/>
    <n v="60"/>
    <s v="Rayssa Karapeticov"/>
    <d v="2025-07-04T00:00:00"/>
    <d v="1899-12-30T09:23:22"/>
    <s v=""/>
    <s v="Perdido"/>
    <d v="2025-09-02T00:00:00"/>
    <d v="1899-12-30T09:58:39"/>
    <s v="Projeto adiado / sem prazo definido"/>
    <s v=""/>
    <s v=""/>
    <x v="91"/>
    <s v=""/>
    <x v="101"/>
    <s v=""/>
    <m/>
    <m/>
    <s v=""/>
    <s v=""/>
    <s v=""/>
    <s v=""/>
    <n v="1"/>
  </r>
  <r>
    <x v="1"/>
    <n v="485"/>
    <m/>
    <n v="2341"/>
    <s v=""/>
    <s v=""/>
    <x v="203"/>
    <n v="20750928000109"/>
    <s v=""/>
    <s v="Tiago eletrodomésticos"/>
    <s v="(48) 9960-6091"/>
    <s v=""/>
    <s v="financeiro@saeletronicos.com.br"/>
    <s v=""/>
    <s v=""/>
    <s v=""/>
    <s v="ICARA"/>
    <s v="SC"/>
    <s v=""/>
    <s v=""/>
    <s v=""/>
    <s v="50%"/>
    <s v="Pipeline de Vendas"/>
    <s v="Em Fechamento (100%)"/>
    <s v=""/>
    <m/>
    <n v="6429976"/>
    <n v="399322"/>
    <n v="73"/>
    <s v="Junior Lopes"/>
    <d v="2025-07-14T00:00:00"/>
    <d v="1899-12-30T10:10:19"/>
    <s v=""/>
    <s v="Ganho"/>
    <d v="2025-09-25T00:00:00"/>
    <d v="1899-12-30T15:08:43"/>
    <s v=""/>
    <s v=""/>
    <s v=""/>
    <x v="92"/>
    <s v=""/>
    <x v="102"/>
    <s v=""/>
    <m/>
    <m/>
    <s v=""/>
    <s v=""/>
    <s v=""/>
    <s v=""/>
    <n v="1"/>
  </r>
  <r>
    <x v="1"/>
    <n v="486"/>
    <m/>
    <n v="2343"/>
    <s v=""/>
    <s v=""/>
    <x v="204"/>
    <n v="20750928000109"/>
    <s v=""/>
    <s v="Tiago eleytonicos"/>
    <s v="(48) 9960-6091"/>
    <s v=""/>
    <s v="financeiro@saeletronicos.com.br"/>
    <s v=""/>
    <s v=""/>
    <s v=""/>
    <s v="ICARA"/>
    <s v="SC"/>
    <s v=""/>
    <s v=""/>
    <s v=""/>
    <s v=""/>
    <s v="Pipeline de Vendas"/>
    <s v="Em Fechamento (100%)"/>
    <s v=""/>
    <m/>
    <n v="1600"/>
    <n v="2325"/>
    <n v="73"/>
    <s v="Junior Lopes"/>
    <d v="2025-07-14T00:00:00"/>
    <d v="1899-12-30T10:59:03"/>
    <s v=""/>
    <s v="Perdido"/>
    <d v="2025-09-25T00:00:00"/>
    <d v="1899-12-30T14:59:17"/>
    <s v="Não quer mudar a solução atual"/>
    <s v="cliente decidiu manter o servidor local"/>
    <s v=""/>
    <x v="92"/>
    <s v=""/>
    <x v="102"/>
    <s v=""/>
    <m/>
    <m/>
    <s v=""/>
    <s v=""/>
    <s v=""/>
    <s v=""/>
    <n v="1"/>
  </r>
  <r>
    <x v="1"/>
    <n v="487"/>
    <m/>
    <n v="2345"/>
    <s v=""/>
    <s v=""/>
    <x v="205"/>
    <m/>
    <s v=""/>
    <s v="Star distribuidora - Expede"/>
    <s v="17997793113"/>
    <s v=""/>
    <s v="comercial@distribuidorastar.com.br"/>
    <s v=""/>
    <s v=""/>
    <s v=""/>
    <s v=""/>
    <s v=""/>
    <s v=""/>
    <s v=""/>
    <s v=""/>
    <s v=""/>
    <s v="Pipeline de Vendas"/>
    <s v="Em Fechamento (100%)"/>
    <s v=""/>
    <m/>
    <n v="0"/>
    <n v="14256"/>
    <n v="7"/>
    <s v="Junior Lopes"/>
    <d v="2025-07-14T00:00:00"/>
    <d v="1899-12-30T14:38:51"/>
    <s v=""/>
    <s v="Ganho"/>
    <d v="2025-07-21T00:00:00"/>
    <d v="1899-12-30T09:23:38"/>
    <s v=""/>
    <s v=""/>
    <s v=""/>
    <x v="93"/>
    <s v=""/>
    <x v="103"/>
    <s v=""/>
    <m/>
    <m/>
    <s v=""/>
    <s v=""/>
    <s v=""/>
    <s v=""/>
    <n v="1"/>
  </r>
  <r>
    <x v="1"/>
    <n v="488"/>
    <m/>
    <n v="2346"/>
    <s v="O projeto B2B já está fechado, porém a continuidade dependerá da finalização da carga de dados na implantação do ERP. Assim que essa etapa for concluída, Junior Lopes deve retomar o contato com o cliente, verificar pendências e alinhar os próximos passos com data definida."/>
    <s v=""/>
    <x v="206"/>
    <n v="20750928000109"/>
    <s v=""/>
    <s v="Tiago eletrônicos - B2B"/>
    <s v="4899606091"/>
    <s v=""/>
    <s v="financeiro@saeletronicos.com.br"/>
    <s v=""/>
    <s v=""/>
    <s v=""/>
    <s v=""/>
    <s v=""/>
    <s v=""/>
    <s v=""/>
    <s v=""/>
    <s v="90%"/>
    <s v="Pipeline de Vendas"/>
    <s v="Em Fechamento (100%)"/>
    <s v=""/>
    <d v="2026-02-02T00:00:00"/>
    <n v="26200"/>
    <n v="3400"/>
    <n v="206"/>
    <s v="Junior Lopes"/>
    <d v="2025-07-15T00:00:00"/>
    <d v="1899-12-30T17:26:45"/>
    <s v=""/>
    <s v="Ganho"/>
    <d v="2026-02-06T00:00:00"/>
    <d v="1899-12-30T12:10:05"/>
    <s v=""/>
    <s v=""/>
    <s v=""/>
    <x v="92"/>
    <s v="Junior Lopes"/>
    <x v="102"/>
    <s v=""/>
    <d v="2025-12-10T00:00:00"/>
    <m/>
    <s v=""/>
    <s v=""/>
    <s v=""/>
    <s v=""/>
    <n v="1"/>
  </r>
  <r>
    <x v="1"/>
    <n v="493"/>
    <m/>
    <n v="2352"/>
    <s v=""/>
    <s v=""/>
    <x v="207"/>
    <n v="39750889000160"/>
    <s v=""/>
    <s v="MDL Comércio importação (ERP+AFV"/>
    <s v="(11) 91069-5515"/>
    <s v=""/>
    <s v="janaina@mdlimport.com.br"/>
    <s v=""/>
    <s v=""/>
    <s v=""/>
    <s v="SAO CAETANO DO SUL"/>
    <s v="SP"/>
    <s v=""/>
    <s v=""/>
    <s v=""/>
    <s v=""/>
    <s v="Pipeline de Vendas"/>
    <s v="Em Fechamento (100%)"/>
    <s v="10x sem juros (0/30/60/90/120/150...)"/>
    <m/>
    <n v="4327344"/>
    <n v="37442"/>
    <n v="42"/>
    <s v="Junior Lopes"/>
    <d v="2025-07-17T00:00:00"/>
    <d v="1899-12-30T14:23:39"/>
    <s v=""/>
    <s v="Ganho"/>
    <d v="2025-08-28T00:00:00"/>
    <d v="1899-12-30T15:08:55"/>
    <s v=""/>
    <s v=""/>
    <s v=""/>
    <x v="94"/>
    <s v=""/>
    <x v="104"/>
    <s v=""/>
    <m/>
    <m/>
    <s v=""/>
    <s v=""/>
    <s v=""/>
    <s v=""/>
    <n v="1"/>
  </r>
  <r>
    <x v="1"/>
    <n v="494"/>
    <m/>
    <n v="2354"/>
    <s v=""/>
    <s v=""/>
    <x v="208"/>
    <m/>
    <s v=""/>
    <s v="MDL comércio de importação (Int.WMS)"/>
    <s v="11910695515"/>
    <s v=""/>
    <s v="janaina@mdlimport.com.br"/>
    <s v=""/>
    <s v=""/>
    <s v=""/>
    <s v=""/>
    <s v=""/>
    <s v=""/>
    <s v=""/>
    <s v=""/>
    <s v=""/>
    <s v="Pipeline de Vendas"/>
    <s v="Em Fechamento (100%)"/>
    <s v="10x sem juros (0/30/60/90/120/150...)"/>
    <m/>
    <n v="1167696"/>
    <n v="0"/>
    <n v="42"/>
    <s v="Junior Lopes"/>
    <d v="2025-07-17T00:00:00"/>
    <d v="1899-12-30T14:38:09"/>
    <s v=""/>
    <s v="Ganho"/>
    <d v="2025-08-28T00:00:00"/>
    <d v="1899-12-30T15:11:27"/>
    <s v=""/>
    <s v=""/>
    <s v=""/>
    <x v="94"/>
    <s v=""/>
    <x v="104"/>
    <s v=""/>
    <m/>
    <m/>
    <s v=""/>
    <s v=""/>
    <s v=""/>
    <s v=""/>
    <n v="1"/>
  </r>
  <r>
    <x v="1"/>
    <n v="495"/>
    <m/>
    <n v="2356"/>
    <s v=""/>
    <s v=""/>
    <x v="209"/>
    <m/>
    <s v=""/>
    <s v="Germer porcenalas"/>
    <s v="41984816685"/>
    <s v=""/>
    <s v="ti@germerporcelanas.com.br"/>
    <s v=""/>
    <s v=""/>
    <s v=""/>
    <s v=""/>
    <s v=""/>
    <s v=""/>
    <s v=""/>
    <s v=""/>
    <s v="30%"/>
    <s v="Pipeline de Vendas"/>
    <s v="Em negociação (75%)"/>
    <s v=""/>
    <m/>
    <n v="16960"/>
    <n v="10748"/>
    <n v="67"/>
    <s v="Junior Lopes"/>
    <d v="2025-07-17T00:00:00"/>
    <d v="1899-12-30T16:01:44"/>
    <s v=""/>
    <s v="Perdido"/>
    <d v="2025-09-22T00:00:00"/>
    <d v="1899-12-30T11:35:25"/>
    <s v="Não quer mudar a solução atual"/>
    <s v="em contato com Claudinei projeto está estagnado"/>
    <s v=""/>
    <x v="93"/>
    <s v=""/>
    <x v="103"/>
    <s v="10/07/2025"/>
    <m/>
    <m/>
    <s v=""/>
    <s v=""/>
    <s v=""/>
    <s v=""/>
    <n v="1"/>
  </r>
  <r>
    <x v="1"/>
    <n v="496"/>
    <m/>
    <n v="2361"/>
    <s v="O próximo passo é Junior Lopes alinhar com o cliente o objetivo final da oportunidade, considerando que o cliente ainda está negociando o desenvolvimento da integração técnica que o ERP deles precisa construir. Somente após essa definição e após os ajustes técnicos com a Marília será possível retomar as conversas em janeiro de 2026 e avançar para o fechamento, previsto para 31/01/2026."/>
    <s v="Editora Dcl - Difusao Cultural Do Livro Ltda"/>
    <x v="210"/>
    <n v="60444098000521"/>
    <s v=""/>
    <s v="Editora Dcl - Difusao Cultural Do Livro Ltda"/>
    <s v="(11) 3932-5222"/>
    <s v=""/>
    <s v="welington@editoradcl.com.br"/>
    <s v=""/>
    <s v=""/>
    <s v=""/>
    <s v="ITUPEVA"/>
    <s v="SP"/>
    <s v="Base de empresas Leads2b"/>
    <s v=""/>
    <s v=""/>
    <s v="80%"/>
    <s v="Pipeline de Vendas"/>
    <s v="Em Fechamento (100%)"/>
    <s v="4x sem juros (0/30/60/90)"/>
    <d v="2026-01-30T00:00:00"/>
    <n v="16960"/>
    <n v="37395"/>
    <n v="166"/>
    <s v="Junior Lopes"/>
    <d v="2025-07-23T00:00:00"/>
    <d v="1899-12-30T11:53:55"/>
    <s v=""/>
    <s v="Ganho"/>
    <d v="2026-01-05T00:00:00"/>
    <d v="1899-12-30T14:50:49"/>
    <s v=""/>
    <s v=""/>
    <s v=""/>
    <x v="93"/>
    <s v="Junior Lopes"/>
    <x v="105"/>
    <s v="11/07/2025"/>
    <d v="2025-12-12T00:00:00"/>
    <m/>
    <s v=""/>
    <s v=""/>
    <s v=""/>
    <s v=""/>
    <n v="1"/>
  </r>
  <r>
    <x v="1"/>
    <n v="497"/>
    <m/>
    <n v="2363"/>
    <s v=""/>
    <s v="Associacao Medianeira Fuzipar"/>
    <x v="211"/>
    <n v="8306975000154"/>
    <s v=""/>
    <s v="Associacao Medianeira Fuzipar"/>
    <s v="(54) 3321-5456"/>
    <s v=""/>
    <s v=""/>
    <s v=""/>
    <s v=""/>
    <s v=""/>
    <s v="ERECHIM"/>
    <s v="RS"/>
    <s v="Base de empresas Leads2b"/>
    <s v=""/>
    <s v=""/>
    <s v=""/>
    <s v="Pipeline de Vendas"/>
    <s v="Em Fechamento (100%)"/>
    <s v=""/>
    <m/>
    <n v="16960"/>
    <n v="2455"/>
    <n v="64"/>
    <s v="Junior Lopes"/>
    <d v="2025-07-23T00:00:00"/>
    <d v="1899-12-30T12:05:00"/>
    <s v=""/>
    <s v="Ganho"/>
    <d v="2025-09-25T00:00:00"/>
    <d v="1899-12-30T14:58:22"/>
    <s v=""/>
    <s v=""/>
    <s v=""/>
    <x v="95"/>
    <s v=""/>
    <x v="105"/>
    <s v="18/08/2025"/>
    <m/>
    <m/>
    <s v=""/>
    <s v=""/>
    <s v=""/>
    <s v=""/>
    <n v="1"/>
  </r>
  <r>
    <x v="1"/>
    <n v="503"/>
    <m/>
    <n v="2433"/>
    <s v=""/>
    <s v=""/>
    <x v="212"/>
    <n v="46083438000181"/>
    <s v=""/>
    <s v="Adelmo Jeronimo"/>
    <s v="(81) 99252-2279"/>
    <s v=""/>
    <s v="adelmoo.jeronimo@gmail.com"/>
    <s v=""/>
    <s v=""/>
    <s v=""/>
    <s v=""/>
    <s v=""/>
    <s v="Base de empresas Leads2b"/>
    <s v=""/>
    <s v=""/>
    <s v=""/>
    <s v="Pipeline de Vendas"/>
    <s v="Apresentar Solução (35%)"/>
    <s v=""/>
    <m/>
    <n v="16960"/>
    <n v="998"/>
    <n v="29"/>
    <s v="Junior Lopes"/>
    <d v="2025-07-30T00:00:00"/>
    <d v="1899-12-30T11:50:21"/>
    <s v=""/>
    <s v="Perdido"/>
    <d v="2025-08-28T00:00:00"/>
    <d v="1899-12-30T16:43:54"/>
    <s v="Projeto adiado / sem prazo definido"/>
    <s v="após vários contatos não obtivemos retorno"/>
    <s v=""/>
    <x v="96"/>
    <s v=""/>
    <x v="106"/>
    <s v=""/>
    <m/>
    <m/>
    <s v=""/>
    <s v=""/>
    <s v=""/>
    <s v=""/>
    <n v="1"/>
  </r>
  <r>
    <x v="1"/>
    <n v="504"/>
    <m/>
    <n v="2434"/>
    <s v=""/>
    <s v=""/>
    <x v="213"/>
    <n v="8306975000154"/>
    <s v=""/>
    <s v="Fuzipar (ERP)"/>
    <s v="5499823395"/>
    <s v=""/>
    <s v=""/>
    <s v=""/>
    <s v=""/>
    <s v=""/>
    <s v="ERECHIM"/>
    <s v="RS"/>
    <s v=""/>
    <s v=""/>
    <s v=""/>
    <s v="50%"/>
    <s v="Pipeline de Vendas"/>
    <s v="Em negociação (75%)"/>
    <s v=""/>
    <m/>
    <n v="87344"/>
    <n v="514788"/>
    <n v="41"/>
    <s v="Junior Lopes"/>
    <d v="2025-07-30T00:00:00"/>
    <d v="1899-12-30T15:13:04"/>
    <s v=""/>
    <s v="Perdido"/>
    <d v="2025-09-09T00:00:00"/>
    <d v="1899-12-30T15:35:44"/>
    <s v="Não quer mudar a solução atual"/>
    <s v="cliente vai seguir somente com força de vendas"/>
    <s v=""/>
    <x v="97"/>
    <s v=""/>
    <x v="0"/>
    <s v=""/>
    <m/>
    <m/>
    <s v=""/>
    <s v=""/>
    <s v=""/>
    <s v=""/>
    <n v="1"/>
  </r>
  <r>
    <x v="1"/>
    <n v="505"/>
    <m/>
    <n v="2436"/>
    <s v=""/>
    <s v=""/>
    <x v="214"/>
    <n v="8306975000154"/>
    <s v=""/>
    <s v="Fuzipar (Cloud)"/>
    <s v="5499823395"/>
    <s v=""/>
    <s v=""/>
    <s v=""/>
    <s v=""/>
    <s v=""/>
    <s v="ERECHIM"/>
    <s v="RS"/>
    <s v=""/>
    <s v=""/>
    <s v=""/>
    <s v=""/>
    <s v="Pipeline de Vendas"/>
    <s v="Apresentar Solução (35%)"/>
    <s v=""/>
    <m/>
    <n v="1600"/>
    <n v="334556"/>
    <n v="30"/>
    <s v="Junior Lopes"/>
    <d v="2025-07-30T00:00:00"/>
    <d v="1899-12-30T16:07:10"/>
    <s v=""/>
    <s v="Perdido"/>
    <d v="2025-08-29T00:00:00"/>
    <d v="1899-12-30T15:49:29"/>
    <s v="Não quer mudar a solução atual"/>
    <s v="vai seguir somente com força de vendas"/>
    <s v=""/>
    <x v="96"/>
    <s v=""/>
    <x v="0"/>
    <s v=""/>
    <m/>
    <m/>
    <s v=""/>
    <s v=""/>
    <s v=""/>
    <s v=""/>
    <n v="1"/>
  </r>
  <r>
    <x v="1"/>
    <n v="506"/>
    <m/>
    <n v="2439"/>
    <s v=""/>
    <s v=""/>
    <x v="215"/>
    <n v="30924882000142"/>
    <s v=""/>
    <s v="PEDRO DE ROZENDO PACO DA SILVEIRA"/>
    <s v=""/>
    <s v=""/>
    <s v="pedro@grupoecoa.com.br"/>
    <s v=""/>
    <s v=""/>
    <s v=""/>
    <s v=""/>
    <s v=""/>
    <s v="Base de empresas Leads2b"/>
    <s v=""/>
    <s v=""/>
    <s v="90%"/>
    <s v="Pipeline de Vendas"/>
    <s v="Em Fechamento (100%)"/>
    <s v=""/>
    <m/>
    <n v="72240"/>
    <n v="2167539"/>
    <n v="56"/>
    <s v="Junior Lopes"/>
    <d v="2025-07-30T00:00:00"/>
    <d v="1899-12-30T16:26:43"/>
    <s v=""/>
    <s v="Perdido"/>
    <d v="2025-09-24T00:00:00"/>
    <d v="1899-12-30T09:34:51"/>
    <s v="Não quer mudar a solução atual"/>
    <s v="Pedro não responde mais aos contatos"/>
    <s v=""/>
    <x v="96"/>
    <s v=""/>
    <x v="0"/>
    <s v=""/>
    <m/>
    <m/>
    <s v=""/>
    <s v=""/>
    <s v=""/>
    <s v=""/>
    <n v="1"/>
  </r>
  <r>
    <x v="1"/>
    <n v="507"/>
    <m/>
    <n v="2440"/>
    <s v=""/>
    <s v=""/>
    <x v="216"/>
    <n v="30924882000142"/>
    <s v=""/>
    <s v="Grupo Ecoa"/>
    <s v="11987154112"/>
    <s v=""/>
    <s v="pedro@grupoecoa.com"/>
    <s v=""/>
    <s v=""/>
    <s v=""/>
    <s v="DUQUE DE CAXIAS"/>
    <s v="RJ"/>
    <s v=""/>
    <s v=""/>
    <s v=""/>
    <s v="80%"/>
    <s v="Pipeline de Vendas"/>
    <s v="Em Fechamento (100%)"/>
    <s v=""/>
    <m/>
    <n v="1620001"/>
    <n v="2900"/>
    <n v="56"/>
    <s v="Junior Lopes"/>
    <d v="2025-07-30T00:00:00"/>
    <d v="1899-12-30T17:20:05"/>
    <s v=""/>
    <s v="Perdido"/>
    <d v="2025-09-24T00:00:00"/>
    <d v="1899-12-30T09:17:39"/>
    <s v="Não quer mudar a solução atual"/>
    <s v="Pedro não responde mais os contatos"/>
    <s v=""/>
    <x v="96"/>
    <s v=""/>
    <x v="0"/>
    <s v=""/>
    <m/>
    <m/>
    <s v=""/>
    <s v=""/>
    <s v=""/>
    <s v=""/>
    <n v="1"/>
  </r>
  <r>
    <x v="1"/>
    <n v="508"/>
    <m/>
    <n v="2442"/>
    <s v=""/>
    <s v=""/>
    <x v="217"/>
    <m/>
    <s v=""/>
    <s v="Vitoria cortinas"/>
    <s v="35993445286"/>
    <s v=""/>
    <s v="compras@vitoriacortinasdecoracoes.com.br"/>
    <s v=""/>
    <s v=""/>
    <s v=""/>
    <s v=""/>
    <s v=""/>
    <s v=""/>
    <s v=""/>
    <s v=""/>
    <s v=""/>
    <s v="Pipeline de Vendas"/>
    <s v="Em Fechamento (100%)"/>
    <s v=""/>
    <m/>
    <n v="62169"/>
    <n v="0"/>
    <n v="53"/>
    <s v="Junior Lopes"/>
    <d v="2025-07-31T00:00:00"/>
    <d v="1899-12-30T09:07:55"/>
    <s v=""/>
    <s v="Ganho"/>
    <d v="2025-09-22T00:00:00"/>
    <d v="1899-12-30T10:43:58"/>
    <s v=""/>
    <s v=""/>
    <s v=""/>
    <x v="98"/>
    <s v=""/>
    <x v="107"/>
    <s v=""/>
    <m/>
    <m/>
    <s v=""/>
    <s v=""/>
    <s v=""/>
    <s v=""/>
    <n v="1"/>
  </r>
  <r>
    <x v="1"/>
    <n v="509"/>
    <m/>
    <n v="2443"/>
    <s v=""/>
    <s v="Maxsoy Alimentos Ltda"/>
    <x v="218"/>
    <n v="6346005000157"/>
    <s v=""/>
    <s v="Maxsoy Alimentos Ltda"/>
    <s v="(19) 3809-5454"/>
    <s v=""/>
    <s v="vendas@maxsoy.com.br"/>
    <s v=""/>
    <s v=""/>
    <s v=""/>
    <s v="HORTOLANDIA"/>
    <s v="SP"/>
    <s v="Base de empresas Leads2b"/>
    <s v=""/>
    <s v=""/>
    <s v=""/>
    <s v="Pipeline de Vendas"/>
    <s v="Apresentar Solução (35%)"/>
    <s v=""/>
    <m/>
    <n v="16960"/>
    <n v="67275"/>
    <n v="28"/>
    <s v="Junior Lopes"/>
    <d v="2025-07-31T00:00:00"/>
    <d v="1899-12-30T11:57:17"/>
    <s v=""/>
    <s v="Perdido"/>
    <d v="2025-08-28T00:00:00"/>
    <d v="1899-12-30T16:25:26"/>
    <s v="Preço muito alto - fora do budget de investimento"/>
    <s v="cliente não quer dar sequencia no momento por conta do valor"/>
    <s v=""/>
    <x v="99"/>
    <s v=""/>
    <x v="108"/>
    <s v="01/08/2025"/>
    <m/>
    <m/>
    <s v=""/>
    <s v=""/>
    <s v=""/>
    <s v=""/>
    <n v="1"/>
  </r>
  <r>
    <x v="1"/>
    <n v="510"/>
    <m/>
    <n v="2446"/>
    <s v=""/>
    <s v="Brinquemix Industria E Comercio Ltda"/>
    <x v="219"/>
    <n v="60315995000101"/>
    <s v=""/>
    <s v="Brinquemix Industria E Comercio Ltda"/>
    <s v="(11) 4116-5272"/>
    <s v=""/>
    <s v="fiscal@codepcontabilidade.com.br"/>
    <s v=""/>
    <s v=""/>
    <s v=""/>
    <s v="ITAQUAQUECETUBA"/>
    <s v="SP"/>
    <s v="Base de empresas Leads2b"/>
    <s v=""/>
    <s v=""/>
    <s v=""/>
    <s v="Pipeline de Vendas"/>
    <s v="Apresentar Solução (35%)"/>
    <s v=""/>
    <m/>
    <n v="94976"/>
    <n v="566152"/>
    <n v="29"/>
    <s v="Junior Lopes"/>
    <d v="2025-07-31T00:00:00"/>
    <d v="1899-12-30T17:09:31"/>
    <s v=""/>
    <s v="Perdido"/>
    <d v="2025-08-29T00:00:00"/>
    <d v="1899-12-30T11:05:45"/>
    <s v="Projeto adiado / sem prazo definido"/>
    <s v="16:26, 28/8/2025 Junior Lopes: Olá Simone, boa tarde_x000a_17:06, 28/8/2025 Simone Brinquemix : Olá Dra_x000a_17:06, 28/8/2025 Simone Brinquemix : Olá_x000a_11:03, 29/8/2025 Junior Lopes: Olá Simone ! Como não tive retorno de sua parte, vou encerrar este atendimento! _x000a_Caso mude de ideia ou precise de algo no futuro pode me chamar por aqui _x000a_Estimo sucesso para vocês 🤝"/>
    <s v=""/>
    <x v="100"/>
    <s v=""/>
    <x v="109"/>
    <s v="05/08/2025"/>
    <m/>
    <m/>
    <s v=""/>
    <s v=""/>
    <s v=""/>
    <s v=""/>
    <n v="1"/>
  </r>
  <r>
    <x v="0"/>
    <n v="516"/>
    <m/>
    <n v="2454"/>
    <s v=""/>
    <s v=""/>
    <x v="220"/>
    <n v="72677693000162"/>
    <s v=""/>
    <s v="Milene Fonseca"/>
    <s v="(11) 2431-1432"/>
    <s v=""/>
    <s v="compras@tapetesoasis.com.br"/>
    <s v=""/>
    <s v=""/>
    <s v=""/>
    <s v="Campinas"/>
    <s v=""/>
    <s v="Site"/>
    <s v=""/>
    <s v=""/>
    <s v="Solicita demo"/>
    <s v="Pipeline de Vendas"/>
    <s v="Em negociação (75%)"/>
    <s v=""/>
    <m/>
    <m/>
    <m/>
    <n v="53"/>
    <s v="Paulo Souza"/>
    <d v="2025-08-07T00:00:00"/>
    <d v="1899-12-30T12:08:11"/>
    <s v=""/>
    <s v="Perdido"/>
    <d v="2025-09-29T00:00:00"/>
    <d v="1899-12-30T16:35:41"/>
    <s v="Projeto adiado / sem prazo definido"/>
    <s v=""/>
    <s v=""/>
    <x v="0"/>
    <s v="Paulo Souza"/>
    <x v="110"/>
    <s v=""/>
    <m/>
    <m/>
    <s v=""/>
    <s v=""/>
    <s v=""/>
    <s v=""/>
    <n v="1"/>
  </r>
  <r>
    <x v="0"/>
    <n v="517"/>
    <m/>
    <n v="2453"/>
    <s v=""/>
    <s v=""/>
    <x v="221"/>
    <n v="38470026000176"/>
    <s v=""/>
    <s v="Matheus Ambrosi"/>
    <s v="(51) 99658-9275"/>
    <s v=""/>
    <s v="matheus.ambrosi@sanremo.com.br"/>
    <s v=""/>
    <s v=""/>
    <s v=""/>
    <s v="São Paulo"/>
    <s v=""/>
    <s v="Site"/>
    <s v=""/>
    <s v=""/>
    <s v=""/>
    <s v="Pipeline de Vendas"/>
    <s v="Qualificação de Vendas (SQL) (25%)"/>
    <s v=""/>
    <m/>
    <m/>
    <m/>
    <n v="53"/>
    <s v="Paulo Souza"/>
    <d v="2025-08-07T00:00:00"/>
    <d v="1899-12-30T12:08:57"/>
    <s v=""/>
    <s v="Perdido"/>
    <d v="2025-09-29T00:00:00"/>
    <d v="1899-12-30T16:37:57"/>
    <s v="Projeto adiado / sem prazo definido"/>
    <s v=""/>
    <s v=""/>
    <x v="0"/>
    <s v="Paulo Souza"/>
    <x v="0"/>
    <s v=""/>
    <m/>
    <m/>
    <s v=""/>
    <s v=""/>
    <s v=""/>
    <s v=""/>
    <n v="1"/>
  </r>
  <r>
    <x v="0"/>
    <n v="518"/>
    <m/>
    <n v="2456"/>
    <s v="Falei hoje com o Gomes consultor Totvs da empresa Oyshi e o mesmo que agendar uma reunião técnica de alinhamento para integrar o AFV com Protheus._x000a_19-01; Após nossa reunião na sexta-feira para alinhar sobre a integração, o Gomes ficou de providências uma agenda com o Rodrigo para fechar a negociação._x000a_22/01 - Cobrei novamente o Evandro para ele me posicionar se conseguiu falar com o Rodrigo para avançar com o contrato e fechamento e assim dar sequencias no projeto. Ele falou que estava envolvido em tarefas adicionais e isso atrasou a conversa que vai ocorrer na próxima semana._x000a_26/02 Fiz FUP com o Evandro hoje perguntando uma posição, no aguardo. Já falei com a Isabella diretor comercial, e até agora nada de retorno._x000a_12/03 Fiz FUP com o Evandro e ele falou que a decisão para seguir ou não vai ser tomada na próxima sexta-feira 13/03._x000a_23/03 Falei com a Isabella a mesma me avisou que semana que vem vai"/>
    <s v=""/>
    <x v="222"/>
    <n v="30340720000167"/>
    <s v=""/>
    <s v="Rodrigo"/>
    <s v="4491813443"/>
    <s v=""/>
    <s v="rodrigo.fongari@oyshi.com.br"/>
    <s v=""/>
    <s v=""/>
    <s v=""/>
    <s v=""/>
    <s v=""/>
    <s v="Outbound"/>
    <s v=""/>
    <s v=""/>
    <s v="80%"/>
    <s v="Pipeline de Vendas"/>
    <s v="Em Fechamento (100%)"/>
    <s v=""/>
    <d v="2026-03-31T00:00:00"/>
    <n v="27340"/>
    <n v="32992"/>
    <n v="246"/>
    <s v="Paulo Souza"/>
    <d v="2025-08-07T00:00:00"/>
    <d v="1899-12-30T13:57:39"/>
    <s v=""/>
    <s v="Perdido"/>
    <d v="2026-04-10T00:00:00"/>
    <d v="1899-12-30T16:56:59"/>
    <s v="Projeto adiado / sem prazo definido"/>
    <s v=""/>
    <s v=""/>
    <x v="101"/>
    <s v="Paulo Souza"/>
    <x v="111"/>
    <s v=""/>
    <d v="2026-04-10T00:00:00"/>
    <n v="90"/>
    <s v="80"/>
    <s v="AFV, BI"/>
    <s v="R$ 16.000"/>
    <s v="R$ 1.558"/>
    <n v="1"/>
  </r>
  <r>
    <x v="0"/>
    <n v="519"/>
    <m/>
    <n v="2457"/>
    <s v=""/>
    <s v=""/>
    <x v="223"/>
    <m/>
    <s v=""/>
    <s v="Fernanda"/>
    <s v="11997633759"/>
    <s v=""/>
    <s v="fernanda@jlkplasticos.com"/>
    <s v=""/>
    <s v=""/>
    <s v=""/>
    <s v=""/>
    <s v=""/>
    <s v=""/>
    <s v=""/>
    <s v=""/>
    <s v=""/>
    <s v="Pipeline de Vendas"/>
    <s v="Em negociação (75%)"/>
    <s v=""/>
    <m/>
    <m/>
    <m/>
    <n v="34"/>
    <s v="Paulo Souza"/>
    <d v="2025-08-07T00:00:00"/>
    <d v="1899-12-30T14:05:56"/>
    <s v=""/>
    <s v="Perdido"/>
    <d v="2025-09-10T00:00:00"/>
    <d v="1899-12-30T16:14:07"/>
    <s v="Preço muito alto - fora do budget de investimento"/>
    <s v=""/>
    <s v=""/>
    <x v="99"/>
    <s v="Paulo Souza"/>
    <x v="110"/>
    <s v=""/>
    <m/>
    <m/>
    <s v=""/>
    <s v=""/>
    <s v=""/>
    <s v=""/>
    <n v="1"/>
  </r>
  <r>
    <x v="0"/>
    <n v="521"/>
    <m/>
    <n v="2459"/>
    <s v=""/>
    <s v=""/>
    <x v="224"/>
    <n v="7380599000428"/>
    <s v=""/>
    <s v="Raymond"/>
    <s v="11982685555"/>
    <s v=""/>
    <s v="raymond@deltaimport.com.br"/>
    <s v=""/>
    <s v=""/>
    <s v=""/>
    <s v=""/>
    <s v=""/>
    <s v=""/>
    <s v=""/>
    <s v=""/>
    <s v=""/>
    <s v="Pipeline de Vendas"/>
    <s v="Em Fechamento (100%)"/>
    <s v=""/>
    <m/>
    <n v="55500"/>
    <n v="53662"/>
    <n v="17"/>
    <s v="Paulo Souza"/>
    <d v="2025-08-08T00:00:00"/>
    <d v="1899-12-30T11:45:56"/>
    <s v=""/>
    <s v="Ganho"/>
    <d v="2025-08-25T00:00:00"/>
    <d v="1899-12-30T14:26:43"/>
    <s v=""/>
    <s v=""/>
    <s v=""/>
    <x v="102"/>
    <s v="Paulo Souza"/>
    <x v="112"/>
    <s v=""/>
    <m/>
    <m/>
    <s v=""/>
    <s v=""/>
    <s v=""/>
    <s v=""/>
    <n v="1"/>
  </r>
  <r>
    <x v="2"/>
    <n v="531"/>
    <m/>
    <n v="2475"/>
    <s v=""/>
    <s v=""/>
    <x v="225"/>
    <n v="19733550000148"/>
    <s v=""/>
    <s v="Naiara"/>
    <s v="(19) 3496-7474 / (19) 3885-1725"/>
    <s v=""/>
    <s v="renatapalace@impal.ind.br"/>
    <s v=""/>
    <s v=""/>
    <s v=""/>
    <s v="RAFARD"/>
    <s v="SP"/>
    <s v=""/>
    <s v=""/>
    <s v=""/>
    <s v=""/>
    <s v="Pipeline de Vendas"/>
    <s v="Em negociação (75%)"/>
    <s v=""/>
    <m/>
    <n v="84420"/>
    <n v="4137"/>
    <n v="34"/>
    <s v="Rayssa Karapeticov"/>
    <d v="2025-08-20T00:00:00"/>
    <d v="1899-12-30T09:16:59"/>
    <s v=""/>
    <s v="Perdido"/>
    <d v="2025-09-23T00:00:00"/>
    <d v="1899-12-30T11:10:15"/>
    <s v="Preço muito alto - fora do budget de investimento"/>
    <s v=""/>
    <s v=""/>
    <x v="103"/>
    <s v=""/>
    <x v="113"/>
    <s v=""/>
    <m/>
    <m/>
    <s v=""/>
    <s v=""/>
    <s v=""/>
    <s v=""/>
    <n v="1"/>
  </r>
  <r>
    <x v="1"/>
    <n v="532"/>
    <m/>
    <n v="2478"/>
    <s v=""/>
    <s v="Distribuidora Tropical Aromas Ltda"/>
    <x v="226"/>
    <n v="12902777000120"/>
    <s v=""/>
    <s v="Distribuidora Tropical Aromas Ltda"/>
    <s v="(13) 3329-5855"/>
    <s v=""/>
    <s v="contato@keurequimica.com.br"/>
    <s v=""/>
    <s v=""/>
    <s v=""/>
    <s v="ITAQUAQUECETUBA"/>
    <s v="SP"/>
    <s v="Base de empresas Leads2b"/>
    <s v=""/>
    <s v=""/>
    <s v=""/>
    <s v="Pipeline de Vendas"/>
    <s v="Apresentar Solução (35%)"/>
    <s v=""/>
    <m/>
    <n v="16960"/>
    <n v="4910"/>
    <n v="69"/>
    <s v="Junior Lopes"/>
    <d v="2025-08-20T00:00:00"/>
    <d v="1899-12-30T09:53:51"/>
    <s v=""/>
    <s v="Perdido"/>
    <d v="2025-10-28T00:00:00"/>
    <d v="1899-12-30T10:23:56"/>
    <s v="Projeto adiado / sem prazo definido"/>
    <s v="Voltar contato em Janeiro 2026"/>
    <s v=""/>
    <x v="95"/>
    <s v=""/>
    <x v="114"/>
    <s v=""/>
    <m/>
    <m/>
    <s v=""/>
    <s v=""/>
    <s v=""/>
    <s v=""/>
    <n v="1"/>
  </r>
  <r>
    <x v="1"/>
    <n v="534"/>
    <m/>
    <n v="2481"/>
    <s v=""/>
    <s v="Usual Plastic - Utilidade Domestica E Comercio Ltda"/>
    <x v="227"/>
    <n v="12589391000291"/>
    <s v=""/>
    <s v="Usual Plastic - Utilidade Domestica E Comercio Ltda"/>
    <s v="(15) 3283-3659"/>
    <s v=""/>
    <s v="adm@usualutilidades.com.br"/>
    <s v=""/>
    <s v=""/>
    <s v=""/>
    <s v="CESARIO LANGE"/>
    <s v="SP"/>
    <s v="Base de empresas Leads2b"/>
    <s v=""/>
    <s v=""/>
    <s v="30%;50%"/>
    <s v="Pipeline de Vendas"/>
    <s v="Apresentar Solução (35%)"/>
    <s v=""/>
    <m/>
    <n v="16960"/>
    <n v="56568"/>
    <n v="20"/>
    <s v="Junior Lopes"/>
    <d v="2025-08-20T00:00:00"/>
    <d v="1899-12-30T09:59:57"/>
    <s v=""/>
    <s v="Perdido"/>
    <d v="2025-09-09T00:00:00"/>
    <d v="1899-12-30T15:34:30"/>
    <s v="Não quer mudar a solução atual"/>
    <s v="Gustavo conversou com os sócios e decidiu por não trocar de software no momento"/>
    <s v=""/>
    <x v="104"/>
    <s v=""/>
    <x v="115"/>
    <s v=""/>
    <m/>
    <m/>
    <s v=""/>
    <s v=""/>
    <s v=""/>
    <s v=""/>
    <n v="1"/>
  </r>
  <r>
    <x v="1"/>
    <n v="537"/>
    <m/>
    <n v="2486"/>
    <s v="O projeto já está fechado; porém, devido ao fim de ano e à alta demanda interna do cliente, a assinatura do contrato foi adiada. O cliente preferiu formalizar tudo na primeira semana de janeiro, com assinatura prevista para 05/01/2026."/>
    <s v=""/>
    <x v="228"/>
    <n v="4049280000183"/>
    <s v=""/>
    <s v="AmilPlast indústria"/>
    <s v="11973107041"/>
    <s v=""/>
    <s v="amilplast@amilplastt.com.br"/>
    <s v=""/>
    <s v=""/>
    <s v=""/>
    <s v="GUARULHOS"/>
    <s v="SP"/>
    <s v=""/>
    <s v=""/>
    <s v=""/>
    <s v="90%"/>
    <s v="Pipeline de Vendas"/>
    <s v="Em Fechamento (100%)"/>
    <s v=""/>
    <d v="2026-01-16T00:00:00"/>
    <n v="51300"/>
    <n v="17345"/>
    <n v="160"/>
    <s v="Junior Lopes"/>
    <d v="2025-08-20T00:00:00"/>
    <d v="1899-12-30T10:42:44"/>
    <s v=""/>
    <s v="Ganho"/>
    <d v="2026-01-27T00:00:00"/>
    <d v="1899-12-30T17:02:07"/>
    <s v=""/>
    <s v=""/>
    <s v="21/10/2025"/>
    <x v="105"/>
    <s v="Junior Lopes"/>
    <x v="116"/>
    <s v=""/>
    <d v="2026-01-06T00:00:00"/>
    <m/>
    <s v=""/>
    <s v=""/>
    <s v=""/>
    <s v=""/>
    <n v="1"/>
  </r>
  <r>
    <x v="1"/>
    <n v="539"/>
    <m/>
    <n v="2490"/>
    <s v=""/>
    <s v="Pracaza Decor Comercio Importacao E Exportacao De Artigos Para Decoracao Ltda."/>
    <x v="229"/>
    <n v="39679781000128"/>
    <s v=""/>
    <s v="Pracaza Decor Comercio Importacao E Exportacao De Artigos Para Decoracao Ltda."/>
    <s v="(11) 4395-7650"/>
    <s v=""/>
    <s v="contato@acrosscontabil.com.br"/>
    <s v=""/>
    <s v=""/>
    <s v=""/>
    <s v="SAO PAULO"/>
    <s v="SP"/>
    <s v="Base de empresas Leads2b"/>
    <s v=""/>
    <s v=""/>
    <s v=""/>
    <s v="Pipeline de Vendas"/>
    <s v="Apresentar Solução (35%)"/>
    <s v=""/>
    <m/>
    <n v="67840"/>
    <n v="13781"/>
    <n v="69"/>
    <s v="Junior Lopes"/>
    <d v="2025-08-20T00:00:00"/>
    <d v="1899-12-30T11:16:16"/>
    <s v=""/>
    <s v="Perdido"/>
    <d v="2025-10-28T00:00:00"/>
    <d v="1899-12-30T10:24:21"/>
    <s v="Não quer mudar a solução atual"/>
    <s v="sem retorno"/>
    <s v=""/>
    <x v="106"/>
    <s v=""/>
    <x v="0"/>
    <s v=""/>
    <m/>
    <m/>
    <s v=""/>
    <s v=""/>
    <s v=""/>
    <s v=""/>
    <n v="1"/>
  </r>
  <r>
    <x v="1"/>
    <n v="540"/>
    <m/>
    <n v="2493"/>
    <s v=""/>
    <s v="Aluminio Marcolar Ltda"/>
    <x v="230"/>
    <n v="43066372000204"/>
    <s v=""/>
    <s v="Aluminio Marcolar Ltda"/>
    <s v="(11) 2067-1299"/>
    <s v=""/>
    <s v="sac@marcolar.com.br"/>
    <s v=""/>
    <s v=""/>
    <s v=""/>
    <s v="RIBEIRAO PIRES"/>
    <s v="SP"/>
    <s v="Base de empresas Leads2b"/>
    <s v=""/>
    <s v=""/>
    <s v=""/>
    <s v="Pipeline de Vendas"/>
    <s v="Apresentar Solução (35%)"/>
    <s v=""/>
    <m/>
    <n v="16960"/>
    <n v="37712"/>
    <n v="71"/>
    <s v="Junior Lopes"/>
    <d v="2025-08-20T00:00:00"/>
    <d v="1899-12-30T11:29:31"/>
    <s v=""/>
    <s v="Perdido"/>
    <d v="2025-10-30T00:00:00"/>
    <d v="1899-12-30T10:08:50"/>
    <s v="Projeto adiado / sem prazo definido"/>
    <s v="Rogerio pediu para aguardar um pouco mais"/>
    <s v=""/>
    <x v="107"/>
    <s v=""/>
    <x v="117"/>
    <s v=""/>
    <m/>
    <m/>
    <s v=""/>
    <s v=""/>
    <s v=""/>
    <s v=""/>
    <n v="1"/>
  </r>
  <r>
    <x v="1"/>
    <n v="542"/>
    <m/>
    <n v="2496"/>
    <s v=""/>
    <s v=""/>
    <x v="231"/>
    <n v="1715468000125"/>
    <s v=""/>
    <s v="Off Paper"/>
    <s v="35984074473"/>
    <s v=""/>
    <s v="jessica@papeisoffpaper.com.br"/>
    <s v=""/>
    <s v=""/>
    <s v=""/>
    <s v="LAMBARI"/>
    <s v="MG"/>
    <s v=""/>
    <s v=""/>
    <s v=""/>
    <s v="30%"/>
    <s v="Pipeline de Vendas"/>
    <s v="Apresentar Proposta (50%)"/>
    <s v=""/>
    <m/>
    <n v="212"/>
    <n v="69045"/>
    <n v="41"/>
    <s v="Junior Lopes"/>
    <d v="2025-08-21T00:00:00"/>
    <d v="1899-12-30T09:33:37"/>
    <s v=""/>
    <s v="Perdido"/>
    <d v="2025-10-01T00:00:00"/>
    <d v="1899-12-30T15:59:20"/>
    <s v="Fechou com o concorrente - preço"/>
    <s v="fechou sem mesmo falar com Guarani"/>
    <s v=""/>
    <x v="106"/>
    <s v=""/>
    <x v="115"/>
    <s v="22/08/2025"/>
    <m/>
    <m/>
    <s v=""/>
    <s v=""/>
    <s v=""/>
    <s v=""/>
    <n v="1"/>
  </r>
  <r>
    <x v="0"/>
    <n v="545"/>
    <m/>
    <n v="2464"/>
    <s v=""/>
    <s v=""/>
    <x v="232"/>
    <m/>
    <s v=""/>
    <s v="Carlos"/>
    <s v="(11) 91852-0852"/>
    <s v=""/>
    <s v="cpedro@shinyt.com.br"/>
    <s v=""/>
    <s v=""/>
    <s v=""/>
    <s v="São Paulo"/>
    <s v=""/>
    <s v="Site"/>
    <s v=""/>
    <s v=""/>
    <s v=""/>
    <s v="Pipeline de Vendas"/>
    <s v="Apresentar Proposta (50%)"/>
    <s v=""/>
    <m/>
    <n v="47500"/>
    <n v="28571"/>
    <n v="3"/>
    <s v="Paulo Souza"/>
    <d v="2025-08-22T00:00:00"/>
    <d v="1899-12-30T16:30:14"/>
    <s v=""/>
    <s v="Perdido"/>
    <d v="2025-08-25T00:00:00"/>
    <d v="1899-12-30T14:44:29"/>
    <s v="Preço muito alto - fora do budget de investimento"/>
    <s v=""/>
    <s v=""/>
    <x v="99"/>
    <s v="Paulo Souza"/>
    <x v="113"/>
    <s v=""/>
    <m/>
    <m/>
    <s v=""/>
    <s v=""/>
    <s v=""/>
    <s v=""/>
    <n v="1"/>
  </r>
  <r>
    <x v="0"/>
    <n v="546"/>
    <m/>
    <n v="2463"/>
    <s v=""/>
    <s v=""/>
    <x v="233"/>
    <n v="27616615000101"/>
    <s v=""/>
    <s v="Raquel"/>
    <s v="(47) 99227-7535"/>
    <s v=""/>
    <s v="comercial@dgbcomex.com.br"/>
    <s v=""/>
    <s v=""/>
    <s v=""/>
    <s v="Santa Bárbara d'Oeste"/>
    <s v=""/>
    <s v="Site"/>
    <s v=""/>
    <s v=""/>
    <s v="Contato"/>
    <s v="Pipeline de Vendas"/>
    <s v="Em negociação (75%)"/>
    <s v=""/>
    <m/>
    <n v="56000"/>
    <n v="340834"/>
    <n v="38"/>
    <s v="Paulo Souza"/>
    <d v="2025-08-22T00:00:00"/>
    <d v="1899-12-30T16:30:46"/>
    <s v=""/>
    <s v="Perdido"/>
    <d v="2025-09-29T00:00:00"/>
    <d v="1899-12-30T16:42:31"/>
    <s v="Projeto adiado / sem prazo definido"/>
    <s v=""/>
    <s v=""/>
    <x v="108"/>
    <s v="Paulo Souza"/>
    <x v="118"/>
    <s v=""/>
    <m/>
    <m/>
    <s v=""/>
    <s v=""/>
    <s v=""/>
    <s v=""/>
    <n v="1"/>
  </r>
  <r>
    <x v="0"/>
    <n v="550"/>
    <m/>
    <n v="2506"/>
    <s v=""/>
    <s v=""/>
    <x v="234"/>
    <n v="7225431000103"/>
    <s v=""/>
    <s v="Ezequiel"/>
    <s v="49999523158"/>
    <s v=""/>
    <s v="adm@duarteestofaria.com.br"/>
    <s v=""/>
    <s v=""/>
    <s v=""/>
    <s v=""/>
    <s v=""/>
    <s v=""/>
    <s v=""/>
    <s v=""/>
    <s v=""/>
    <s v="Pipeline de Vendas"/>
    <s v="Em negociação (75%)"/>
    <s v=""/>
    <m/>
    <n v="519984"/>
    <n v="15378"/>
    <n v="0"/>
    <s v="Paulo Souza"/>
    <d v="2025-08-25T00:00:00"/>
    <d v="1899-12-30T14:30:34"/>
    <s v=""/>
    <s v="Perdido"/>
    <d v="2025-08-25T00:00:00"/>
    <d v="1899-12-30T14:33:38"/>
    <s v="Preço muito alto - fora do budget de investimento"/>
    <s v=""/>
    <s v=""/>
    <x v="109"/>
    <s v="Paulo Souza"/>
    <x v="119"/>
    <s v=""/>
    <m/>
    <m/>
    <s v=""/>
    <s v=""/>
    <s v=""/>
    <s v=""/>
    <n v="1"/>
  </r>
  <r>
    <x v="0"/>
    <n v="552"/>
    <m/>
    <n v="2508"/>
    <s v="Falei hoje 09/01/2026 com Helton e questionei ele sobre a sequência ou não do projeto sistema._x000a_Esta oportunidade encontra-se pausado durante 2026._x000a_22/01 - Retorno do Helton:  Paulo, bom dia! Peço desculpas pelo atraso na resposta. Desejo um ótimo 2026 para você também! _x000a_Analisamos as opções para uma possível troca, mas infelizmente não obtivemos a adesão esperada. Portanto, por enquanto, vamos manter o ERP atual."/>
    <s v=""/>
    <x v="235"/>
    <n v="17739326000138"/>
    <s v=""/>
    <s v="Helton"/>
    <s v="1633347333"/>
    <s v=""/>
    <s v="helton@ramos.com.br"/>
    <s v=""/>
    <s v=""/>
    <s v=""/>
    <s v=""/>
    <s v=""/>
    <s v=""/>
    <s v=""/>
    <s v=""/>
    <s v="30%"/>
    <s v="Pipeline de Vendas"/>
    <s v="Em negociação (75%)"/>
    <s v=""/>
    <d v="2026-01-22T00:00:00"/>
    <n v="15359994"/>
    <n v="924744"/>
    <n v="151"/>
    <s v="Paulo Souza"/>
    <d v="2025-08-25T00:00:00"/>
    <d v="1899-12-30T14:49:40"/>
    <s v=""/>
    <s v="Perdido"/>
    <d v="2026-01-23T00:00:00"/>
    <d v="1899-12-30T11:11:59"/>
    <s v="Não quer mudar a solução atual"/>
    <s v=""/>
    <s v=""/>
    <x v="110"/>
    <s v="Paulo Souza"/>
    <x v="120"/>
    <s v=""/>
    <d v="2026-01-22T00:00:00"/>
    <m/>
    <s v=""/>
    <s v=""/>
    <s v=""/>
    <s v=""/>
    <n v="1"/>
  </r>
  <r>
    <x v="0"/>
    <n v="553"/>
    <m/>
    <n v="2509"/>
    <s v=""/>
    <s v=""/>
    <x v="236"/>
    <m/>
    <s v=""/>
    <s v="Fabiana e Gilson"/>
    <s v="11950946784"/>
    <s v=""/>
    <s v="null"/>
    <s v=""/>
    <s v=""/>
    <s v=""/>
    <s v=""/>
    <s v=""/>
    <s v=""/>
    <s v=""/>
    <s v=""/>
    <s v=""/>
    <s v="Pipeline de Vendas"/>
    <s v="Em Fechamento (100%)"/>
    <s v=""/>
    <m/>
    <n v="9600"/>
    <n v="412064"/>
    <n v="84"/>
    <s v="Paulo Souza"/>
    <d v="2025-08-25T00:00:00"/>
    <d v="1899-12-30T14:58:26"/>
    <s v=""/>
    <s v="Ganho"/>
    <d v="2025-11-17T00:00:00"/>
    <d v="1899-12-30T15:27:00"/>
    <s v=""/>
    <s v=""/>
    <s v=""/>
    <x v="110"/>
    <s v="Paulo Souza"/>
    <x v="120"/>
    <s v=""/>
    <m/>
    <m/>
    <s v=""/>
    <s v=""/>
    <s v=""/>
    <s v=""/>
    <n v="1"/>
  </r>
  <r>
    <x v="1"/>
    <n v="557"/>
    <m/>
    <n v="2516"/>
    <s v=""/>
    <s v=""/>
    <x v="237"/>
    <n v="59716480000134"/>
    <s v=""/>
    <s v="Plastutti - Cloud"/>
    <s v="1146311986"/>
    <s v=""/>
    <s v="thiago@plasstutti.com.br"/>
    <s v=""/>
    <s v=""/>
    <s v=""/>
    <s v="DIADEMA"/>
    <s v="SP"/>
    <s v=""/>
    <s v=""/>
    <s v=""/>
    <s v=""/>
    <s v="Pipeline de Vendas"/>
    <s v="Apresentar Proposta (50%)"/>
    <s v=""/>
    <m/>
    <m/>
    <m/>
    <n v="0"/>
    <s v="Junior Lopes"/>
    <d v="2025-08-28T00:00:00"/>
    <d v="1899-12-30T16:54:42"/>
    <s v=""/>
    <s v="Perdido"/>
    <d v="2025-08-28T00:00:00"/>
    <d v="1899-12-30T17:00:14"/>
    <s v="Preço muito alto - fora do budget de investimento"/>
    <s v="achou valores acima"/>
    <s v=""/>
    <x v="111"/>
    <s v=""/>
    <x v="121"/>
    <s v=""/>
    <m/>
    <m/>
    <s v=""/>
    <s v=""/>
    <s v=""/>
    <s v=""/>
    <n v="1"/>
  </r>
  <r>
    <x v="1"/>
    <n v="558"/>
    <m/>
    <n v="2518"/>
    <s v=""/>
    <s v=""/>
    <x v="238"/>
    <n v="60315995000101"/>
    <s v=""/>
    <s v="Brinquemix - Cloud"/>
    <s v="11996823494"/>
    <s v=""/>
    <s v="simonee@brinquemix.com.br"/>
    <s v=""/>
    <s v=""/>
    <s v=""/>
    <s v="ITAQUAQUECETUBA"/>
    <s v="SP"/>
    <s v=""/>
    <s v=""/>
    <s v=""/>
    <s v=""/>
    <s v="Pipeline de Vendas"/>
    <s v="Apresentar Solução (35%)"/>
    <s v=""/>
    <m/>
    <n v="1600"/>
    <n v="323356"/>
    <n v="0"/>
    <s v="Junior Lopes"/>
    <d v="2025-08-29T00:00:00"/>
    <d v="1899-12-30T10:43:20"/>
    <s v=""/>
    <s v="Perdido"/>
    <d v="2025-08-29T00:00:00"/>
    <d v="1899-12-30T11:06:35"/>
    <s v="Projeto adiado / sem prazo definido"/>
    <s v="16:26, 28/8/2025 Junior Lopes: Olá Simone, boa tarde_x000a_17:06, 28/8/2025 Simone Brinquemix : Olá Dra_x000a_17:06, 28/8/2025 Simone Brinquemix : Olá_x000a_11:03, 29/8/2025 Junior Lopes: Olá Simone ! Como não tive retorno de sua parte, vou encerrar este atendimento! _x000a_Caso mude de ideia ou precise de algo no futuro pode me chamar por aqui _x000a_Estimo sucesso para vocês 🤝"/>
    <s v=""/>
    <x v="112"/>
    <s v=""/>
    <x v="109"/>
    <s v=""/>
    <m/>
    <m/>
    <s v=""/>
    <s v=""/>
    <s v=""/>
    <s v=""/>
    <n v="1"/>
  </r>
  <r>
    <x v="1"/>
    <n v="559"/>
    <n v="155"/>
    <m/>
    <s v=""/>
    <s v=""/>
    <x v="239"/>
    <n v="13609763000186"/>
    <s v="BAAG (Bahia Artes Gráficas)"/>
    <s v=""/>
    <s v=""/>
    <s v=""/>
    <s v="cleber@bahiagrafica.com.br"/>
    <s v=""/>
    <s v=""/>
    <s v=""/>
    <s v="Feira de Santana"/>
    <s v="BA"/>
    <s v=""/>
    <s v=""/>
    <s v=""/>
    <s v=""/>
    <s v="Pipeline de Vendas"/>
    <s v="Apresentar Solução (35%)"/>
    <s v=""/>
    <m/>
    <n v="16960"/>
    <n v="14256"/>
    <n v="32"/>
    <s v="Junior Lopes"/>
    <d v="2025-08-29T00:00:00"/>
    <d v="1899-12-30T15:55:01"/>
    <s v=""/>
    <s v="Perdido"/>
    <d v="2025-09-30T00:00:00"/>
    <d v="1899-12-30T16:26:43"/>
    <s v="Projeto adiado / sem prazo definido"/>
    <s v="em analise do consultor Munhoz, cliente não esta no momento  certo"/>
    <s v=""/>
    <x v="113"/>
    <s v=""/>
    <x v="0"/>
    <s v=""/>
    <m/>
    <m/>
    <s v=""/>
    <s v=""/>
    <s v=""/>
    <s v=""/>
    <n v="1"/>
  </r>
  <r>
    <x v="1"/>
    <n v="561"/>
    <m/>
    <n v="2523"/>
    <s v=""/>
    <s v=""/>
    <x v="240"/>
    <n v="4049280000183"/>
    <s v=""/>
    <s v="Amilplast - Cloud"/>
    <s v="11973107041"/>
    <s v=""/>
    <s v="amilplast@amilplastt.com.br"/>
    <s v=""/>
    <s v=""/>
    <s v=""/>
    <s v="GUARULHOS"/>
    <s v="SP"/>
    <s v=""/>
    <s v=""/>
    <s v=""/>
    <s v=""/>
    <s v="Pipeline de Vendas"/>
    <s v="Em Fechamento (100%)"/>
    <s v=""/>
    <m/>
    <n v="1600"/>
    <n v="390556"/>
    <n v="61"/>
    <s v="Junior Lopes"/>
    <d v="2025-08-29T00:00:00"/>
    <d v="1899-12-30T16:40:34"/>
    <s v=""/>
    <s v="Perdido"/>
    <d v="2025-10-29T00:00:00"/>
    <d v="1899-12-30T10:37:03"/>
    <s v="Não quer mudar a solução atual"/>
    <s v="Amilplast continuará com servidor físico"/>
    <s v="21/10/2025"/>
    <x v="105"/>
    <s v=""/>
    <x v="116"/>
    <s v=""/>
    <m/>
    <m/>
    <s v=""/>
    <s v=""/>
    <s v=""/>
    <s v=""/>
    <n v="1"/>
  </r>
  <r>
    <x v="1"/>
    <n v="562"/>
    <m/>
    <n v="2526"/>
    <s v=""/>
    <s v=""/>
    <x v="241"/>
    <n v="1715468000125"/>
    <s v=""/>
    <s v="Off Paper (ERP)"/>
    <s v="35984074473"/>
    <s v=""/>
    <s v="jessica@papeisoffpaper.com.br"/>
    <s v=""/>
    <s v=""/>
    <s v=""/>
    <s v="LAMBARI"/>
    <s v="MG"/>
    <s v=""/>
    <s v=""/>
    <s v=""/>
    <s v=""/>
    <s v="Pipeline de Vendas"/>
    <s v="Apresentar Solução (35%)"/>
    <s v=""/>
    <m/>
    <n v="1600"/>
    <n v="480156"/>
    <n v="33"/>
    <s v="Junior Lopes"/>
    <d v="2025-08-29T00:00:00"/>
    <d v="1899-12-30T16:52:44"/>
    <s v=""/>
    <s v="Perdido"/>
    <d v="2025-10-01T00:00:00"/>
    <d v="1899-12-30T15:58:53"/>
    <s v="Fechou com o concorrente - preço"/>
    <s v="fechou sem mesmo falar com Guarani"/>
    <s v=""/>
    <x v="106"/>
    <s v=""/>
    <x v="0"/>
    <s v=""/>
    <m/>
    <m/>
    <s v=""/>
    <s v=""/>
    <s v=""/>
    <s v=""/>
    <n v="1"/>
  </r>
  <r>
    <x v="1"/>
    <n v="563"/>
    <m/>
    <n v="2530"/>
    <s v=""/>
    <s v=""/>
    <x v="242"/>
    <n v="1715468000125"/>
    <s v=""/>
    <s v="Off Paper (Cloud)"/>
    <s v="35984074473"/>
    <s v=""/>
    <s v="jessica@papeisoffpaper.com.br"/>
    <s v=""/>
    <s v=""/>
    <s v=""/>
    <s v="LAMBARI"/>
    <s v="MG"/>
    <s v=""/>
    <s v=""/>
    <s v=""/>
    <s v=""/>
    <s v="Pipeline de Vendas"/>
    <s v="Apresentar Solução (35%)"/>
    <s v=""/>
    <m/>
    <n v="93280"/>
    <n v="1163416"/>
    <n v="33"/>
    <s v="Junior Lopes"/>
    <d v="2025-08-29T00:00:00"/>
    <d v="1899-12-30T16:55:00"/>
    <s v=""/>
    <s v="Perdido"/>
    <d v="2025-10-01T00:00:00"/>
    <d v="1899-12-30T15:58:22"/>
    <s v="Fechou com o concorrente - preço"/>
    <s v="fechou sem mesmo falar com Guarani"/>
    <s v=""/>
    <x v="106"/>
    <s v=""/>
    <x v="0"/>
    <s v=""/>
    <m/>
    <m/>
    <s v=""/>
    <s v=""/>
    <s v=""/>
    <s v=""/>
    <n v="1"/>
  </r>
  <r>
    <x v="1"/>
    <n v="564"/>
    <m/>
    <n v="2534"/>
    <s v=""/>
    <s v=""/>
    <x v="243"/>
    <m/>
    <s v=""/>
    <s v="Usual plastic (BI)"/>
    <s v="1532833659"/>
    <s v=""/>
    <s v="adm@usualutilidades.com.br"/>
    <s v=""/>
    <s v=""/>
    <s v=""/>
    <s v=""/>
    <s v=""/>
    <s v=""/>
    <s v=""/>
    <s v=""/>
    <s v=""/>
    <s v="Pipeline de Vendas"/>
    <s v="Apresentar Solução (35%)"/>
    <s v=""/>
    <m/>
    <n v="16200"/>
    <n v="2160"/>
    <n v="11"/>
    <s v="Junior Lopes"/>
    <d v="2025-08-29T00:00:00"/>
    <d v="1899-12-30T17:43:06"/>
    <s v=""/>
    <s v="Perdido"/>
    <d v="2025-09-09T00:00:00"/>
    <d v="1899-12-30T15:32:46"/>
    <s v="Não quer mudar a solução atual"/>
    <s v="Gustavo conversou com os sócios e decidiu por não trocar de software no momento"/>
    <s v=""/>
    <x v="104"/>
    <s v=""/>
    <x v="0"/>
    <s v=""/>
    <m/>
    <m/>
    <s v=""/>
    <s v=""/>
    <s v=""/>
    <s v=""/>
    <n v="1"/>
  </r>
  <r>
    <x v="2"/>
    <n v="566"/>
    <m/>
    <n v="2538"/>
    <s v=""/>
    <s v="Jr Comercio De Motos E Pecas Ltda"/>
    <x v="244"/>
    <n v="46964028000140"/>
    <s v=""/>
    <s v="Jr Comercio De Motos E Pecas Ltda"/>
    <s v="(67) 9121-3638"/>
    <s v=""/>
    <s v="custodiojadi@gmail.com"/>
    <s v=""/>
    <s v=""/>
    <s v=""/>
    <s v="CAMPO GRANDE"/>
    <s v="MS"/>
    <s v="Base de empresas Leads2b"/>
    <s v=""/>
    <s v=""/>
    <s v=""/>
    <s v="Pipeline de Vendas"/>
    <s v="Apresentar Solução (35%)"/>
    <s v=""/>
    <m/>
    <m/>
    <m/>
    <n v="28"/>
    <s v="Rayssa Karapeticov"/>
    <d v="2025-09-02T00:00:00"/>
    <d v="1899-12-30T09:34:13"/>
    <s v=""/>
    <s v="Perdido"/>
    <d v="2025-09-30T00:00:00"/>
    <d v="1899-12-30T09:44:47"/>
    <s v="Preço muito alto - fora do budget de investimento"/>
    <s v=""/>
    <s v=""/>
    <x v="0"/>
    <s v=""/>
    <x v="0"/>
    <s v=""/>
    <m/>
    <m/>
    <s v=""/>
    <s v=""/>
    <s v=""/>
    <s v=""/>
    <n v="1"/>
  </r>
  <r>
    <x v="2"/>
    <n v="567"/>
    <m/>
    <n v="2541"/>
    <s v=""/>
    <s v="Jomafe Brasil - Comercio De Utensilios Domesticos E Cutelarias Ltda."/>
    <x v="245"/>
    <n v="13039863000203"/>
    <s v=""/>
    <s v="Jomafe Brasil - Comercio De Utensilios Domesticos E Cutelarias Ltda."/>
    <s v="(11) 3283-3767"/>
    <s v=""/>
    <s v="vendas.br@jomafe.pt"/>
    <s v=""/>
    <s v=""/>
    <s v=""/>
    <s v="SAO PAULO"/>
    <s v="SP"/>
    <s v="Base de empresas Leads2b"/>
    <s v=""/>
    <s v=""/>
    <s v="WhatsappRayssa"/>
    <s v="Pipeline de Vendas"/>
    <s v="Agendamento (0%)"/>
    <s v=""/>
    <m/>
    <m/>
    <m/>
    <n v="98"/>
    <s v="Rayssa Karapeticov"/>
    <d v="2025-09-02T00:00:00"/>
    <d v="1899-12-30T10:57:13"/>
    <s v=""/>
    <s v="Perdido"/>
    <d v="2025-12-09T00:00:00"/>
    <d v="1899-12-30T11:48:37"/>
    <s v="Projeto adiado / sem prazo definido"/>
    <s v=""/>
    <s v=""/>
    <x v="0"/>
    <s v=""/>
    <x v="0"/>
    <s v=""/>
    <m/>
    <m/>
    <s v=""/>
    <s v=""/>
    <s v=""/>
    <s v=""/>
    <n v="1"/>
  </r>
  <r>
    <x v="0"/>
    <n v="575"/>
    <m/>
    <n v="2547"/>
    <s v=""/>
    <s v=""/>
    <x v="246"/>
    <m/>
    <s v=""/>
    <s v="NATALIA GABRIELA DAMACENO MOTA"/>
    <s v="(11) 9667-2094"/>
    <s v=""/>
    <s v="naty-gabriela@hotmail.com"/>
    <s v=""/>
    <s v=""/>
    <s v=""/>
    <s v="São Paulo"/>
    <s v=""/>
    <s v="Site"/>
    <s v=""/>
    <s v=""/>
    <s v="Contato"/>
    <s v="Pipeline de Vendas"/>
    <s v="Apresentar Proposta (50%)"/>
    <s v=""/>
    <m/>
    <m/>
    <m/>
    <n v="19"/>
    <s v="Paulo Souza"/>
    <d v="2025-09-10T00:00:00"/>
    <d v="1899-12-30T15:39:28"/>
    <s v=""/>
    <s v="Perdido"/>
    <d v="2025-09-29T00:00:00"/>
    <d v="1899-12-30T16:41:35"/>
    <s v="Fora do porte mínimo (sem fit estrutural)"/>
    <s v=""/>
    <s v=""/>
    <x v="108"/>
    <s v="Paulo Souza"/>
    <x v="118"/>
    <s v=""/>
    <m/>
    <m/>
    <s v=""/>
    <s v=""/>
    <s v=""/>
    <s v=""/>
    <n v="1"/>
  </r>
  <r>
    <x v="1"/>
    <n v="576"/>
    <m/>
    <n v="2551"/>
    <s v=""/>
    <s v="Natalia Gabriela Damaceno Mota"/>
    <x v="247"/>
    <n v="36621794000158"/>
    <s v=""/>
    <s v="Natalia Gabriela Damaceno Mota"/>
    <s v="(11) 4292-3358"/>
    <s v=""/>
    <s v="catocontabilidade@gmail.com"/>
    <s v=""/>
    <s v=""/>
    <s v=""/>
    <s v="SUZANO"/>
    <s v="SP"/>
    <s v="Base de empresas Leads2b"/>
    <s v=""/>
    <s v=""/>
    <s v=""/>
    <s v="Pipeline de Vendas"/>
    <s v="Apresentar Solução (35%)"/>
    <s v=""/>
    <m/>
    <n v="10176"/>
    <n v="2060"/>
    <n v="23"/>
    <s v="Junior Lopes"/>
    <d v="2025-09-10T00:00:00"/>
    <d v="1899-12-30T15:53:14"/>
    <s v=""/>
    <s v="Perdido"/>
    <d v="2025-10-03T00:00:00"/>
    <d v="1899-12-30T09:59:47"/>
    <s v="Não houve aprovação financeira"/>
    <s v="Após proposta cliente não respondeu mais"/>
    <s v=""/>
    <x v="114"/>
    <s v=""/>
    <x v="122"/>
    <s v=""/>
    <m/>
    <m/>
    <s v=""/>
    <s v=""/>
    <s v=""/>
    <s v=""/>
    <n v="1"/>
  </r>
  <r>
    <x v="0"/>
    <n v="577"/>
    <m/>
    <n v="2502"/>
    <s v=""/>
    <s v=""/>
    <x v="248"/>
    <m/>
    <s v=""/>
    <s v="Lara"/>
    <s v="(19) 99985-2953"/>
    <s v=""/>
    <s v="lfabian.pereira@gmail.com"/>
    <s v=""/>
    <s v=""/>
    <s v=""/>
    <s v="Pedreira"/>
    <s v=""/>
    <s v="Site"/>
    <s v=""/>
    <s v=""/>
    <s v="Contato"/>
    <s v="Pipeline de Vendas"/>
    <s v="Em negociação (75%)"/>
    <s v=""/>
    <m/>
    <m/>
    <m/>
    <n v="0"/>
    <s v="Paulo Souza"/>
    <d v="2025-09-10T00:00:00"/>
    <d v="1899-12-30T15:54:51"/>
    <s v=""/>
    <s v="Perdido"/>
    <d v="2025-09-10T00:00:00"/>
    <d v="1899-12-30T15:56:27"/>
    <s v="Preço muito alto - fora do budget de investimento"/>
    <s v=""/>
    <s v=""/>
    <x v="115"/>
    <s v="Paulo Souza"/>
    <x v="123"/>
    <s v=""/>
    <m/>
    <m/>
    <s v=""/>
    <s v=""/>
    <s v=""/>
    <s v=""/>
    <n v="1"/>
  </r>
  <r>
    <x v="0"/>
    <n v="578"/>
    <m/>
    <n v="2515"/>
    <s v=""/>
    <s v=""/>
    <x v="249"/>
    <m/>
    <s v=""/>
    <s v="Sidney Stabile"/>
    <s v="(11) 98122-0797"/>
    <s v=""/>
    <s v="sidneysmr1@gmail.com"/>
    <s v=""/>
    <s v=""/>
    <s v=""/>
    <s v="São Paulo"/>
    <s v=""/>
    <s v="Site"/>
    <s v=""/>
    <s v=""/>
    <s v="Solicita demo"/>
    <s v="Pipeline de Vendas"/>
    <s v="Apresentar Proposta (50%)"/>
    <s v=""/>
    <m/>
    <m/>
    <m/>
    <n v="0"/>
    <s v="Paulo Souza"/>
    <d v="2025-09-11T00:00:00"/>
    <d v="1899-12-30T08:35:20"/>
    <s v=""/>
    <s v="Perdido"/>
    <d v="2025-09-11T00:00:00"/>
    <d v="1899-12-30T08:38:05"/>
    <s v="Preço muito alto - fora do budget de investimento"/>
    <s v=""/>
    <s v=""/>
    <x v="116"/>
    <s v=""/>
    <x v="124"/>
    <s v=""/>
    <m/>
    <m/>
    <s v=""/>
    <s v=""/>
    <s v=""/>
    <s v=""/>
    <n v="1"/>
  </r>
  <r>
    <x v="1"/>
    <n v="582"/>
    <m/>
    <n v="2555"/>
    <s v="O projeto só avançará após o ERP entrar em produção. É necessário alinhar com o Mário e o Fernando para confirmar a data exata de go-live, pois o projeto permanece aguardando essa etapa da implantação para seguir com as próximas fases."/>
    <s v=""/>
    <x v="150"/>
    <n v="32921219000110"/>
    <s v=""/>
    <s v="MDL Import - Cloud"/>
    <s v="1190695515"/>
    <s v=""/>
    <s v="janaina@mdlimport.com.br"/>
    <s v=""/>
    <s v=""/>
    <s v=""/>
    <s v=""/>
    <s v=""/>
    <s v=""/>
    <s v=""/>
    <s v=""/>
    <s v="80%"/>
    <s v="Pipeline de Vendas"/>
    <s v="Em Fechamento (100%)"/>
    <s v=""/>
    <d v="2026-02-02T00:00:00"/>
    <n v="1600"/>
    <n v="256856"/>
    <n v="231"/>
    <s v="Junior Lopes"/>
    <d v="2025-09-11T00:00:00"/>
    <d v="1899-12-30T13:00:08"/>
    <s v=""/>
    <s v="Perdido"/>
    <d v="2026-04-30T00:00:00"/>
    <d v="1899-12-30T14:30:32"/>
    <s v="Não quer mudar a solução atual"/>
    <s v="esta em uso de servidor próprio"/>
    <s v=""/>
    <x v="117"/>
    <s v="Junior Lopes"/>
    <x v="125"/>
    <s v=""/>
    <d v="2025-12-12T00:00:00"/>
    <n v="80"/>
    <s v=""/>
    <s v=""/>
    <s v=""/>
    <s v=""/>
    <n v="1"/>
  </r>
  <r>
    <x v="0"/>
    <n v="583"/>
    <m/>
    <n v="578"/>
    <s v="A empresa está enfrentando uma situação delicada com a Receita Federal e, por isso, decidiu aguardar antes de assinar o contrato, já que não sabe se manterá a operação de atacado. O plano é retomar o contato na primeira semana de janeiro de 2026._x000a_06/02 A Michele me ligou retomando o projeto, agora estamos na fase de negociação."/>
    <s v="Futuro Brasil Importacao E Exportacao Ltda"/>
    <x v="250"/>
    <n v="7664689000289"/>
    <s v=""/>
    <s v="Futuro Brasil Importacao E Exportacao Ltda"/>
    <s v="(11) 3312-3990"/>
    <s v=""/>
    <s v="financeiro.michele@futurobrasil.com"/>
    <s v=""/>
    <s v=""/>
    <s v=""/>
    <s v="EXTREMA"/>
    <s v="MG"/>
    <s v="Base de empresas Leads2b"/>
    <s v=""/>
    <s v=""/>
    <s v="30%;Pausado"/>
    <s v="Pipeline de Vendas"/>
    <s v="Em negociação (75%)"/>
    <s v=""/>
    <d v="2026-04-30T00:00:00"/>
    <n v="100800"/>
    <n v="5484"/>
    <n v="249"/>
    <s v="Paulo Souza"/>
    <d v="2025-09-11T00:00:00"/>
    <d v="1899-12-30T15:56:45"/>
    <s v=""/>
    <s v="Perdido"/>
    <d v="2026-05-18T00:00:00"/>
    <d v="1899-12-30T16:49:23"/>
    <s v="Projeto adiado / sem prazo definido"/>
    <s v=""/>
    <s v=""/>
    <x v="118"/>
    <s v="Paulo Souza"/>
    <x v="126"/>
    <s v=""/>
    <d v="2026-03-31T00:00:00"/>
    <n v="30"/>
    <s v="504"/>
    <s v="ERP, AFV, ADICIONAIS, CLOUD, WMS"/>
    <s v="R$ 100.800"/>
    <s v="R$ 5.484"/>
    <n v="1"/>
  </r>
  <r>
    <x v="1"/>
    <n v="585"/>
    <m/>
    <n v="2557"/>
    <s v=""/>
    <s v=""/>
    <x v="251"/>
    <m/>
    <s v=""/>
    <s v="Fantoys comércio de brinquedos ltda"/>
    <s v="44999841977"/>
    <s v=""/>
    <s v="Fantoyscomercial@gmail.com"/>
    <s v=""/>
    <s v=""/>
    <s v=""/>
    <s v=""/>
    <s v=""/>
    <s v=""/>
    <s v=""/>
    <s v=""/>
    <s v=""/>
    <s v="Pipeline de Vendas"/>
    <s v="Apresentar Proposta (50%)"/>
    <s v=""/>
    <m/>
    <n v="58088"/>
    <n v="645602"/>
    <n v="13"/>
    <s v="Junior Lopes"/>
    <d v="2025-09-12T00:00:00"/>
    <d v="1899-12-30T14:48:47"/>
    <s v=""/>
    <s v="Perdido"/>
    <d v="2025-09-25T00:00:00"/>
    <d v="1899-12-30T16:14:01"/>
    <s v="Não houve aprovação financeira"/>
    <s v="cliente achou investimento muito alto"/>
    <s v=""/>
    <x v="119"/>
    <s v=""/>
    <x v="127"/>
    <s v=""/>
    <m/>
    <m/>
    <s v=""/>
    <s v=""/>
    <s v=""/>
    <s v=""/>
    <n v="1"/>
  </r>
  <r>
    <x v="2"/>
    <n v="587"/>
    <m/>
    <n v="2559"/>
    <s v=""/>
    <s v=""/>
    <x v="252"/>
    <m/>
    <s v=""/>
    <s v="Junior"/>
    <s v="19987126669"/>
    <s v=""/>
    <s v="null"/>
    <s v=""/>
    <s v=""/>
    <s v=""/>
    <s v=""/>
    <s v=""/>
    <s v=""/>
    <s v=""/>
    <s v=""/>
    <s v=""/>
    <s v="Pipeline de Vendas"/>
    <s v="Em Fechamento (100%)"/>
    <s v=""/>
    <m/>
    <n v="64200"/>
    <n v="254344"/>
    <n v="78"/>
    <s v="Rayssa Karapeticov"/>
    <d v="2025-09-15T00:00:00"/>
    <d v="1899-12-30T10:48:08"/>
    <s v=""/>
    <s v="Ganho"/>
    <d v="2025-12-02T00:00:00"/>
    <d v="1899-12-30T11:19:47"/>
    <s v=""/>
    <s v=""/>
    <s v=""/>
    <x v="120"/>
    <s v=""/>
    <x v="128"/>
    <s v="17/09/2025 00:00"/>
    <m/>
    <m/>
    <s v=""/>
    <s v=""/>
    <s v=""/>
    <s v=""/>
    <n v="1"/>
  </r>
  <r>
    <x v="1"/>
    <n v="589"/>
    <m/>
    <n v="2561"/>
    <s v=""/>
    <s v=""/>
    <x v="253"/>
    <n v="7548592000120"/>
    <s v=""/>
    <s v="KAIQUE ARAUJO"/>
    <s v="(67) 99250-3056"/>
    <s v=""/>
    <s v="comercial.centralracoes@hotmail.com"/>
    <s v=""/>
    <s v=""/>
    <s v=""/>
    <s v="CAMPO GRANDE"/>
    <s v="MS"/>
    <s v="Site"/>
    <s v=""/>
    <s v=""/>
    <s v="Solicita demo"/>
    <s v="Pipeline de Vendas"/>
    <s v="Apresentar Proposta (50%)"/>
    <s v=""/>
    <m/>
    <n v="103032"/>
    <n v="696032"/>
    <n v="30"/>
    <s v="Paulo Souza"/>
    <d v="2025-09-16T00:00:00"/>
    <d v="1899-12-30T09:41:24"/>
    <s v=""/>
    <s v="Perdido"/>
    <d v="2025-10-16T00:00:00"/>
    <d v="1899-12-30T12:01:25"/>
    <s v="Projeto adiado / sem prazo definido"/>
    <s v="informações salvo em notas"/>
    <s v=""/>
    <x v="121"/>
    <s v="Junior Lopes"/>
    <x v="129"/>
    <s v="30/09/2025"/>
    <m/>
    <m/>
    <s v=""/>
    <s v=""/>
    <s v=""/>
    <s v=""/>
    <n v="1"/>
  </r>
  <r>
    <x v="1"/>
    <n v="590"/>
    <m/>
    <n v="2561"/>
    <s v=""/>
    <s v=""/>
    <x v="254"/>
    <n v="7548592000120"/>
    <s v=""/>
    <s v="KAIQUE ARAUJO"/>
    <s v="(67) 99250-3056"/>
    <s v=""/>
    <s v="comercial.centralracoes@hotmail.com"/>
    <s v=""/>
    <s v=""/>
    <s v=""/>
    <s v="CAMPO GRANDE"/>
    <s v="MS"/>
    <s v="Site"/>
    <s v=""/>
    <s v=""/>
    <s v="Solicita demo"/>
    <s v="Pipeline de Vendas"/>
    <s v="Agendamento (0%)"/>
    <s v=""/>
    <m/>
    <m/>
    <m/>
    <n v="0"/>
    <s v="Junior Lopes"/>
    <d v="2025-09-16T00:00:00"/>
    <d v="1899-12-30T09:45:26"/>
    <s v=""/>
    <s v="Perdido"/>
    <d v="2025-09-16T00:00:00"/>
    <d v="1899-12-30T09:58:11"/>
    <s v="Fora do porte mínimo (sem fit estrutural)"/>
    <s v="cadastro duplicado"/>
    <s v=""/>
    <x v="0"/>
    <s v=""/>
    <x v="0"/>
    <s v=""/>
    <m/>
    <m/>
    <s v=""/>
    <s v=""/>
    <s v=""/>
    <s v=""/>
    <n v="1"/>
  </r>
  <r>
    <x v="1"/>
    <n v="597"/>
    <m/>
    <n v="2571"/>
    <s v=""/>
    <s v="Ilumac Industria Comercio E Servicos Ltda"/>
    <x v="255"/>
    <n v="49872306000127"/>
    <s v=""/>
    <s v="Ilumac Industria Comercio E Servicos Ltda"/>
    <s v="(14) 3213-1100"/>
    <s v=""/>
    <s v="direcao@safeway.ind.br"/>
    <s v=""/>
    <s v=""/>
    <s v=""/>
    <s v="BAURU"/>
    <s v="SP"/>
    <s v="Base de empresas Leads2b"/>
    <s v=""/>
    <s v=""/>
    <s v=""/>
    <s v="Pipeline de Vendas"/>
    <s v="Apresentar Proposta (50%)"/>
    <s v=""/>
    <m/>
    <n v="7021439"/>
    <n v="37362"/>
    <n v="14"/>
    <s v="Junior Lopes"/>
    <d v="2025-09-19T00:00:00"/>
    <d v="1899-12-30T15:49:06"/>
    <s v=""/>
    <s v="Perdido"/>
    <d v="2025-10-03T00:00:00"/>
    <d v="1899-12-30T09:41:38"/>
    <s v="Não quer mudar a solução atual"/>
    <s v="cliente não responde as mensagens e ligações"/>
    <s v=""/>
    <x v="114"/>
    <s v=""/>
    <x v="130"/>
    <s v=""/>
    <m/>
    <m/>
    <s v=""/>
    <s v=""/>
    <s v=""/>
    <s v=""/>
    <n v="1"/>
  </r>
  <r>
    <x v="0"/>
    <n v="600"/>
    <m/>
    <n v="2477"/>
    <s v=""/>
    <s v=""/>
    <x v="256"/>
    <m/>
    <s v=""/>
    <s v="Lucas"/>
    <s v="(11) 98527-7256"/>
    <s v=""/>
    <s v="marketing@mewoof.com.br"/>
    <s v=""/>
    <s v=""/>
    <s v=""/>
    <s v="São Paulo"/>
    <s v=""/>
    <s v="Site"/>
    <s v=""/>
    <s v=""/>
    <s v="Solicita demo"/>
    <s v="Pipeline de Vendas"/>
    <s v="Em negociação (75%)"/>
    <s v=""/>
    <m/>
    <m/>
    <m/>
    <n v="43"/>
    <s v="Paulo Souza"/>
    <d v="2025-09-23T00:00:00"/>
    <d v="1899-12-30T16:50:25"/>
    <s v=""/>
    <s v="Perdido"/>
    <d v="2025-11-05T00:00:00"/>
    <d v="1899-12-30T09:56:42"/>
    <s v="Fora do porte mínimo (sem fit estrutural)"/>
    <s v=""/>
    <s v=""/>
    <x v="108"/>
    <s v="Paulo Souza"/>
    <x v="131"/>
    <s v=""/>
    <m/>
    <m/>
    <s v=""/>
    <s v=""/>
    <s v=""/>
    <s v=""/>
    <n v="1"/>
  </r>
  <r>
    <x v="1"/>
    <n v="601"/>
    <m/>
    <n v="2579"/>
    <s v=""/>
    <s v=""/>
    <x v="257"/>
    <m/>
    <s v=""/>
    <s v="Fantoys Brinquedos - Cloud"/>
    <s v="44999841977"/>
    <s v=""/>
    <s v="Fantoyscomercial@gmail.com"/>
    <s v=""/>
    <s v=""/>
    <s v=""/>
    <s v=""/>
    <s v=""/>
    <s v=""/>
    <s v=""/>
    <s v=""/>
    <s v=""/>
    <s v="Pipeline de Vendas"/>
    <s v="Apresentar Proposta (50%)"/>
    <s v=""/>
    <m/>
    <n v="1600"/>
    <n v="2396"/>
    <n v="1"/>
    <s v="Junior Lopes"/>
    <d v="2025-09-24T00:00:00"/>
    <d v="1899-12-30T09:48:02"/>
    <s v=""/>
    <s v="Perdido"/>
    <d v="2025-09-25T00:00:00"/>
    <d v="1899-12-30T16:14:54"/>
    <s v="Não houve aprovação financeira"/>
    <s v="cliente achou investimento muito  alto"/>
    <s v=""/>
    <x v="119"/>
    <s v=""/>
    <x v="127"/>
    <s v=""/>
    <m/>
    <m/>
    <s v=""/>
    <s v=""/>
    <s v=""/>
    <s v=""/>
    <n v="1"/>
  </r>
  <r>
    <x v="1"/>
    <n v="602"/>
    <m/>
    <n v="2582"/>
    <s v=""/>
    <s v="Principios Representacoes De Artigos De Uso Domestico Ltda"/>
    <x v="258"/>
    <n v="11392803000155"/>
    <s v=""/>
    <s v="Principios Representacoes De Artigos De Uso Domestico Ltda"/>
    <s v="(48) 9123-3777"/>
    <s v=""/>
    <s v="fabiane.principios@gmail.com"/>
    <s v=""/>
    <s v=""/>
    <s v=""/>
    <s v="ARARANGUA"/>
    <s v="SC"/>
    <s v="Base de empresas Leads2b"/>
    <s v=""/>
    <s v=""/>
    <s v=""/>
    <s v="Pipeline de Vendas"/>
    <s v="Apresentar Proposta (50%)"/>
    <s v=""/>
    <m/>
    <m/>
    <m/>
    <n v="42"/>
    <s v="Junior Lopes"/>
    <d v="2025-09-24T00:00:00"/>
    <d v="1899-12-30T14:10:49"/>
    <s v=""/>
    <s v="Perdido"/>
    <d v="2025-11-05T00:00:00"/>
    <d v="1899-12-30T09:29:11"/>
    <s v="Projeto adiado / sem prazo definido"/>
    <s v="cliente Rep Mais"/>
    <s v=""/>
    <x v="0"/>
    <s v=""/>
    <x v="118"/>
    <s v=""/>
    <m/>
    <m/>
    <s v=""/>
    <s v=""/>
    <s v=""/>
    <s v=""/>
    <n v="1"/>
  </r>
  <r>
    <x v="1"/>
    <n v="603"/>
    <m/>
    <n v="2581"/>
    <s v=""/>
    <s v=""/>
    <x v="259"/>
    <n v="8019257000105"/>
    <s v=""/>
    <s v="Ramão"/>
    <s v=""/>
    <s v=""/>
    <s v="diego.barcelli@guaranisistemas.com.br"/>
    <s v=""/>
    <s v=""/>
    <s v=""/>
    <s v="Brumadinho"/>
    <s v=""/>
    <s v="Indicação"/>
    <s v=""/>
    <s v=""/>
    <s v=""/>
    <s v="Pipeline de Vendas"/>
    <s v="Agendamento (0%)"/>
    <s v=""/>
    <m/>
    <m/>
    <m/>
    <n v="13"/>
    <s v="Paulo Souza"/>
    <d v="2025-09-24T00:00:00"/>
    <d v="1899-12-30T16:01:16"/>
    <s v=""/>
    <s v="Perdido"/>
    <d v="2025-10-07T00:00:00"/>
    <d v="1899-12-30T14:43:39"/>
    <s v="Não quer mudar a solução atual"/>
    <s v="Sem retorno dos contatos"/>
    <s v=""/>
    <x v="0"/>
    <s v="Junior Lopes"/>
    <x v="132"/>
    <s v=""/>
    <m/>
    <m/>
    <s v=""/>
    <s v=""/>
    <s v=""/>
    <s v=""/>
    <n v="1"/>
  </r>
  <r>
    <x v="1"/>
    <n v="604"/>
    <m/>
    <n v="2580"/>
    <s v="Todos os dados preenchidos:_x000a_name: Ramão _x000a_phone: 67 9 9169-7702 _x000a_email: ramaodlara@gmail.com _x000a_nome_da_empresa_indicada: LUZIA LARA GUILHEN- MEI _x000a_field_6: Guarani ERP, PDV _x000a_nome_de_quem_indica: Diego Luis Barcelli _x000a_e_mail_de_quem_indica: diego.barcelli@guaranisistemas.com.br _x000a_telefone_de_quem_indica: 16 9 9265-3506 _x000a_Quais_produtos_Guarani_você_indica_para_essa_empresa?: Guarani ERP, PDV _x000a_0: Guarani ERP, PDV"/>
    <s v=""/>
    <x v="260"/>
    <m/>
    <s v=""/>
    <s v="Ramão"/>
    <s v="67 9 9169-7702"/>
    <s v=""/>
    <s v="ramaodlara@gmail.com"/>
    <s v=""/>
    <s v=""/>
    <s v=""/>
    <s v=""/>
    <s v=""/>
    <s v="Indicação"/>
    <s v=""/>
    <s v=""/>
    <s v=""/>
    <s v="Pipeline de Vendas"/>
    <s v="Agendamento (0%)"/>
    <s v=""/>
    <m/>
    <m/>
    <m/>
    <n v="13"/>
    <s v="Paulo Souza"/>
    <d v="2025-09-24T00:00:00"/>
    <d v="1899-12-30T16:02:08"/>
    <s v=""/>
    <s v="Perdido"/>
    <d v="2025-10-07T00:00:00"/>
    <d v="1899-12-30T09:36:27"/>
    <s v="Não quer mudar a solução atual"/>
    <s v="não responde ao contato"/>
    <s v=""/>
    <x v="0"/>
    <s v="Junior Lopes"/>
    <x v="132"/>
    <s v=""/>
    <m/>
    <m/>
    <s v=""/>
    <s v=""/>
    <s v=""/>
    <s v=""/>
    <n v="1"/>
  </r>
  <r>
    <x v="1"/>
    <n v="607"/>
    <m/>
    <n v="2590"/>
    <s v=""/>
    <s v=""/>
    <x v="261"/>
    <n v="1099426000107"/>
    <s v=""/>
    <s v="Chame Rio (Cloud)"/>
    <s v="21996087296"/>
    <s v=""/>
    <s v="leon@chamerio.com.br"/>
    <s v=""/>
    <s v=""/>
    <s v=""/>
    <s v=""/>
    <s v=""/>
    <s v=""/>
    <s v=""/>
    <s v=""/>
    <s v=""/>
    <s v="Pipeline de Vendas"/>
    <s v="Em negociação (75%)"/>
    <s v=""/>
    <m/>
    <n v="1600"/>
    <n v="3360"/>
    <n v="62"/>
    <s v="Junior Lopes"/>
    <d v="2025-09-25T00:00:00"/>
    <d v="1899-12-30T15:54:00"/>
    <s v=""/>
    <s v="Perdido"/>
    <d v="2025-11-26T00:00:00"/>
    <d v="1899-12-30T14:16:02"/>
    <s v="Projeto adiado / sem prazo definido"/>
    <s v="Aguardar ativação das lojas"/>
    <s v=""/>
    <x v="122"/>
    <s v=""/>
    <x v="133"/>
    <s v=""/>
    <m/>
    <m/>
    <s v=""/>
    <s v=""/>
    <s v=""/>
    <s v=""/>
    <n v="1"/>
  </r>
  <r>
    <x v="1"/>
    <n v="608"/>
    <m/>
    <n v="2591"/>
    <s v=""/>
    <s v=""/>
    <x v="262"/>
    <n v="6302372000159"/>
    <s v=""/>
    <s v="DVidros (CNPJ)"/>
    <s v="31992324071"/>
    <s v=""/>
    <s v="comercial@dvidros.com.br"/>
    <s v=""/>
    <s v=""/>
    <s v=""/>
    <s v=""/>
    <s v=""/>
    <s v=""/>
    <s v=""/>
    <s v=""/>
    <s v=""/>
    <s v="Pipeline de Vendas"/>
    <s v="Em Fechamento (100%)"/>
    <s v=""/>
    <m/>
    <n v="260148"/>
    <n v="0"/>
    <n v="0"/>
    <s v="Junior Lopes"/>
    <d v="2025-09-25T00:00:00"/>
    <d v="1899-12-30T16:03:28"/>
    <s v=""/>
    <s v="Ganho"/>
    <d v="2025-09-25T00:00:00"/>
    <d v="1899-12-30T16:12:47"/>
    <s v=""/>
    <s v=""/>
    <s v=""/>
    <x v="115"/>
    <s v=""/>
    <x v="123"/>
    <s v=""/>
    <m/>
    <m/>
    <s v=""/>
    <s v=""/>
    <s v=""/>
    <s v=""/>
    <n v="1"/>
  </r>
  <r>
    <x v="1"/>
    <n v="609"/>
    <m/>
    <n v="2592"/>
    <s v=""/>
    <s v=""/>
    <x v="263"/>
    <n v="7548592000120"/>
    <s v=""/>
    <s v="Central Rações - BI"/>
    <s v="67992503056"/>
    <s v=""/>
    <s v="comercial.centralracoes@hotmail.com"/>
    <s v=""/>
    <s v=""/>
    <s v=""/>
    <s v="CAMPO GRANDE"/>
    <s v="MS"/>
    <s v=""/>
    <s v=""/>
    <s v=""/>
    <s v=""/>
    <s v="Pipeline de Vendas"/>
    <s v="Apresentar Proposta (50%)"/>
    <s v=""/>
    <m/>
    <n v="16200"/>
    <n v="2160"/>
    <n v="21"/>
    <s v="Junior Lopes"/>
    <d v="2025-09-25T00:00:00"/>
    <d v="1899-12-30T16:39:10"/>
    <s v=""/>
    <s v="Perdido"/>
    <d v="2025-10-16T00:00:00"/>
    <d v="1899-12-30T12:02:57"/>
    <s v="Projeto adiado / sem prazo definido"/>
    <s v="informações salvo em notas"/>
    <s v=""/>
    <x v="121"/>
    <s v=""/>
    <x v="134"/>
    <s v=""/>
    <m/>
    <m/>
    <s v=""/>
    <s v=""/>
    <s v=""/>
    <s v=""/>
    <n v="1"/>
  </r>
  <r>
    <x v="1"/>
    <n v="610"/>
    <m/>
    <n v="2595"/>
    <s v=""/>
    <s v=""/>
    <x v="264"/>
    <n v="7548592000120"/>
    <s v=""/>
    <s v="Central Rações - Cloud"/>
    <s v="67992503056"/>
    <s v=""/>
    <s v="comercial.centralracoes@hotmail.com"/>
    <s v=""/>
    <s v=""/>
    <s v=""/>
    <s v="CAMPO GRANDE"/>
    <s v="MS"/>
    <s v=""/>
    <s v=""/>
    <s v=""/>
    <s v=""/>
    <s v="Pipeline de Vendas"/>
    <s v="Apresentar Proposta (50%)"/>
    <s v=""/>
    <m/>
    <n v="1600"/>
    <n v="405552"/>
    <n v="21"/>
    <s v="Junior Lopes"/>
    <d v="2025-09-25T00:00:00"/>
    <d v="1899-12-30T16:41:53"/>
    <s v=""/>
    <s v="Perdido"/>
    <d v="2025-10-16T00:00:00"/>
    <d v="1899-12-30T12:02:06"/>
    <s v="Projeto adiado / sem prazo definido"/>
    <s v="informações salvo em notas"/>
    <s v=""/>
    <x v="121"/>
    <s v=""/>
    <x v="134"/>
    <s v=""/>
    <m/>
    <m/>
    <s v=""/>
    <s v=""/>
    <s v=""/>
    <s v=""/>
    <n v="1"/>
  </r>
  <r>
    <x v="2"/>
    <n v="611"/>
    <m/>
    <n v="2598"/>
    <s v=""/>
    <s v=""/>
    <x v="265"/>
    <n v="11861121000306"/>
    <s v=""/>
    <s v="Emerson Silva"/>
    <s v="(55) 11941-3524"/>
    <s v=""/>
    <s v="operacional@facinato.com.br"/>
    <s v=""/>
    <s v=""/>
    <s v=""/>
    <s v="São Paulo"/>
    <s v=""/>
    <s v="Site"/>
    <s v=""/>
    <s v=""/>
    <s v="Solicita demo"/>
    <s v="Pipeline de Vendas"/>
    <s v="Apresentar Proposta (50%)"/>
    <s v=""/>
    <m/>
    <m/>
    <m/>
    <n v="28"/>
    <s v="Paulo Souza"/>
    <d v="2025-09-26T00:00:00"/>
    <d v="1899-12-30T10:12:27"/>
    <s v=""/>
    <s v="Perdido"/>
    <d v="2025-10-24T00:00:00"/>
    <d v="1899-12-30T12:02:58"/>
    <s v="Preço muito alto - fora do budget de investimento"/>
    <s v=""/>
    <s v=""/>
    <x v="0"/>
    <s v="Rayssa Karapeticov"/>
    <x v="135"/>
    <s v=""/>
    <m/>
    <m/>
    <s v=""/>
    <s v=""/>
    <s v=""/>
    <s v=""/>
    <n v="1"/>
  </r>
  <r>
    <x v="1"/>
    <n v="613"/>
    <m/>
    <n v="2600"/>
    <s v="11:51, 06/01/2026 Junior Lopes: lá Wilkerson, bom dia_x000a_11:51, 06/01/2026 Junior Lopes: Um Feliz 2026 para vc e toda equipe 🙏🙏_x000a_11:51, 06/01/2026 Junior Lopes: Me recebe aí para discutirmos sobre a proposta comercial?_x000a_15:32, 23/01/2026 Junior Lopes: Olá Wilkerson, boa tarde_x000a_13:34, 27/01/2026 Wilkerson Plasbrin: Ola_x000a_13:34, 27/01/2026 Wilkerson Plasbrin: Estou analisando a proposta sina_x000a_13:34, 27/01/2026 Wilkerson Plasbrin: Ainda_x000a_13:35, 27/01/2026 Wilkerson Plasbrin: Creio que em fevereiro te contato sobre uma negociação_x000a_13:36, 27/01/2026 Junior Lopes: Olá meu amigo! Ótimo _x000a_Veja o que precisa para fecharmos! Nossa solução vai ajudar muito em seus processos _x000a_Te aguardo 👊_x000a_14:25, 27/01/2026 Wilkerson Plasbrin: Pode deixar_x000a_14:25, 27/01/2026 Wilkerson Plasbrin: Vamos avaliar_x000a_08:53, 24/02/2026 Junior Lopes: Olá Wilkerson, bom dia , Td bem ?_x000a_08:54, 24/02/2026 Junior Lopes: Vamos agendar um bate papo para próxima semana ? _x000a_Se sim vou até você !"/>
    <s v=""/>
    <x v="266"/>
    <n v="221294000181"/>
    <s v=""/>
    <s v="PlasBink"/>
    <s v="11997580006"/>
    <s v=""/>
    <s v="falgat@terra.com.br"/>
    <s v=""/>
    <s v=""/>
    <s v=""/>
    <s v="CABREUVA"/>
    <s v="SP"/>
    <s v=""/>
    <s v=""/>
    <s v=""/>
    <s v="50%"/>
    <s v="Pipeline de Vendas"/>
    <s v="Em negociação (75%)"/>
    <s v=""/>
    <d v="2026-03-31T00:00:00"/>
    <n v="81786"/>
    <n v="79654"/>
    <n v="233"/>
    <s v="Junior Lopes"/>
    <d v="2025-09-29T00:00:00"/>
    <d v="1899-12-30T11:41:56"/>
    <s v=""/>
    <s v="Ativo"/>
    <m/>
    <m/>
    <s v=""/>
    <s v=""/>
    <s v="08/10/2025"/>
    <x v="123"/>
    <s v="Junior Lopes"/>
    <x v="118"/>
    <s v=""/>
    <d v="2026-02-24T00:00:00"/>
    <n v="50"/>
    <s v=""/>
    <s v=""/>
    <s v=""/>
    <s v=""/>
    <n v="1"/>
  </r>
  <r>
    <x v="0"/>
    <n v="614"/>
    <m/>
    <n v="2603"/>
    <s v="Indefinido se vamos ou não seguir . O Wellington esta em analise se vamos evoluir!_x000a_Esta oportunidade encontra-se pausado durante 2026._x000a_07/02 Por motivo de gerenciamento do meu CRM, estou declinando a proposta e futuramente quando o cliente demonstrar interesse novamente retornamos com a proposta."/>
    <s v=""/>
    <x v="267"/>
    <n v="9517464000144"/>
    <s v=""/>
    <s v="Wellington"/>
    <s v=""/>
    <s v=""/>
    <s v="well@wellmix.com.br"/>
    <s v=""/>
    <s v=""/>
    <s v=""/>
    <s v=""/>
    <s v=""/>
    <s v=""/>
    <s v=""/>
    <s v=""/>
    <s v="30%;Pausado"/>
    <s v="Pipeline de Vendas"/>
    <s v="Em negociação (75%)"/>
    <s v=""/>
    <d v="2026-03-31T00:00:00"/>
    <n v="254760"/>
    <n v="1578632"/>
    <n v="131"/>
    <s v="Paulo Souza"/>
    <d v="2025-09-29T00:00:00"/>
    <d v="1899-12-30T17:19:09"/>
    <s v=""/>
    <s v="Perdido"/>
    <d v="2026-02-07T00:00:00"/>
    <d v="1899-12-30T08:47:53"/>
    <s v="Não quer mudar a solução atual"/>
    <s v="07/02 Por motivo de gerenciamento do meu CRM, estou declinando a proposta e futuramente quando o cliente demonstrar interesse novamente retornamos com a proposta."/>
    <s v=""/>
    <x v="124"/>
    <s v="Paulo Souza"/>
    <x v="136"/>
    <s v=""/>
    <d v="2026-02-07T00:00:00"/>
    <n v="30"/>
    <s v=""/>
    <s v=""/>
    <s v=""/>
    <s v=""/>
    <n v="1"/>
  </r>
  <r>
    <x v="0"/>
    <n v="615"/>
    <m/>
    <n v="2604"/>
    <s v=""/>
    <s v=""/>
    <x v="268"/>
    <n v="73114894000114"/>
    <s v=""/>
    <s v="Sidney"/>
    <s v=""/>
    <s v=""/>
    <s v="sidney@unikhome.com.br"/>
    <s v=""/>
    <s v=""/>
    <s v=""/>
    <s v=""/>
    <s v=""/>
    <s v=""/>
    <s v=""/>
    <s v=""/>
    <s v=""/>
    <s v="Pipeline de Vendas"/>
    <s v="Em negociação (75%)"/>
    <s v=""/>
    <m/>
    <m/>
    <m/>
    <n v="0"/>
    <s v="Paulo Souza"/>
    <d v="2025-09-29T00:00:00"/>
    <d v="1899-12-30T17:22:41"/>
    <s v=""/>
    <s v="Perdido"/>
    <d v="2025-09-29T00:00:00"/>
    <d v="1899-12-30T17:22:55"/>
    <s v="Preço muito alto - fora do budget de investimento"/>
    <s v=""/>
    <s v=""/>
    <x v="125"/>
    <s v="Paulo Souza"/>
    <x v="137"/>
    <s v=""/>
    <m/>
    <m/>
    <s v=""/>
    <s v=""/>
    <s v=""/>
    <s v=""/>
    <n v="1"/>
  </r>
  <r>
    <x v="0"/>
    <n v="616"/>
    <m/>
    <n v="2605"/>
    <s v=""/>
    <s v=""/>
    <x v="269"/>
    <n v="18628799000120"/>
    <s v=""/>
    <s v="Gabeirl"/>
    <s v="(11) 3567-5470"/>
    <s v=""/>
    <s v="atendimento@dolcehome.com.br"/>
    <s v=""/>
    <s v=""/>
    <s v=""/>
    <s v="SAO PAULO"/>
    <s v="SP"/>
    <s v=""/>
    <s v=""/>
    <s v=""/>
    <s v=""/>
    <s v="Pipeline de Vendas"/>
    <s v="Em negociação (75%)"/>
    <s v=""/>
    <m/>
    <m/>
    <m/>
    <n v="37"/>
    <s v="Paulo Souza"/>
    <d v="2025-09-29T00:00:00"/>
    <d v="1899-12-30T17:28:50"/>
    <s v=""/>
    <s v="Perdido"/>
    <d v="2025-11-05T00:00:00"/>
    <d v="1899-12-30T09:54:48"/>
    <s v="Fora do porte mínimo (sem fit estrutural)"/>
    <s v=""/>
    <s v=""/>
    <x v="126"/>
    <s v="Paulo Souza"/>
    <x v="136"/>
    <s v=""/>
    <m/>
    <m/>
    <s v=""/>
    <s v=""/>
    <s v=""/>
    <s v=""/>
    <n v="1"/>
  </r>
  <r>
    <x v="1"/>
    <n v="618"/>
    <m/>
    <n v="2609"/>
    <s v=""/>
    <s v=""/>
    <x v="270"/>
    <n v="49872306000127"/>
    <s v=""/>
    <s v="Illumac Industria - Cloud"/>
    <s v="1432131100"/>
    <s v=""/>
    <s v="direcao@safeway.ind.br"/>
    <s v=""/>
    <s v=""/>
    <s v=""/>
    <s v="BAURU"/>
    <s v="SP"/>
    <s v=""/>
    <s v=""/>
    <s v=""/>
    <s v=""/>
    <s v="Pipeline de Vendas"/>
    <s v="Apresentar Proposta (50%)"/>
    <s v=""/>
    <m/>
    <n v="1600"/>
    <n v="2468"/>
    <n v="3"/>
    <s v="Junior Lopes"/>
    <d v="2025-09-30T00:00:00"/>
    <d v="1899-12-30T14:38:16"/>
    <s v=""/>
    <s v="Perdido"/>
    <d v="2025-10-03T00:00:00"/>
    <d v="1899-12-30T09:42:31"/>
    <s v="Não quer mudar a solução atual"/>
    <s v="cliente não responde as mensagens e ligações"/>
    <s v=""/>
    <x v="114"/>
    <s v=""/>
    <x v="130"/>
    <s v=""/>
    <m/>
    <m/>
    <s v=""/>
    <s v=""/>
    <s v=""/>
    <s v=""/>
    <n v="1"/>
  </r>
  <r>
    <x v="1"/>
    <n v="619"/>
    <m/>
    <n v="2614"/>
    <s v=""/>
    <s v=""/>
    <x v="271"/>
    <n v="1099426000107"/>
    <s v=""/>
    <s v="Chame Rio - Horas"/>
    <s v="21996087296"/>
    <s v=""/>
    <s v="leon@chamerio.com.br"/>
    <s v=""/>
    <s v=""/>
    <s v=""/>
    <s v=""/>
    <s v=""/>
    <s v=""/>
    <s v=""/>
    <s v=""/>
    <s v=""/>
    <s v="Pipeline de Vendas"/>
    <s v="Em Fechamento (100%)"/>
    <s v=""/>
    <m/>
    <n v="2527318"/>
    <n v="0"/>
    <n v="29"/>
    <s v="Junior Lopes"/>
    <d v="2025-09-30T00:00:00"/>
    <d v="1899-12-30T15:58:34"/>
    <s v=""/>
    <s v="Ganho"/>
    <d v="2025-10-29T00:00:00"/>
    <d v="1899-12-30T10:50:59"/>
    <s v=""/>
    <s v=""/>
    <s v=""/>
    <x v="127"/>
    <s v=""/>
    <x v="0"/>
    <s v=""/>
    <m/>
    <m/>
    <s v=""/>
    <s v=""/>
    <s v=""/>
    <s v=""/>
    <n v="1"/>
  </r>
  <r>
    <x v="0"/>
    <n v="620"/>
    <m/>
    <n v="2615"/>
    <s v=""/>
    <s v=""/>
    <x v="272"/>
    <n v="5856090000130"/>
    <s v=""/>
    <s v="José Luiz Gomes Junior"/>
    <s v=""/>
    <s v=""/>
    <s v="controladoria@bionov.com.br"/>
    <s v=""/>
    <s v=""/>
    <s v=""/>
    <s v=""/>
    <s v=""/>
    <s v=""/>
    <s v=""/>
    <s v=""/>
    <s v=""/>
    <s v="Pipeline de Vendas"/>
    <s v="Em negociação (75%)"/>
    <s v=""/>
    <m/>
    <m/>
    <m/>
    <n v="36"/>
    <s v="Paulo Souza"/>
    <d v="2025-09-30T00:00:00"/>
    <d v="1899-12-30T16:04:40"/>
    <s v=""/>
    <s v="Perdido"/>
    <d v="2025-11-05T00:00:00"/>
    <d v="1899-12-30T09:53:42"/>
    <s v="Preço muito alto - fora do budget de investimento"/>
    <s v=""/>
    <s v=""/>
    <x v="128"/>
    <s v="Paulo Souza"/>
    <x v="138"/>
    <s v=""/>
    <m/>
    <m/>
    <s v=""/>
    <s v=""/>
    <s v=""/>
    <s v=""/>
    <n v="1"/>
  </r>
  <r>
    <x v="1"/>
    <n v="621"/>
    <m/>
    <n v="2616"/>
    <s v=""/>
    <s v=""/>
    <x v="273"/>
    <m/>
    <s v=""/>
    <s v="Vitoria cortinas - Horas"/>
    <s v="35999594857"/>
    <s v=""/>
    <s v="financeiro@vitoriacortinas.com.br"/>
    <s v=""/>
    <s v=""/>
    <s v=""/>
    <s v=""/>
    <s v=""/>
    <s v=""/>
    <s v=""/>
    <s v=""/>
    <s v=""/>
    <s v="Pipeline de Vendas"/>
    <s v="Em Fechamento (100%)"/>
    <s v=""/>
    <m/>
    <n v="5406"/>
    <n v="0"/>
    <n v="0"/>
    <s v="Junior Lopes"/>
    <d v="2025-09-30T00:00:00"/>
    <d v="1899-12-30T16:31:01"/>
    <s v=""/>
    <s v="Ganho"/>
    <d v="2025-09-30T00:00:00"/>
    <d v="1899-12-30T16:32:13"/>
    <s v=""/>
    <s v=""/>
    <s v=""/>
    <x v="121"/>
    <s v=""/>
    <x v="0"/>
    <s v=""/>
    <m/>
    <m/>
    <s v=""/>
    <s v=""/>
    <s v=""/>
    <s v=""/>
    <n v="1"/>
  </r>
  <r>
    <x v="1"/>
    <n v="622"/>
    <m/>
    <n v="2617"/>
    <s v=""/>
    <s v=""/>
    <x v="274"/>
    <m/>
    <s v=""/>
    <s v="Casa Bonitta - Cloud"/>
    <s v="1142923358"/>
    <s v=""/>
    <s v="catocontabilidade@gmail.com"/>
    <s v=""/>
    <s v=""/>
    <s v=""/>
    <s v=""/>
    <s v=""/>
    <s v=""/>
    <s v=""/>
    <s v=""/>
    <s v=""/>
    <s v="Pipeline de Vendas"/>
    <s v="Apresentar Solução (35%)"/>
    <s v=""/>
    <m/>
    <n v="1600"/>
    <n v="2468"/>
    <n v="3"/>
    <s v="Junior Lopes"/>
    <d v="2025-09-30T00:00:00"/>
    <d v="1899-12-30T16:35:41"/>
    <s v=""/>
    <s v="Perdido"/>
    <d v="2025-10-03T00:00:00"/>
    <d v="1899-12-30T09:59:20"/>
    <s v="Não houve aprovação financeira"/>
    <s v="Após proposta cliente não respondeu mais"/>
    <s v=""/>
    <x v="114"/>
    <s v=""/>
    <x v="122"/>
    <s v=""/>
    <m/>
    <m/>
    <s v=""/>
    <s v=""/>
    <s v=""/>
    <s v=""/>
    <n v="1"/>
  </r>
  <r>
    <x v="1"/>
    <n v="623"/>
    <m/>
    <n v="2618"/>
    <s v=""/>
    <s v=""/>
    <x v="275"/>
    <m/>
    <s v=""/>
    <s v="Casa Bonitta - PDV"/>
    <s v="1142923358"/>
    <s v=""/>
    <s v="catocontabilidade@gmail.com"/>
    <s v=""/>
    <s v=""/>
    <s v=""/>
    <s v=""/>
    <s v=""/>
    <s v=""/>
    <s v=""/>
    <s v=""/>
    <s v=""/>
    <s v="Pipeline de Vendas"/>
    <s v="Apresentar Solução (35%)"/>
    <s v=""/>
    <m/>
    <n v="59360"/>
    <n v="27562"/>
    <n v="3"/>
    <s v="Junior Lopes"/>
    <d v="2025-09-30T00:00:00"/>
    <d v="1899-12-30T16:38:47"/>
    <s v=""/>
    <s v="Perdido"/>
    <d v="2025-10-03T00:00:00"/>
    <d v="1899-12-30T09:58:51"/>
    <s v="Não houve aprovação financeira"/>
    <s v="Após proposta cliente não respondeu mais"/>
    <s v=""/>
    <x v="114"/>
    <s v=""/>
    <x v="122"/>
    <s v=""/>
    <m/>
    <m/>
    <s v=""/>
    <s v=""/>
    <s v=""/>
    <s v=""/>
    <n v="1"/>
  </r>
  <r>
    <x v="0"/>
    <n v="624"/>
    <m/>
    <n v="2619"/>
    <s v=""/>
    <s v=""/>
    <x v="276"/>
    <m/>
    <s v=""/>
    <s v="Hussein"/>
    <s v="96170057610"/>
    <s v=""/>
    <s v="null"/>
    <s v=""/>
    <s v=""/>
    <s v=""/>
    <s v=""/>
    <s v=""/>
    <s v=""/>
    <s v=""/>
    <s v=""/>
    <s v=""/>
    <s v="Pipeline de Vendas"/>
    <s v="Em negociação (75%)"/>
    <s v=""/>
    <m/>
    <m/>
    <m/>
    <n v="36"/>
    <s v="Paulo Souza"/>
    <d v="2025-09-30T00:00:00"/>
    <d v="1899-12-30T17:35:39"/>
    <s v=""/>
    <s v="Perdido"/>
    <d v="2025-11-05T00:00:00"/>
    <d v="1899-12-30T09:51:43"/>
    <s v="Projeto adiado / sem prazo definido"/>
    <s v=""/>
    <s v=""/>
    <x v="128"/>
    <s v="Paulo Souza"/>
    <x v="138"/>
    <s v=""/>
    <m/>
    <m/>
    <s v=""/>
    <s v=""/>
    <s v=""/>
    <s v=""/>
    <n v="1"/>
  </r>
  <r>
    <x v="1"/>
    <n v="628"/>
    <m/>
    <n v="2622"/>
    <s v=""/>
    <s v=""/>
    <x v="277"/>
    <m/>
    <s v=""/>
    <s v="Leandro carlos gonçalves"/>
    <s v="(16) 99270-3152"/>
    <s v=""/>
    <s v="solpratae@gmail.com"/>
    <s v=""/>
    <s v=""/>
    <s v=""/>
    <s v="São Carlos"/>
    <s v=""/>
    <s v="Site"/>
    <s v=""/>
    <s v=""/>
    <s v="Solicita demo"/>
    <s v="Pipeline de Vendas"/>
    <s v="Qualificação de Vendas (SQL) (25%)"/>
    <s v=""/>
    <m/>
    <m/>
    <m/>
    <n v="4"/>
    <s v="Paulo Souza"/>
    <d v="2025-10-03T00:00:00"/>
    <d v="1899-12-30T11:10:44"/>
    <s v=""/>
    <s v="Perdido"/>
    <d v="2025-10-07T00:00:00"/>
    <d v="1899-12-30T09:34:17"/>
    <s v="Nossa solução não atende - falta funcionalidade"/>
    <s v="cliente fora do perfil"/>
    <s v=""/>
    <x v="0"/>
    <s v="Junior Lopes"/>
    <x v="0"/>
    <s v=""/>
    <m/>
    <m/>
    <s v=""/>
    <s v=""/>
    <s v=""/>
    <s v=""/>
    <n v="1"/>
  </r>
  <r>
    <x v="1"/>
    <n v="634"/>
    <m/>
    <n v="2631"/>
    <s v=""/>
    <s v="Artesanato Uni-art Industria E Comercio Ltda"/>
    <x v="278"/>
    <n v="43400571000126"/>
    <s v=""/>
    <s v="Artesanato Uni-art Industria E Comercio Ltda"/>
    <s v="(19) 3876-4260"/>
    <s v=""/>
    <s v="thiago@uniartrelogios.com.br"/>
    <s v=""/>
    <s v=""/>
    <s v=""/>
    <s v="VINHEDO"/>
    <s v="SP"/>
    <s v="Base de empresas Leads2b"/>
    <s v=""/>
    <s v=""/>
    <s v=""/>
    <s v="Pipeline de Vendas"/>
    <s v="Apresentar Proposta (50%)"/>
    <s v=""/>
    <m/>
    <n v="7021439"/>
    <n v="417338"/>
    <n v="20"/>
    <s v="Junior Lopes"/>
    <d v="2025-10-09T00:00:00"/>
    <d v="1899-12-30T15:47:08"/>
    <s v=""/>
    <s v="Perdido"/>
    <d v="2025-10-29T00:00:00"/>
    <d v="1899-12-30T10:23:53"/>
    <s v="Projeto adiado / sem prazo definido"/>
    <s v="sem retorno do cliente"/>
    <s v=""/>
    <x v="129"/>
    <s v=""/>
    <x v="139"/>
    <s v=""/>
    <m/>
    <m/>
    <s v=""/>
    <s v=""/>
    <s v=""/>
    <s v=""/>
    <n v="1"/>
  </r>
  <r>
    <x v="1"/>
    <n v="638"/>
    <m/>
    <n v="2640"/>
    <s v=""/>
    <s v=""/>
    <x v="279"/>
    <m/>
    <s v=""/>
    <s v="Star Distribuidora (WMS)"/>
    <s v="17996266970"/>
    <s v=""/>
    <s v="null"/>
    <s v=""/>
    <s v=""/>
    <s v=""/>
    <s v=""/>
    <s v=""/>
    <s v=""/>
    <s v=""/>
    <s v=""/>
    <s v=""/>
    <s v="Pipeline de Vendas"/>
    <s v="Em negociação (75%)"/>
    <s v=""/>
    <m/>
    <m/>
    <m/>
    <n v="62"/>
    <s v="Junior Lopes"/>
    <d v="2025-10-10T00:00:00"/>
    <d v="1899-12-30T15:25:31"/>
    <s v=""/>
    <s v="Perdido"/>
    <d v="2025-12-11T00:00:00"/>
    <d v="1899-12-30T15:22:39"/>
    <s v="Projeto adiado / sem prazo definido"/>
    <s v=""/>
    <s v=""/>
    <x v="0"/>
    <s v=""/>
    <x v="139"/>
    <s v=""/>
    <m/>
    <m/>
    <s v=""/>
    <s v=""/>
    <s v=""/>
    <s v=""/>
    <n v="1"/>
  </r>
  <r>
    <x v="0"/>
    <n v="639"/>
    <m/>
    <n v="2644"/>
    <s v=""/>
    <s v=""/>
    <x v="280"/>
    <m/>
    <s v=""/>
    <s v="Alexsandro"/>
    <s v="75988472625"/>
    <s v=""/>
    <s v="null"/>
    <s v=""/>
    <s v=""/>
    <s v=""/>
    <s v=""/>
    <s v=""/>
    <s v=""/>
    <s v=""/>
    <s v=""/>
    <s v=""/>
    <s v="Pipeline de Vendas"/>
    <s v="Em negociação (75%)"/>
    <s v=""/>
    <m/>
    <m/>
    <m/>
    <n v="33"/>
    <s v="Paulo Souza"/>
    <d v="2025-10-15T00:00:00"/>
    <d v="1899-12-30T17:33:19"/>
    <s v=""/>
    <s v="Perdido"/>
    <d v="2025-11-17T00:00:00"/>
    <d v="1899-12-30T15:27:20"/>
    <s v="Não houve aprovação financeira"/>
    <s v=""/>
    <s v=""/>
    <x v="130"/>
    <s v="Paulo Souza"/>
    <x v="140"/>
    <s v=""/>
    <m/>
    <m/>
    <s v=""/>
    <s v=""/>
    <s v=""/>
    <s v=""/>
    <n v="1"/>
  </r>
  <r>
    <x v="1"/>
    <n v="640"/>
    <m/>
    <n v="2646"/>
    <s v=""/>
    <s v=""/>
    <x v="281"/>
    <m/>
    <s v=""/>
    <s v="Preciza Import"/>
    <s v="11947600755"/>
    <s v=""/>
    <s v="financeiro@precizaimports.com.br"/>
    <s v=""/>
    <s v=""/>
    <s v=""/>
    <s v=""/>
    <s v=""/>
    <s v=""/>
    <s v=""/>
    <s v=""/>
    <s v=""/>
    <s v="Pipeline de Vendas"/>
    <s v="Em Fechamento (100%)"/>
    <s v=""/>
    <m/>
    <n v="1380825"/>
    <n v="0"/>
    <n v="0"/>
    <s v="Junior Lopes"/>
    <d v="2025-10-16T00:00:00"/>
    <d v="1899-12-30T14:48:50"/>
    <s v=""/>
    <s v="Ganho"/>
    <d v="2025-10-16T00:00:00"/>
    <d v="1899-12-30T14:51:47"/>
    <s v=""/>
    <s v=""/>
    <s v=""/>
    <x v="131"/>
    <s v=""/>
    <x v="0"/>
    <s v=""/>
    <m/>
    <m/>
    <s v=""/>
    <s v=""/>
    <s v=""/>
    <s v=""/>
    <n v="1"/>
  </r>
  <r>
    <x v="1"/>
    <n v="641"/>
    <m/>
    <n v="2647"/>
    <s v=""/>
    <s v=""/>
    <x v="282"/>
    <m/>
    <s v=""/>
    <s v="Artesanato Uni-art Ind.- Cloud"/>
    <s v="1938764260"/>
    <s v=""/>
    <s v="thiago@uniartrelogios.com.br"/>
    <s v=""/>
    <s v=""/>
    <s v=""/>
    <s v=""/>
    <s v=""/>
    <s v=""/>
    <s v=""/>
    <s v=""/>
    <s v=""/>
    <s v="Pipeline de Vendas"/>
    <s v="Apresentar Proposta (50%)"/>
    <s v=""/>
    <m/>
    <n v="1600"/>
    <n v="3695"/>
    <n v="13"/>
    <s v="Junior Lopes"/>
    <d v="2025-10-16T00:00:00"/>
    <d v="1899-12-30T16:42:09"/>
    <s v=""/>
    <s v="Perdido"/>
    <d v="2025-10-29T00:00:00"/>
    <d v="1899-12-30T10:25:19"/>
    <s v="Projeto adiado / sem prazo definido"/>
    <s v="cliente não atende aos contatos"/>
    <s v=""/>
    <x v="129"/>
    <s v=""/>
    <x v="139"/>
    <s v=""/>
    <m/>
    <m/>
    <s v=""/>
    <s v=""/>
    <s v=""/>
    <s v=""/>
    <n v="1"/>
  </r>
  <r>
    <x v="1"/>
    <n v="642"/>
    <m/>
    <n v="2648"/>
    <s v="11:51, 06/01/2026 Junior Lopes: lá Wilkerson, bom dia_x000a_11:51, 06/01/2026 Junior Lopes: Um Feliz 2026 para vc e toda equipe 🙏🙏_x000a_11:51, 06/01/2026 Junior Lopes: Me recebe aí para discutirmos sobre a proposta comercial?_x000a_15:32, 23/01/2026 Junior Lopes: Olá Wilkerson, boa tarde_x000a_13:34, 27/01/2026 Wilkerson Plasbrin: Ola_x000a_13:34, 27/01/2026 Wilkerson Plasbrin: Estou analisando a proposta sina_x000a_13:34, 27/01/2026 Wilkerson Plasbrin: Ainda_x000a_13:35, 27/01/2026 Wilkerson Plasbrin: Creio que em fevereiro te contato sobre uma negociação_x000a_13:36, 27/01/2026 Junior Lopes: Olá meu amigo! Ótimo _x000a_Veja o que precisa para fecharmos! Nossa solução vai ajudar muito em seus processos _x000a_Te aguardo 👊_x000a_14:25, 27/01/2026 Wilkerson Plasbrin: Pode deixar_x000a_14:25, 27/01/2026 Wilkerson Plasbrin: Vamos avaliar_x000a_08:53, 24/02/2026 Junior Lopes: Olá Wilkerson, bom dia , Td bem ?_x000a_08:54, 24/02/2026 Junior Lopes: Vamos agendar um bate papo para próxima semana ? _x000a_Se sim vou até você !"/>
    <s v=""/>
    <x v="283"/>
    <m/>
    <s v=""/>
    <s v="Plasbrink Embalagens Plasticas Ltda - Cloud"/>
    <s v="11997580006"/>
    <s v=""/>
    <s v="falgat@terra.com.br"/>
    <s v=""/>
    <s v=""/>
    <s v=""/>
    <s v=""/>
    <s v=""/>
    <s v=""/>
    <s v=""/>
    <s v=""/>
    <s v="50%"/>
    <s v="Pipeline de Vendas"/>
    <s v="Em negociação (75%)"/>
    <s v=""/>
    <d v="2026-03-31T00:00:00"/>
    <n v="1600"/>
    <n v="335607"/>
    <n v="215"/>
    <s v="Junior Lopes"/>
    <d v="2025-10-17T00:00:00"/>
    <d v="1899-12-30T09:45:53"/>
    <s v=""/>
    <s v="Ativo"/>
    <m/>
    <m/>
    <s v=""/>
    <s v=""/>
    <s v=""/>
    <x v="123"/>
    <s v="Junior Lopes"/>
    <x v="141"/>
    <s v=""/>
    <d v="2026-02-24T00:00:00"/>
    <n v="50"/>
    <s v=""/>
    <s v=""/>
    <s v=""/>
    <s v=""/>
    <n v="1"/>
  </r>
  <r>
    <x v="1"/>
    <n v="643"/>
    <m/>
    <n v="2649"/>
    <s v="O cliente está utilizando o módulo em período de degustação de 7 dias, com término em 16/12/2025. Após essa data, ele deverá decidir se seguirá com a contratação ou se irá declinar."/>
    <s v=""/>
    <x v="284"/>
    <n v="43028557000143"/>
    <s v=""/>
    <s v="Preciza Import - Boleto WhatsApp"/>
    <s v="11947600755"/>
    <s v=""/>
    <s v="financeiro@precizaimports.com.br"/>
    <s v=""/>
    <s v=""/>
    <s v=""/>
    <s v=""/>
    <s v=""/>
    <s v=""/>
    <s v=""/>
    <s v=""/>
    <s v="80%"/>
    <s v="Pipeline de Vendas"/>
    <s v="Em Fechamento (100%)"/>
    <s v=""/>
    <d v="2025-11-28T00:00:00"/>
    <n v="0"/>
    <n v="3564"/>
    <n v="129"/>
    <s v="Junior Lopes"/>
    <d v="2025-10-17T00:00:00"/>
    <d v="1899-12-30T09:48:43"/>
    <s v=""/>
    <s v="Perdido"/>
    <d v="2026-02-23T00:00:00"/>
    <d v="1899-12-30T10:22:57"/>
    <s v="Projeto adiado / sem prazo definido"/>
    <s v="cliente não assinou contrato"/>
    <s v=""/>
    <x v="132"/>
    <s v="Junior Lopes"/>
    <x v="142"/>
    <s v=""/>
    <d v="2025-12-12T00:00:00"/>
    <n v="80"/>
    <s v=""/>
    <s v=""/>
    <s v=""/>
    <s v=""/>
    <n v="1"/>
  </r>
  <r>
    <x v="1"/>
    <n v="644"/>
    <m/>
    <n v="2650"/>
    <s v="Após a apresentação de 10/12/2025, ficou definido que a equipe da Marka Têxtil se reunirá para decidir sobre a continuidade do projeto. Farei um follow-up em 15/12/2025 para obter a definição._x000a_16:22, 27/01/2026 Junior Lopes: Olá Regina ! Boa tarde_x000a_16:22, 27/01/2026 Regina Chagas: Boa tarde_x000a_16:27, 27/01/2026 Junior Lopes: Como está a evolução do projeto?_x000a_16:29, 27/01/2026 Junior Lopes: Sei que vcs estão em contato com outras ferramentas! E que está tudo bem _x000a_Porém fico preocupado com valor que já negociamos! A proposta é do ano passado ! Viramos a nossa tabela _x000a_Estou segurando os valores aqui ! Mas preciso de um feedback_x000a_16:49, 27/01/2026 Regina Chagas: Entendo, acredito que até sexta feira eu te dou um retorno final_x000a_(03/02/2026) em contato com a Bruna na feira Abup informou que decidiu seguir com ERP que apresentou uma proposta mais atrativa em questão de valores ! abaixo mensagem da Regina com mesmo contexto : _x000a_07:57, 09/02/2026 Regina Chagas: Bom dia Junior, desculpe a demora no retorno._x000a_Fechamos com outra empresa, em reunião foi decidido que seria mais vantajoso além do custo/beneficio._x000a_Muito obrigada pelo seu ótimo atendimento_x000a_08:59, 09/02/2026 Junior Lopes: Olá Regina bom dia ! Falei com a Bruna na feira _x000a_Desejo sucesso para vocês"/>
    <s v=""/>
    <x v="285"/>
    <n v="62499934000177"/>
    <s v=""/>
    <s v="Marka Textil"/>
    <s v="11975444564"/>
    <s v=""/>
    <s v="brunaantonelli@markatextil.com.br"/>
    <s v=""/>
    <s v=""/>
    <s v=""/>
    <s v="GUARAREMA"/>
    <s v="SP"/>
    <s v=""/>
    <s v=""/>
    <s v=""/>
    <s v="80%"/>
    <s v="Pipeline de Vendas"/>
    <s v="Em negociação (75%)"/>
    <s v=""/>
    <d v="2026-02-28T00:00:00"/>
    <n v="118908"/>
    <n v="1304844"/>
    <n v="117"/>
    <s v="Junior Lopes"/>
    <d v="2025-10-17T00:00:00"/>
    <d v="1899-12-30T10:09:46"/>
    <s v=""/>
    <s v="Perdido"/>
    <d v="2026-02-11T00:00:00"/>
    <d v="1899-12-30T17:32:54"/>
    <s v="Fechou com o concorrente - preço"/>
    <s v="fechou por preço"/>
    <s v=""/>
    <x v="133"/>
    <s v="Junior Lopes"/>
    <x v="142"/>
    <s v="05/11/2025"/>
    <d v="2026-02-03T00:00:00"/>
    <n v="80"/>
    <s v=""/>
    <s v=""/>
    <s v=""/>
    <s v=""/>
    <n v="1"/>
  </r>
  <r>
    <x v="1"/>
    <n v="645"/>
    <m/>
    <n v="2654"/>
    <s v="Após a apresentação de 10/12/2025, ficou definido que a equipe da Marka Têxtil se reunirá para decidir sobre a continuidade do projeto. Farei um follow-up em 15/12/2025 para obter a definição._x000a_16:22, 27/01/2026 Junior Lopes: Olá Regina ! Boa tarde_x000a_16:22, 27/01/2026 Regina Chagas: Boa tarde_x000a_16:27, 27/01/2026 Junior Lopes: Como está a evolução do projeto?_x000a_16:29, 27/01/2026 Junior Lopes: Sei que vcs estão em contato com outras ferramentas! E que está tudo bem _x000a_Porém fico preocupado com valor que já negociamos! A proposta é do ano passado ! Viramos a nossa tabela _x000a_Estou segurando os valores aqui ! Mas preciso de um feedback_x000a_16:49, 27/01/2026 Regina Chagas: Entendo, acredito que até sexta feira eu te dou um retorno final_x000a_(03/02/2026) em contato com a Bruna na feira Abup informou que decidiu seguir com ERP que apresentou uma proposta mais atrativa em questão de valores ! abaixo mensagem da Regina com mesmo contexto : _x000a_07:57, 09/02/2026 Regina Chagas: Bom dia Junior, desculpe a demora no retorno._x000a_Fechamos com outra empresa, em reunião foi decidido que seria mais vantajoso além do custo/beneficio._x000a_Muito obrigada pelo seu ótimo atendimento_x000a_08:59, 09/02/2026 Junior Lopes: Olá Regina bom dia ! Falei com a Bruna na feira _x000a_Desejo sucesso para vocês"/>
    <s v=""/>
    <x v="286"/>
    <n v="62499934000177"/>
    <s v=""/>
    <s v="Marka Textil - Cloud"/>
    <s v="11975444564"/>
    <s v=""/>
    <s v="brunaantonelli@markatextil.com.br"/>
    <s v=""/>
    <s v=""/>
    <s v=""/>
    <s v="GUARAREMA"/>
    <s v="SP"/>
    <s v=""/>
    <s v=""/>
    <s v=""/>
    <s v="80%"/>
    <s v="Pipeline de Vendas"/>
    <s v="Em negociação (75%)"/>
    <s v=""/>
    <d v="2026-02-28T00:00:00"/>
    <n v="1600"/>
    <n v="68466"/>
    <n v="117"/>
    <s v="Junior Lopes"/>
    <d v="2025-10-17T00:00:00"/>
    <d v="1899-12-30T10:12:49"/>
    <s v=""/>
    <s v="Perdido"/>
    <d v="2026-02-11T00:00:00"/>
    <d v="1899-12-30T17:34:29"/>
    <s v="Fechou com o concorrente - preço"/>
    <s v="fechou por preço"/>
    <s v=""/>
    <x v="134"/>
    <s v="Junior Lopes"/>
    <x v="143"/>
    <s v=""/>
    <d v="2026-02-03T00:00:00"/>
    <n v="80"/>
    <s v=""/>
    <s v=""/>
    <s v=""/>
    <s v=""/>
    <n v="1"/>
  </r>
  <r>
    <x v="1"/>
    <n v="656"/>
    <m/>
    <n v="2261"/>
    <s v=""/>
    <s v="Imprime Industria E Comercio De Plasticos Ltda"/>
    <x v="287"/>
    <n v="37905383000157"/>
    <s v=""/>
    <s v="Imprime Industria E Comercio De Plasticos Ltda"/>
    <s v="(11) 4552-8400"/>
    <s v=""/>
    <s v="sac@ascampoli.com.br"/>
    <s v=""/>
    <s v=""/>
    <s v=""/>
    <s v="SAO PAULO"/>
    <s v="SP"/>
    <s v="Base de empresas Leads2b"/>
    <s v=""/>
    <s v=""/>
    <s v=""/>
    <s v="Pipeline de Vendas"/>
    <s v="Apresentar Solução (35%)"/>
    <s v=""/>
    <m/>
    <m/>
    <m/>
    <n v="34"/>
    <s v="Junior Lopes"/>
    <d v="2025-10-22T00:00:00"/>
    <d v="1899-12-30T17:04:38"/>
    <s v=""/>
    <s v="Perdido"/>
    <d v="2025-11-25T00:00:00"/>
    <d v="1899-12-30T16:56:11"/>
    <s v="Não quer mudar a solução atual"/>
    <s v=""/>
    <s v=""/>
    <x v="0"/>
    <s v=""/>
    <x v="0"/>
    <s v=""/>
    <m/>
    <m/>
    <s v=""/>
    <s v=""/>
    <s v=""/>
    <s v=""/>
    <n v="1"/>
  </r>
  <r>
    <x v="1"/>
    <n v="657"/>
    <m/>
    <n v="2659"/>
    <s v=""/>
    <s v=""/>
    <x v="288"/>
    <m/>
    <s v=""/>
    <s v="Jones da Costa Grance"/>
    <s v="(67) 99147-9660"/>
    <s v=""/>
    <s v="distribuidoraprime067@gmail.com"/>
    <s v=""/>
    <s v=""/>
    <s v=""/>
    <s v="Campo Grande"/>
    <s v=""/>
    <s v="Site"/>
    <s v=""/>
    <s v=""/>
    <s v="Solicita demo"/>
    <s v="Pipeline de Vendas"/>
    <s v="Apresentar Solução (35%)"/>
    <s v=""/>
    <m/>
    <n v="38380"/>
    <n v="107526"/>
    <n v="32"/>
    <s v="Paulo Souza"/>
    <d v="2025-10-23T00:00:00"/>
    <d v="1899-12-30T15:08:08"/>
    <s v=""/>
    <s v="Perdido"/>
    <d v="2025-11-24T00:00:00"/>
    <d v="1899-12-30T16:49:44"/>
    <s v="Preço muito alto - fora do budget de investimento"/>
    <s v="cliente não esta no tempo certo, achou investimento muito alto"/>
    <s v=""/>
    <x v="123"/>
    <s v="Junior Lopes"/>
    <x v="144"/>
    <s v=""/>
    <m/>
    <m/>
    <s v=""/>
    <s v=""/>
    <s v=""/>
    <s v=""/>
    <n v="1"/>
  </r>
  <r>
    <x v="1"/>
    <n v="659"/>
    <m/>
    <n v="2680"/>
    <s v=""/>
    <s v=""/>
    <x v="289"/>
    <m/>
    <s v=""/>
    <s v="Karam kaiss"/>
    <s v="(11) 98348-6116"/>
    <s v=""/>
    <s v="mbcontatokaram@gmail.com"/>
    <s v=""/>
    <s v=""/>
    <s v=""/>
    <s v="São Paulo"/>
    <s v=""/>
    <s v="Site"/>
    <s v=""/>
    <s v=""/>
    <s v="Solicita demo"/>
    <s v="Pipeline de Vendas"/>
    <s v="Qualificação de Vendas (SQL) (25%)"/>
    <s v=""/>
    <m/>
    <m/>
    <m/>
    <n v="9"/>
    <s v="Paulo Souza"/>
    <d v="2025-10-27T00:00:00"/>
    <d v="1899-12-30T15:37:34"/>
    <s v=""/>
    <s v="Perdido"/>
    <d v="2025-11-05T00:00:00"/>
    <d v="1899-12-30T09:12:53"/>
    <s v="Nossa solução não atende - falta funcionalidade"/>
    <s v="cliente busca apenas módulo de compras"/>
    <s v=""/>
    <x v="0"/>
    <s v="Junior Lopes"/>
    <x v="0"/>
    <s v=""/>
    <m/>
    <m/>
    <s v=""/>
    <s v=""/>
    <s v=""/>
    <s v=""/>
    <n v="1"/>
  </r>
  <r>
    <x v="1"/>
    <n v="662"/>
    <m/>
    <n v="2684"/>
    <s v="(16/01/2026) Bruno decidiu por não fazer o investimento nesse momento ! esta estruturando a equipe de vendas"/>
    <s v="Sevilha Comercio Internacional Ltda"/>
    <x v="290"/>
    <n v="44628219000105"/>
    <s v=""/>
    <s v="Sevilha Comercio Internacional Ltda"/>
    <s v="(11) 4115-0797"/>
    <s v=""/>
    <s v="diego@gruposevilha.com"/>
    <s v=""/>
    <s v=""/>
    <s v=""/>
    <s v="NAVEGANTES"/>
    <s v="SC"/>
    <s v="Base de empresas Leads2b"/>
    <s v=""/>
    <s v=""/>
    <s v="30%"/>
    <s v="Pipeline de Vendas"/>
    <s v="Em negociação (75%)"/>
    <s v=""/>
    <d v="2026-01-30T00:00:00"/>
    <n v="38380"/>
    <n v="107526"/>
    <n v="80"/>
    <s v="Junior Lopes"/>
    <d v="2025-10-28T00:00:00"/>
    <d v="1899-12-30T10:15:43"/>
    <s v=""/>
    <s v="Perdido"/>
    <d v="2026-01-16T00:00:00"/>
    <d v="1899-12-30T15:59:13"/>
    <s v="Não houve aprovação financeira"/>
    <s v="(16/01/2026) Bruno decidiu por não fazer o investimento nesse momento ! esta estruturando a equipe de vendas"/>
    <s v=""/>
    <x v="135"/>
    <s v=""/>
    <x v="145"/>
    <s v=""/>
    <d v="2026-01-16T00:00:00"/>
    <m/>
    <s v=""/>
    <s v=""/>
    <s v=""/>
    <s v=""/>
    <n v="1"/>
  </r>
  <r>
    <x v="1"/>
    <n v="665"/>
    <m/>
    <n v="2692"/>
    <s v="(16/01/2026) Bruno decidiu por não fazer o investimento nesse momento ! esta estruturando a equipe de vendas"/>
    <s v=""/>
    <x v="291"/>
    <m/>
    <s v=""/>
    <s v="Sevilha Trade - Cloud"/>
    <s v="1141150797"/>
    <s v=""/>
    <s v="diego@gruposevilha.com"/>
    <s v=""/>
    <s v=""/>
    <s v=""/>
    <s v=""/>
    <s v=""/>
    <s v=""/>
    <s v=""/>
    <s v=""/>
    <s v="30%"/>
    <s v="Pipeline de Vendas"/>
    <s v="Em negociação (75%)"/>
    <s v=""/>
    <d v="2026-01-30T00:00:00"/>
    <n v="1600"/>
    <n v="2174"/>
    <n v="79"/>
    <s v="Junior Lopes"/>
    <d v="2025-10-29T00:00:00"/>
    <d v="1899-12-30T17:01:18"/>
    <s v=""/>
    <s v="Perdido"/>
    <d v="2026-01-16T00:00:00"/>
    <d v="1899-12-30T16:00:32"/>
    <s v="Não houve aprovação financeira"/>
    <s v="(16/01/2026) Bruno decidiu por não fazer o investimento nesse momento ! esta estruturando a equipe de vendas"/>
    <s v=""/>
    <x v="135"/>
    <s v=""/>
    <x v="145"/>
    <s v=""/>
    <d v="2026-01-16T00:00:00"/>
    <m/>
    <s v=""/>
    <s v=""/>
    <s v=""/>
    <s v=""/>
    <n v="1"/>
  </r>
  <r>
    <x v="1"/>
    <n v="667"/>
    <m/>
    <n v="2698"/>
    <s v=""/>
    <s v=""/>
    <x v="292"/>
    <m/>
    <s v=""/>
    <s v="Distribuidora Prime - Cloud"/>
    <s v="67991479660"/>
    <s v=""/>
    <s v="distribuidoraprime067@gmail.com"/>
    <s v=""/>
    <s v=""/>
    <s v=""/>
    <s v=""/>
    <s v=""/>
    <s v=""/>
    <s v=""/>
    <s v=""/>
    <s v=""/>
    <s v="Pipeline de Vendas"/>
    <s v="Apresentar Solução (35%)"/>
    <s v=""/>
    <m/>
    <n v="1600"/>
    <n v="21746"/>
    <n v="25"/>
    <s v="Junior Lopes"/>
    <d v="2025-10-30T00:00:00"/>
    <d v="1899-12-30T10:55:07"/>
    <s v=""/>
    <s v="Perdido"/>
    <d v="2025-11-24T00:00:00"/>
    <d v="1899-12-30T16:50:34"/>
    <s v="Preço muito alto - fora do budget de investimento"/>
    <s v="cliente não esta no tempo certo, achou investimento muito alto"/>
    <s v=""/>
    <x v="123"/>
    <s v=""/>
    <x v="144"/>
    <s v=""/>
    <m/>
    <m/>
    <s v=""/>
    <s v=""/>
    <s v=""/>
    <s v=""/>
    <n v="1"/>
  </r>
  <r>
    <x v="1"/>
    <n v="669"/>
    <m/>
    <n v="2718"/>
    <s v=""/>
    <s v=""/>
    <x v="293"/>
    <m/>
    <s v=""/>
    <s v="Tritec - Proposta Web"/>
    <s v="4791025652"/>
    <s v=""/>
    <s v="null"/>
    <s v=""/>
    <s v=""/>
    <s v=""/>
    <s v=""/>
    <s v=""/>
    <s v=""/>
    <s v=""/>
    <s v=""/>
    <s v=""/>
    <s v="Pipeline de Vendas"/>
    <s v="Apresentar Proposta (50%)"/>
    <s v=""/>
    <m/>
    <n v="0"/>
    <n v="2185"/>
    <n v="26"/>
    <s v="Junior Lopes"/>
    <d v="2025-10-31T00:00:00"/>
    <d v="1899-12-30T11:46:34"/>
    <s v=""/>
    <s v="Perdido"/>
    <d v="2025-11-26T00:00:00"/>
    <d v="1899-12-30T14:03:26"/>
    <s v="Projeto adiado / sem prazo definido"/>
    <s v="por enquanto nao vai adicionar proposta web"/>
    <s v=""/>
    <x v="133"/>
    <s v=""/>
    <x v="146"/>
    <s v=""/>
    <m/>
    <m/>
    <s v=""/>
    <s v=""/>
    <s v=""/>
    <s v=""/>
    <n v="1"/>
  </r>
  <r>
    <x v="2"/>
    <n v="672"/>
    <m/>
    <n v="2729"/>
    <s v="Realizei hoje, 12/12/2025, a apresentação do AFV para os gerentes comerciais e atualizei a proposta com os valores de licença do APP. O próximo passo será negociar a proposta, o que deve ocorrer somente na primeira quinzena de janeiro._x000a_05.02 Iniciaram a importação agora,previsão permace para março_x000a_18.03 tinham previsão para iniciar as importações, mas ainda não deu certo, retomar o contato daqui 3 meses"/>
    <s v=""/>
    <x v="294"/>
    <m/>
    <s v=""/>
    <s v="Lucas Pivetta"/>
    <s v="15996012600"/>
    <s v=""/>
    <s v="null"/>
    <s v=""/>
    <s v=""/>
    <s v=""/>
    <s v=""/>
    <s v=""/>
    <s v="Indicação"/>
    <s v=""/>
    <s v=""/>
    <s v="50%"/>
    <s v="Pipeline de Vendas"/>
    <s v="Em negociação (75%)"/>
    <s v=""/>
    <d v="2026-06-30T00:00:00"/>
    <n v="46200"/>
    <n v="146047"/>
    <n v="191"/>
    <s v="Rayssa Karapeticov"/>
    <d v="2025-11-03T00:00:00"/>
    <d v="1899-12-30T15:43:05"/>
    <s v=""/>
    <s v="Perdido"/>
    <d v="2026-05-13T00:00:00"/>
    <d v="1899-12-30T09:39:49"/>
    <s v="Projeto adiado / sem prazo definido"/>
    <s v=""/>
    <s v=""/>
    <x v="136"/>
    <s v="Rayssa Karapeticov"/>
    <x v="147"/>
    <s v="12/12/2025"/>
    <d v="2026-03-16T00:00:00"/>
    <n v="50"/>
    <s v=""/>
    <s v=""/>
    <s v=""/>
    <s v=""/>
    <n v="1"/>
  </r>
  <r>
    <x v="0"/>
    <n v="673"/>
    <m/>
    <n v="2730"/>
    <s v="Feito vários contatos com o cliente sem sucesso. _x000a_12/01/2026_x000a_23-01 Fiz Fups com o Jairo hoje para saber se ele vai seguir ou não com o projeto. Caso não me responda vou encerrar a oportunidade , prazo 31/01._x000a_06/02 Fiz FUP com  o Jairo e por falta de interesse estou declinando a proposta._x000a_07/02 Jairo me respondeu e avisou que vai implantar o Totvs lá. E futuramente retorna a falar comigo sobre Força de Venda."/>
    <s v=""/>
    <x v="295"/>
    <n v="22949063000121"/>
    <s v=""/>
    <s v="MEDIHOSP"/>
    <s v="(11) 2506-6323/ (11) 2506-6589"/>
    <s v=""/>
    <s v="medihosp@medihosp.com.br"/>
    <s v=""/>
    <s v=""/>
    <s v=""/>
    <s v="SAO PAULO"/>
    <s v="SP"/>
    <s v="Outbound"/>
    <s v=""/>
    <s v=""/>
    <s v="30%"/>
    <s v="Pipeline de Vendas"/>
    <s v="Em negociação (75%)"/>
    <s v=""/>
    <d v="2026-01-31T00:00:00"/>
    <n v="20000"/>
    <n v="5880"/>
    <n v="94"/>
    <s v="Paulo Souza"/>
    <d v="2025-11-05T00:00:00"/>
    <d v="1899-12-30T10:49:02"/>
    <s v=""/>
    <s v="Perdido"/>
    <d v="2026-02-07T00:00:00"/>
    <d v="1899-12-30T08:42:30"/>
    <s v="Fechou com o concorrente - preço"/>
    <s v="07/02 Jairo me respondeu e avisou que vai implantar o Totvs lá. E futuramente retorna a falar comigo sobre Força de Venda."/>
    <s v=""/>
    <x v="137"/>
    <s v="Paulo Souza"/>
    <x v="148"/>
    <s v=""/>
    <d v="2026-01-23T00:00:00"/>
    <n v="30"/>
    <s v=""/>
    <s v=""/>
    <s v=""/>
    <s v=""/>
    <n v="1"/>
  </r>
  <r>
    <x v="1"/>
    <n v="674"/>
    <m/>
    <n v="2733"/>
    <s v=""/>
    <s v="Salopet Embalagens Plasticas Ltda"/>
    <x v="296"/>
    <n v="4911908000370"/>
    <s v=""/>
    <s v="Salopet Embalagens Plasticas Ltda"/>
    <s v="(11) 2575-1800"/>
    <s v=""/>
    <s v="paralegal10@mgcontecnica.com.br"/>
    <s v=""/>
    <s v=""/>
    <s v=""/>
    <s v="EMBU DAS ARTES"/>
    <s v="SP"/>
    <s v="Base de empresas Leads2b"/>
    <s v=""/>
    <s v=""/>
    <s v=""/>
    <s v="Pipeline de Vendas"/>
    <s v="Apresentar Proposta (50%)"/>
    <s v=""/>
    <m/>
    <n v="81786"/>
    <n v="914979"/>
    <n v="21"/>
    <s v="Junior Lopes"/>
    <d v="2025-11-05T00:00:00"/>
    <d v="1899-12-30T15:31:21"/>
    <s v=""/>
    <s v="Perdido"/>
    <d v="2025-11-26T00:00:00"/>
    <d v="1899-12-30T12:30:08"/>
    <s v="Não quer mudar a solução atual"/>
    <s v="estou descartando por falta de atividades do André, já agendou varias vezes e não aparece nas reuniões _x000a_Fala chefe, boa tarde _x000a_Está uma loucura esse final de ano_x000a_Mais vamos lá_x000a_Hoje uso o sistema Areco ele é gigante e tem tudo o que precisamos mais está em falta com o suporte e o preço está ficando alto_x000a_Vou tentar finalizar algumas coisa e na sexta-feira na parte da manhã estarei mais tranquilo ai chamo pra que possamos conversar"/>
    <s v=""/>
    <x v="134"/>
    <s v=""/>
    <x v="149"/>
    <s v=""/>
    <m/>
    <m/>
    <s v=""/>
    <s v=""/>
    <s v=""/>
    <s v=""/>
    <n v="1"/>
  </r>
  <r>
    <x v="1"/>
    <n v="680"/>
    <m/>
    <n v="2755"/>
    <s v=""/>
    <s v=""/>
    <x v="297"/>
    <m/>
    <s v=""/>
    <s v="Tecelegam Castilho - MDFe"/>
    <s v="62993609476"/>
    <s v=""/>
    <s v="dayane.tecelagemcastilho@gmail.com"/>
    <s v=""/>
    <s v=""/>
    <s v=""/>
    <s v=""/>
    <s v=""/>
    <s v=""/>
    <s v=""/>
    <s v=""/>
    <s v=""/>
    <s v="Pipeline de Vendas"/>
    <s v="Em Fechamento (100%)"/>
    <s v=""/>
    <m/>
    <n v="0"/>
    <n v="3564"/>
    <n v="13"/>
    <s v="Junior Lopes"/>
    <d v="2025-11-12T00:00:00"/>
    <d v="1899-12-30T10:20:21"/>
    <s v=""/>
    <s v="Ganho"/>
    <d v="2025-11-25T00:00:00"/>
    <d v="1899-12-30T15:23:44"/>
    <s v=""/>
    <s v=""/>
    <s v=""/>
    <x v="138"/>
    <s v=""/>
    <x v="149"/>
    <s v=""/>
    <m/>
    <m/>
    <s v=""/>
    <s v=""/>
    <s v=""/>
    <s v=""/>
    <n v="1"/>
  </r>
  <r>
    <x v="1"/>
    <n v="681"/>
    <m/>
    <n v="2756"/>
    <s v="O projeto já está fechado e o contrato está com o cliente aguardando assinatura. O follow-up está sendo feito diariamente e a previsão de fechamento é até 19/12/2025."/>
    <s v=""/>
    <x v="298"/>
    <n v="43252675000130"/>
    <s v=""/>
    <s v="Atacadão MOntebello"/>
    <s v="(19) 3377-2746 / (19) 3426-1450"/>
    <s v=""/>
    <s v="administracao@atacadaoamontebello.com.br"/>
    <s v=""/>
    <s v=""/>
    <s v=""/>
    <s v="PIRACICABA"/>
    <s v="SP"/>
    <s v=""/>
    <s v=""/>
    <s v=""/>
    <s v="80%"/>
    <s v="Pipeline de Vendas"/>
    <s v="Em Fechamento (100%)"/>
    <s v=""/>
    <d v="2025-12-31T00:00:00"/>
    <n v="22000"/>
    <n v="1800"/>
    <n v="54"/>
    <s v="Junior Lopes"/>
    <d v="2025-11-12T00:00:00"/>
    <d v="1899-12-30T14:32:23"/>
    <s v=""/>
    <s v="Ganho"/>
    <d v="2026-01-05T00:00:00"/>
    <d v="1899-12-30T14:51:32"/>
    <s v=""/>
    <s v=""/>
    <s v=""/>
    <x v="138"/>
    <s v="Junior Lopes"/>
    <x v="149"/>
    <s v="28/11/2025"/>
    <d v="2025-12-12T00:00:00"/>
    <m/>
    <s v=""/>
    <s v=""/>
    <s v=""/>
    <s v=""/>
    <n v="1"/>
  </r>
  <r>
    <x v="1"/>
    <n v="684"/>
    <m/>
    <n v="2760"/>
    <s v=""/>
    <s v=""/>
    <x v="299"/>
    <m/>
    <s v=""/>
    <s v="NewBaby - ERP"/>
    <s v="11979734057"/>
    <s v=""/>
    <s v="dani@3lrepresentacoes.com.br"/>
    <s v=""/>
    <s v=""/>
    <s v=""/>
    <s v=""/>
    <s v=""/>
    <s v=""/>
    <s v=""/>
    <s v=""/>
    <s v="30%"/>
    <s v="Pipeline de Vendas"/>
    <s v="Apresentar Proposta (50%)"/>
    <s v=""/>
    <m/>
    <n v="106400"/>
    <n v="1419164"/>
    <n v="13"/>
    <s v="Junior Lopes"/>
    <d v="2025-11-13T00:00:00"/>
    <d v="1899-12-30T12:09:17"/>
    <s v=""/>
    <s v="Perdido"/>
    <d v="2025-11-26T00:00:00"/>
    <d v="1899-12-30T12:48:22"/>
    <s v="Projeto adiado / sem prazo definido"/>
    <s v="Em contato com Dani ! _x000a_eles só queriam a priori uma estimativa de investimento nas soluções Guarani ! a ideia é aos poucos convencer a Giselia na troca do sistema"/>
    <s v=""/>
    <x v="139"/>
    <s v=""/>
    <x v="150"/>
    <s v=""/>
    <m/>
    <m/>
    <s v=""/>
    <s v=""/>
    <s v=""/>
    <s v=""/>
    <n v="1"/>
  </r>
  <r>
    <x v="2"/>
    <n v="685"/>
    <m/>
    <n v="2761"/>
    <s v=""/>
    <s v="Kitay Industria E Comercio De Alimentos Ltda"/>
    <x v="300"/>
    <n v="42517186000109"/>
    <s v=""/>
    <s v="Kitay Industria E Comercio De Alimentos Ltda"/>
    <s v="(11) 4018-3764"/>
    <s v=""/>
    <s v="claudiorcsalles@gmail.com"/>
    <s v=""/>
    <s v=""/>
    <s v=""/>
    <s v="VARGEM GRANDE PAULISTA"/>
    <s v="SP"/>
    <s v="Base de empresas Leads2b"/>
    <s v=""/>
    <s v=""/>
    <s v=""/>
    <s v="Pipeline de Vendas"/>
    <s v="Agendamento (0%)"/>
    <s v=""/>
    <m/>
    <m/>
    <m/>
    <n v="0"/>
    <s v="Rayssa Karapeticov"/>
    <d v="2025-11-13T00:00:00"/>
    <d v="1899-12-30T16:09:55"/>
    <s v=""/>
    <s v="Perdido"/>
    <d v="2025-11-13T00:00:00"/>
    <d v="1899-12-30T16:12:25"/>
    <s v="Preço muito alto - fora do budget de investimento"/>
    <s v=""/>
    <s v=""/>
    <x v="0"/>
    <s v="Rayssa Karapeticov"/>
    <x v="0"/>
    <s v=""/>
    <m/>
    <m/>
    <s v=""/>
    <s v=""/>
    <s v=""/>
    <s v=""/>
    <n v="1"/>
  </r>
  <r>
    <x v="1"/>
    <n v="690"/>
    <m/>
    <n v="2872"/>
    <s v=""/>
    <s v=""/>
    <x v="301"/>
    <m/>
    <s v=""/>
    <s v="MDL - WMS"/>
    <s v="11910695515"/>
    <s v=""/>
    <s v="null"/>
    <s v=""/>
    <s v=""/>
    <s v=""/>
    <s v=""/>
    <s v=""/>
    <s v=""/>
    <s v=""/>
    <s v=""/>
    <s v="90%"/>
    <s v="Pipeline de Vendas"/>
    <s v="Em Fechamento (100%)"/>
    <s v=""/>
    <d v="2025-11-26T00:00:00"/>
    <n v="0"/>
    <n v="114048"/>
    <n v="16"/>
    <s v="Junior Lopes"/>
    <d v="2025-11-24T00:00:00"/>
    <d v="1899-12-30T16:53:16"/>
    <s v=""/>
    <s v="Ganho"/>
    <d v="2025-12-10T00:00:00"/>
    <d v="1899-12-30T10:14:04"/>
    <s v=""/>
    <s v=""/>
    <s v=""/>
    <x v="140"/>
    <s v=""/>
    <x v="151"/>
    <s v=""/>
    <m/>
    <m/>
    <s v=""/>
    <s v=""/>
    <s v=""/>
    <s v=""/>
    <n v="1"/>
  </r>
  <r>
    <x v="1"/>
    <n v="692"/>
    <m/>
    <n v="2880"/>
    <s v=""/>
    <s v=""/>
    <x v="302"/>
    <m/>
    <s v=""/>
    <s v="NewBaby - Cloud"/>
    <s v="11979734057"/>
    <s v=""/>
    <s v="dani@3lrepresentacoes.com.br"/>
    <s v=""/>
    <s v=""/>
    <s v=""/>
    <s v=""/>
    <s v=""/>
    <s v=""/>
    <s v=""/>
    <s v=""/>
    <s v="30%"/>
    <s v="Pipeline de Vendas"/>
    <s v="Apresentar Proposta (50%)"/>
    <s v=""/>
    <m/>
    <n v="1600"/>
    <n v="860304"/>
    <n v="1"/>
    <s v="Junior Lopes"/>
    <d v="2025-11-25T00:00:00"/>
    <d v="1899-12-30T15:03:40"/>
    <s v=""/>
    <s v="Perdido"/>
    <d v="2025-11-26T00:00:00"/>
    <d v="1899-12-30T12:49:30"/>
    <s v="Projeto adiado / sem prazo definido"/>
    <s v="Em contato com Dani ! _x000a_eles só queriam a priori uma estimativa de investimento nas soluções Guarani ! a ideia é aos poucos convencer a Giselia na troca do sistema"/>
    <s v=""/>
    <x v="139"/>
    <s v=""/>
    <x v="150"/>
    <s v=""/>
    <m/>
    <m/>
    <s v=""/>
    <s v=""/>
    <s v=""/>
    <s v=""/>
    <n v="1"/>
  </r>
  <r>
    <x v="1"/>
    <n v="693"/>
    <m/>
    <n v="2881"/>
    <s v=""/>
    <s v=""/>
    <x v="303"/>
    <m/>
    <s v=""/>
    <s v="Baag - Incl.CNPJ"/>
    <s v="7530217768"/>
    <s v=""/>
    <s v="null"/>
    <s v=""/>
    <s v=""/>
    <s v=""/>
    <s v=""/>
    <s v=""/>
    <s v=""/>
    <s v=""/>
    <s v=""/>
    <s v=""/>
    <s v="Pipeline de Vendas"/>
    <s v="Agendamento (0%)"/>
    <s v=""/>
    <m/>
    <n v="330714"/>
    <n v="0"/>
    <n v="0"/>
    <s v="Junior Lopes"/>
    <d v="2025-11-25T00:00:00"/>
    <d v="1899-12-30T15:44:44"/>
    <s v=""/>
    <s v="Ganho"/>
    <d v="2025-11-25T00:00:00"/>
    <d v="1899-12-30T15:47:26"/>
    <s v=""/>
    <s v=""/>
    <s v=""/>
    <x v="141"/>
    <s v=""/>
    <x v="152"/>
    <s v=""/>
    <m/>
    <m/>
    <s v=""/>
    <s v=""/>
    <s v=""/>
    <s v=""/>
    <n v="1"/>
  </r>
  <r>
    <x v="1"/>
    <n v="694"/>
    <m/>
    <n v="2882"/>
    <s v=""/>
    <s v=""/>
    <x v="304"/>
    <m/>
    <s v=""/>
    <s v="E.S Maia"/>
    <s v="11969325678"/>
    <s v=""/>
    <s v="null"/>
    <s v=""/>
    <s v=""/>
    <s v=""/>
    <s v=""/>
    <s v=""/>
    <s v=""/>
    <s v=""/>
    <s v=""/>
    <s v="30%"/>
    <s v="Pipeline de Vendas"/>
    <s v="Apresentar Proposta (50%)"/>
    <s v=""/>
    <d v="2026-01-01T00:00:00"/>
    <n v="16960"/>
    <n v="450"/>
    <n v="15"/>
    <s v="Junior Lopes"/>
    <d v="2025-11-25T00:00:00"/>
    <d v="1899-12-30T15:59:24"/>
    <s v=""/>
    <s v="Perdido"/>
    <d v="2025-12-10T00:00:00"/>
    <d v="1899-12-30T09:26:00"/>
    <s v="Projeto adiado / sem prazo definido"/>
    <s v="nao esta no momento certo"/>
    <s v=""/>
    <x v="134"/>
    <s v=""/>
    <x v="143"/>
    <s v=""/>
    <m/>
    <m/>
    <s v=""/>
    <s v=""/>
    <s v=""/>
    <s v=""/>
    <n v="1"/>
  </r>
  <r>
    <x v="1"/>
    <n v="695"/>
    <m/>
    <n v="2883"/>
    <s v=""/>
    <s v=""/>
    <x v="305"/>
    <n v="57524096000104"/>
    <s v=""/>
    <s v="Phabllo Parambu Atacado - ERP"/>
    <s v="88996365702"/>
    <s v=""/>
    <s v="phabllo2022@gmail.com"/>
    <s v=""/>
    <s v=""/>
    <s v=""/>
    <s v="COCAL"/>
    <s v="PI"/>
    <s v=""/>
    <s v=""/>
    <s v=""/>
    <s v="30%"/>
    <s v="Pipeline de Vendas"/>
    <s v="Apresentar Solução (35%)"/>
    <s v=""/>
    <m/>
    <m/>
    <m/>
    <n v="8"/>
    <s v="Junior Lopes"/>
    <d v="2025-11-25T00:00:00"/>
    <d v="1899-12-30T16:25:17"/>
    <s v=""/>
    <s v="Perdido"/>
    <d v="2025-12-03T00:00:00"/>
    <d v="1899-12-30T15:53:51"/>
    <s v="Projeto adiado / sem prazo definido"/>
    <s v="Cliente não tem tempo para fazermos apresentação"/>
    <s v=""/>
    <x v="142"/>
    <s v=""/>
    <x v="153"/>
    <s v=""/>
    <m/>
    <m/>
    <s v=""/>
    <s v=""/>
    <s v=""/>
    <s v=""/>
    <n v="1"/>
  </r>
  <r>
    <x v="1"/>
    <n v="696"/>
    <m/>
    <n v="2885"/>
    <s v=""/>
    <s v=""/>
    <x v="306"/>
    <n v="57524096000104"/>
    <s v=""/>
    <s v="Phabllo Parambu Atacado - Cloud"/>
    <s v="88996365702"/>
    <s v=""/>
    <s v="phabllo2022@gmail.com"/>
    <s v=""/>
    <s v=""/>
    <s v=""/>
    <s v=""/>
    <s v=""/>
    <s v=""/>
    <s v=""/>
    <s v=""/>
    <s v="30%"/>
    <s v="Pipeline de Vendas"/>
    <s v="Apresentar Solução (35%)"/>
    <s v=""/>
    <m/>
    <m/>
    <m/>
    <n v="8"/>
    <s v="Junior Lopes"/>
    <d v="2025-11-25T00:00:00"/>
    <d v="1899-12-30T16:48:26"/>
    <s v=""/>
    <s v="Perdido"/>
    <d v="2025-12-03T00:00:00"/>
    <d v="1899-12-30T15:53:19"/>
    <s v="Projeto adiado / sem prazo definido"/>
    <s v="Cliente não tem tempo para fazermos apresentação"/>
    <s v=""/>
    <x v="142"/>
    <s v=""/>
    <x v="153"/>
    <s v=""/>
    <m/>
    <m/>
    <s v=""/>
    <s v=""/>
    <s v=""/>
    <s v=""/>
    <n v="1"/>
  </r>
  <r>
    <x v="1"/>
    <n v="697"/>
    <m/>
    <n v="2887"/>
    <s v=""/>
    <s v=""/>
    <x v="307"/>
    <m/>
    <s v=""/>
    <s v="Salopet Embalagens Plasticas - Cloud"/>
    <s v="1125751800"/>
    <s v=""/>
    <s v="paralegal10@mgcontecnica.com.br"/>
    <s v=""/>
    <s v=""/>
    <s v=""/>
    <s v=""/>
    <s v=""/>
    <s v=""/>
    <s v=""/>
    <s v=""/>
    <s v=""/>
    <s v="Pipeline de Vendas"/>
    <s v="Apresentar Solução (35%)"/>
    <s v=""/>
    <m/>
    <n v="1600"/>
    <n v="335607"/>
    <n v="1"/>
    <s v="Junior Lopes"/>
    <d v="2025-11-25T00:00:00"/>
    <d v="1899-12-30T17:07:06"/>
    <s v=""/>
    <s v="Perdido"/>
    <d v="2025-11-26T00:00:00"/>
    <d v="1899-12-30T12:32:26"/>
    <s v="Não quer mudar a solução atual"/>
    <s v="estou descartando por falta de atividades do André, já agendou varias vezes e não aparece nas reuniões _x000a_Fala chefe, boa tarde _x000a_Está uma loucura esse final de ano_x000a_Mais vamos lá_x000a_Hoje uso o sistema Areco ele é gigante e tem tudo o que precisamos mais está em falta com o suporte e o preço está ficando alto_x000a_Vou tentar finalizar algumas coisa e na sexta-feira na parte da manhã estarei mais tranquilo ai chamo pra que possamos conversar"/>
    <s v=""/>
    <x v="134"/>
    <s v=""/>
    <x v="149"/>
    <s v=""/>
    <m/>
    <m/>
    <s v=""/>
    <s v=""/>
    <s v=""/>
    <s v=""/>
    <n v="1"/>
  </r>
  <r>
    <x v="0"/>
    <n v="700"/>
    <m/>
    <n v="2874"/>
    <s v=""/>
    <s v=""/>
    <x v="308"/>
    <m/>
    <s v=""/>
    <s v="Samuel Ferreira"/>
    <s v="(38) 99741-8594"/>
    <s v=""/>
    <s v="lojastem.financeiro@gmail.com"/>
    <s v=""/>
    <s v=""/>
    <s v=""/>
    <s v="Montes Claros"/>
    <s v=""/>
    <s v="Site"/>
    <s v=""/>
    <s v=""/>
    <s v="30%;Solicita demo"/>
    <s v="Pipeline de Vendas"/>
    <s v="Apresentar Proposta (50%)"/>
    <s v=""/>
    <d v="2026-01-31T00:00:00"/>
    <m/>
    <m/>
    <n v="14"/>
    <s v="Paulo Souza"/>
    <d v="2025-11-26T00:00:00"/>
    <d v="1899-12-30T11:24:38"/>
    <s v=""/>
    <s v="Perdido"/>
    <d v="2025-12-10T00:00:00"/>
    <d v="1899-12-30T23:13:47"/>
    <s v="Não houve aprovação financeira"/>
    <s v=""/>
    <s v=""/>
    <x v="143"/>
    <s v="Paulo Souza"/>
    <x v="154"/>
    <s v=""/>
    <m/>
    <m/>
    <s v=""/>
    <s v=""/>
    <s v=""/>
    <s v=""/>
    <n v="1"/>
  </r>
  <r>
    <x v="0"/>
    <n v="701"/>
    <m/>
    <n v="2829"/>
    <s v="Cobrei a Luciana sobre a sequência do projeto ou não (09/01/2026)_x000a_23/01 - Fiz FUPs hoje com a Lucimeire, chamando ela para retomar as negociações, aguardar ele responder para saber se vamos seguir ou não? R: Ela retornou avisando que a negociação está pausada por enquanto."/>
    <s v=""/>
    <x v="309"/>
    <n v="5825017000100"/>
    <s v=""/>
    <s v="Lucimeire Jardim"/>
    <s v="(17) 99270-5941"/>
    <s v=""/>
    <s v="gerencia.adm@belaflor.com.br"/>
    <s v=""/>
    <s v=""/>
    <s v=""/>
    <s v="São José do Rio Preto"/>
    <s v=""/>
    <s v="Site"/>
    <s v=""/>
    <s v=""/>
    <s v="30%;Pausado;Solicita demo"/>
    <s v="Pipeline de Vendas"/>
    <s v="Em negociação (75%)"/>
    <s v=""/>
    <d v="2026-03-31T00:00:00"/>
    <n v="130600"/>
    <n v="1680982"/>
    <n v="173"/>
    <s v="Paulo Souza"/>
    <d v="2025-11-26T00:00:00"/>
    <d v="1899-12-30T11:25:27"/>
    <s v=""/>
    <s v="Perdido"/>
    <d v="2026-05-18T00:00:00"/>
    <d v="1899-12-30T16:51:17"/>
    <s v="Projeto adiado / sem prazo definido"/>
    <s v=""/>
    <s v=""/>
    <x v="143"/>
    <s v="Paulo Souza"/>
    <x v="154"/>
    <s v=""/>
    <d v="2026-03-31T00:00:00"/>
    <n v="30"/>
    <s v="653"/>
    <s v="ERP, AFV, BI, WMS"/>
    <s v="R$ 130.600"/>
    <s v="R$ 16.809,82"/>
    <n v="1"/>
  </r>
  <r>
    <x v="0"/>
    <n v="702"/>
    <m/>
    <n v="2890"/>
    <s v="Falei com Rodrigo CFO, e vamos negociar a proposta na semana do dia 12/01/2025._x000a_Falei hoje 12/01 com Rodrigo cobrando um aposição dele._x000a_14/01 - Hoje o Jeferson TI me ligou avisando que a diretoria reprovou o valor mensal. Porém a equipe interna gostou muito do sistema e esta batalhando para seguir. Com isso ele apresentou um valor base de R$60,00 por usuário estou estudando uma estratégia para responder. Acionei o Fábio._x000a_19/01: No dia 15/01 foi resolvido a questão da proposta. A pendência agora é em relação a integração com Sênior, ou seja, Jeferson esta fazendo orçamento com pessoal da Sênior, só após daremos andamento. Previsto uma conversa para sexta-feira próxima, dia 23/01."/>
    <s v=""/>
    <x v="310"/>
    <m/>
    <s v=""/>
    <s v="Wellington"/>
    <s v="43996624014"/>
    <s v=""/>
    <s v="null"/>
    <s v=""/>
    <s v=""/>
    <s v=""/>
    <s v=""/>
    <s v=""/>
    <s v=""/>
    <s v=""/>
    <s v=""/>
    <s v="90%;Fabio Indica"/>
    <s v="Pipeline de Vendas"/>
    <s v="Em Fechamento (100%)"/>
    <s v=""/>
    <d v="2026-01-31T00:00:00"/>
    <n v="16000"/>
    <n v="5880"/>
    <n v="57"/>
    <s v="Paulo Souza"/>
    <d v="2025-11-26T00:00:00"/>
    <d v="1899-12-30T11:28:10"/>
    <s v=""/>
    <s v="Perdido"/>
    <d v="2026-01-22T00:00:00"/>
    <d v="1899-12-30T16:27:10"/>
    <s v="Não houve aprovação financeira"/>
    <s v="A diretoria não aprovou o projeto devido o total da implantação ficar na casa dos 32k. Somando o projeto do Sênior 15-20k e Guarani 16k"/>
    <s v=""/>
    <x v="144"/>
    <s v="Paulo Souza"/>
    <x v="155"/>
    <s v=""/>
    <d v="2026-01-09T00:00:00"/>
    <m/>
    <s v=""/>
    <s v=""/>
    <s v=""/>
    <s v=""/>
    <n v="1"/>
  </r>
  <r>
    <x v="0"/>
    <n v="703"/>
    <m/>
    <n v="2891"/>
    <s v="Falei hoje com o Abdallah, o mesmo esta fora do Brasil. Combinamos de falar na sua volta que é em 15/01/2026!_x000a_23/01 - Após conversa com o Abdallah, o mesmo ainda continua fora do brasil e em nossa conversa falou que não tem resposta se vai ou não mudar. Com base no histórico das conversa ele não tem interesse de mudança no curto prazo. Sendo assim, estou declinando a proposta e futuramente voltamos a falar."/>
    <s v=""/>
    <x v="311"/>
    <n v="7728812000105"/>
    <s v=""/>
    <s v="Abdallah"/>
    <s v="(11) 3228-9751"/>
    <s v=""/>
    <s v="aihfinanceiro@gmail.com"/>
    <s v=""/>
    <s v=""/>
    <s v=""/>
    <s v="SAO PAULO"/>
    <s v="SP"/>
    <s v=""/>
    <s v=""/>
    <s v=""/>
    <s v="30%"/>
    <s v="Pipeline de Vendas"/>
    <s v="Em negociação (75%)"/>
    <s v=""/>
    <d v="2026-01-23T00:00:00"/>
    <n v="72000"/>
    <n v="8045"/>
    <n v="58"/>
    <s v="Paulo Souza"/>
    <d v="2025-11-26T00:00:00"/>
    <d v="1899-12-30T11:30:14"/>
    <s v=""/>
    <s v="Perdido"/>
    <d v="2026-01-23T00:00:00"/>
    <d v="1899-12-30T11:38:34"/>
    <s v="Projeto adiado / sem prazo definido"/>
    <s v=""/>
    <s v=""/>
    <x v="48"/>
    <s v="Paulo Souza"/>
    <x v="156"/>
    <s v=""/>
    <d v="2026-01-23T00:00:00"/>
    <m/>
    <s v=""/>
    <s v=""/>
    <s v=""/>
    <s v=""/>
    <n v="1"/>
  </r>
  <r>
    <x v="0"/>
    <n v="704"/>
    <m/>
    <n v="2894"/>
    <s v="Hoje foi realizada a apresentação do PDV do ERP ao cliente. O fechamento está previsto para ocorrer até 19/12/2025."/>
    <s v=""/>
    <x v="312"/>
    <n v="3761404000196"/>
    <s v=""/>
    <s v="Jose Eduardo"/>
    <s v="(19) 3492-9944"/>
    <s v=""/>
    <s v="adm@plastcap.com.br"/>
    <s v=""/>
    <s v=""/>
    <s v=""/>
    <s v="CAPIVARI"/>
    <s v="SP"/>
    <s v=""/>
    <s v=""/>
    <s v=""/>
    <s v="90%"/>
    <s v="Pipeline de Vendas"/>
    <s v="Em Fechamento (100%)"/>
    <s v=""/>
    <d v="2026-01-15T00:00:00"/>
    <n v="17829"/>
    <n v="83997"/>
    <n v="44"/>
    <s v="Paulo Souza"/>
    <d v="2025-11-26T00:00:00"/>
    <d v="1899-12-30T11:36:11"/>
    <s v=""/>
    <s v="Ganho"/>
    <d v="2026-01-09T00:00:00"/>
    <d v="1899-12-30T14:02:37"/>
    <s v=""/>
    <s v=""/>
    <s v=""/>
    <x v="145"/>
    <s v="Paulo Souza"/>
    <x v="154"/>
    <s v=""/>
    <d v="2025-12-12T00:00:00"/>
    <m/>
    <s v=""/>
    <s v=""/>
    <s v=""/>
    <s v=""/>
    <n v="1"/>
  </r>
  <r>
    <x v="0"/>
    <n v="705"/>
    <m/>
    <n v="2896"/>
    <s v="Não vai seguir com esse projeto no momento! Primeiro vai fazer a reciclagem e no meio do ano de 2026, voltamos a falar."/>
    <s v=""/>
    <x v="313"/>
    <n v="3761404000196"/>
    <s v=""/>
    <s v="Jose Eduardo"/>
    <s v="(19) 3492-9944"/>
    <s v=""/>
    <s v="adm@plastcap.com.br"/>
    <s v=""/>
    <s v=""/>
    <s v=""/>
    <s v="CAPIVARI"/>
    <s v="SP"/>
    <s v=""/>
    <s v=""/>
    <s v=""/>
    <s v="30%"/>
    <s v="Pipeline de Vendas"/>
    <s v="Em negociação (75%)"/>
    <s v=""/>
    <d v="2025-12-31T00:00:00"/>
    <n v="1600"/>
    <n v="384454"/>
    <n v="44"/>
    <s v="Paulo Souza"/>
    <d v="2025-11-26T00:00:00"/>
    <d v="1899-12-30T11:54:10"/>
    <s v=""/>
    <s v="Perdido"/>
    <d v="2026-01-09T00:00:00"/>
    <d v="1899-12-30T14:22:58"/>
    <s v="Projeto adiado / sem prazo definido"/>
    <s v=""/>
    <s v=""/>
    <x v="143"/>
    <s v="Paulo Souza"/>
    <x v="154"/>
    <s v=""/>
    <d v="2026-01-09T00:00:00"/>
    <m/>
    <s v=""/>
    <s v=""/>
    <s v=""/>
    <s v=""/>
    <n v="1"/>
  </r>
  <r>
    <x v="0"/>
    <n v="706"/>
    <m/>
    <n v="2897"/>
    <s v=""/>
    <s v=""/>
    <x v="314"/>
    <m/>
    <s v=""/>
    <s v="Kaue Prado"/>
    <s v="49998169464"/>
    <s v=""/>
    <s v="null"/>
    <s v=""/>
    <s v=""/>
    <s v=""/>
    <s v=""/>
    <s v=""/>
    <s v=""/>
    <s v=""/>
    <s v=""/>
    <s v=""/>
    <s v="Pipeline de Vendas"/>
    <s v="Em negociação (75%)"/>
    <s v=""/>
    <d v="2026-01-15T00:00:00"/>
    <n v="50000"/>
    <n v="2355"/>
    <n v="14"/>
    <s v="Paulo Souza"/>
    <d v="2025-11-26T00:00:00"/>
    <d v="1899-12-30T11:57:13"/>
    <s v=""/>
    <s v="Perdido"/>
    <d v="2025-12-10T00:00:00"/>
    <d v="1899-12-30T17:18:17"/>
    <s v="Não houve aprovação financeira"/>
    <s v=""/>
    <s v=""/>
    <x v="146"/>
    <s v="Paulo Souza"/>
    <x v="157"/>
    <s v=""/>
    <m/>
    <m/>
    <s v=""/>
    <s v=""/>
    <s v=""/>
    <s v=""/>
    <n v="1"/>
  </r>
  <r>
    <x v="0"/>
    <n v="707"/>
    <m/>
    <n v="2898"/>
    <s v="Após retorno do Jeferson fui informado que ele não vai seguir com o projeto no momento."/>
    <s v=""/>
    <x v="315"/>
    <m/>
    <s v=""/>
    <s v="Jeferson"/>
    <s v="83998878069"/>
    <s v=""/>
    <s v="null"/>
    <s v=""/>
    <s v=""/>
    <s v=""/>
    <s v=""/>
    <s v=""/>
    <s v="Outbound"/>
    <s v=""/>
    <s v=""/>
    <s v="90%"/>
    <s v="Pipeline de Vendas"/>
    <s v="Em negociação (75%)"/>
    <s v=""/>
    <d v="2026-01-31T00:00:00"/>
    <n v="14400"/>
    <n v="185328"/>
    <n v="47"/>
    <s v="Paulo Souza"/>
    <d v="2025-11-26T00:00:00"/>
    <d v="1899-12-30T11:59:12"/>
    <s v=""/>
    <s v="Perdido"/>
    <d v="2026-01-12T00:00:00"/>
    <d v="1899-12-30T22:24:16"/>
    <s v="Projeto adiado / sem prazo definido"/>
    <s v=""/>
    <s v=""/>
    <x v="147"/>
    <s v="Paulo Souza"/>
    <x v="158"/>
    <s v=""/>
    <d v="2026-01-12T00:00:00"/>
    <m/>
    <s v=""/>
    <s v=""/>
    <s v=""/>
    <s v=""/>
    <n v="1"/>
  </r>
  <r>
    <x v="0"/>
    <n v="708"/>
    <m/>
    <n v="2899"/>
    <s v=""/>
    <s v=""/>
    <x v="236"/>
    <m/>
    <s v=""/>
    <s v="Fabiana"/>
    <s v="16996352359"/>
    <s v=""/>
    <s v="null"/>
    <s v=""/>
    <s v=""/>
    <s v=""/>
    <s v=""/>
    <s v=""/>
    <s v=""/>
    <s v=""/>
    <s v=""/>
    <s v=""/>
    <s v="Pipeline de Vendas"/>
    <s v="Em Fechamento (100%)"/>
    <s v=""/>
    <m/>
    <m/>
    <m/>
    <n v="12"/>
    <s v="Paulo Souza"/>
    <d v="2025-11-26T00:00:00"/>
    <d v="1899-12-30T12:01:20"/>
    <s v=""/>
    <s v="Ganho"/>
    <d v="2025-12-08T00:00:00"/>
    <d v="1899-12-30T13:53:33"/>
    <s v=""/>
    <s v=""/>
    <s v=""/>
    <x v="148"/>
    <s v="Paulo Souza"/>
    <x v="159"/>
    <s v=""/>
    <m/>
    <m/>
    <s v=""/>
    <s v=""/>
    <s v=""/>
    <s v=""/>
    <n v="1"/>
  </r>
  <r>
    <x v="0"/>
    <n v="709"/>
    <m/>
    <n v="2900"/>
    <s v=""/>
    <s v=""/>
    <x v="316"/>
    <m/>
    <s v=""/>
    <s v="Gustavo"/>
    <s v="16996352359"/>
    <s v=""/>
    <s v="null"/>
    <s v=""/>
    <s v=""/>
    <s v=""/>
    <s v=""/>
    <s v=""/>
    <s v=""/>
    <s v=""/>
    <s v=""/>
    <s v=""/>
    <s v="Pipeline de Vendas"/>
    <s v="Em Fechamento (100%)"/>
    <s v=""/>
    <m/>
    <m/>
    <m/>
    <n v="12"/>
    <s v="Paulo Souza"/>
    <d v="2025-11-26T00:00:00"/>
    <d v="1899-12-30T12:02:41"/>
    <s v=""/>
    <s v="Ganho"/>
    <d v="2025-12-08T00:00:00"/>
    <d v="1899-12-30T14:21:05"/>
    <s v=""/>
    <s v=""/>
    <s v=""/>
    <x v="149"/>
    <s v="Paulo Souza"/>
    <x v="160"/>
    <s v=""/>
    <m/>
    <m/>
    <s v=""/>
    <s v=""/>
    <s v=""/>
    <s v=""/>
    <n v="1"/>
  </r>
  <r>
    <x v="1"/>
    <n v="711"/>
    <m/>
    <n v="2902"/>
    <s v="O próximo passo é Junior Lopes contatar a Tânia para confirmar o envio do vídeo do armazém e obter uma data definida para isso. Ele também deve atualizar no sistema o campo “O que falta para atingir o objetivo” com os requisitos pendentes e registrar um próximo passo com data, como analisar o vídeo ou agendar uma reunião para discutir sua avaliação."/>
    <s v=""/>
    <x v="317"/>
    <m/>
    <s v=""/>
    <s v="FaFa Import - WMS"/>
    <s v="86188758539"/>
    <s v=""/>
    <s v="null"/>
    <s v=""/>
    <s v=""/>
    <s v=""/>
    <s v=""/>
    <s v=""/>
    <s v=""/>
    <s v=""/>
    <s v=""/>
    <s v="50%"/>
    <s v="Pipeline de Vendas"/>
    <s v="Em Fechamento (100%)"/>
    <s v=""/>
    <d v="2026-02-09T00:00:00"/>
    <n v="235848"/>
    <n v="14256"/>
    <n v="65"/>
    <s v="Junior Lopes"/>
    <d v="2025-11-26T00:00:00"/>
    <d v="1899-12-30T15:05:11"/>
    <s v=""/>
    <s v="Perdido"/>
    <d v="2026-01-30T00:00:00"/>
    <d v="1899-12-30T15:36:59"/>
    <s v="Projeto adiado / sem prazo definido"/>
    <s v="sem retorno"/>
    <s v=""/>
    <x v="132"/>
    <s v="Junior Lopes"/>
    <x v="153"/>
    <s v=""/>
    <d v="2025-12-12T00:00:00"/>
    <m/>
    <s v=""/>
    <s v=""/>
    <s v=""/>
    <s v=""/>
    <n v="1"/>
  </r>
  <r>
    <x v="1"/>
    <n v="714"/>
    <m/>
    <n v="2910"/>
    <s v=""/>
    <s v=""/>
    <x v="318"/>
    <m/>
    <s v=""/>
    <s v="Tecelagem Castilho - Proposta Web"/>
    <s v="6293622662"/>
    <s v=""/>
    <s v="null"/>
    <s v=""/>
    <s v=""/>
    <s v=""/>
    <s v=""/>
    <s v=""/>
    <s v=""/>
    <s v=""/>
    <s v=""/>
    <s v=""/>
    <s v="Pipeline de Vendas"/>
    <s v="Em negociação (75%)"/>
    <s v=""/>
    <m/>
    <n v="0"/>
    <n v="209"/>
    <n v="12"/>
    <s v="Junior Lopes"/>
    <d v="2025-11-28T00:00:00"/>
    <d v="1899-12-30T14:27:28"/>
    <s v=""/>
    <s v="Perdido"/>
    <d v="2025-12-10T00:00:00"/>
    <d v="1899-12-30T10:00:03"/>
    <s v="Não quer mudar a solução atual"/>
    <s v="por enquanto vai fazer as aprovações via ERP"/>
    <s v=""/>
    <x v="142"/>
    <s v=""/>
    <x v="161"/>
    <s v=""/>
    <m/>
    <m/>
    <s v=""/>
    <s v=""/>
    <s v=""/>
    <s v=""/>
    <n v="1"/>
  </r>
  <r>
    <x v="0"/>
    <n v="717"/>
    <m/>
    <n v="2945"/>
    <s v="Falei hoje 09/01/2026 com o Mario para saber se seguiremos. Ele está fora do brasil retomar contato em 15/01._x000a_23/01 fazer proposta e enviar ao mario._x000a_06/02 Fiz FUP e não evoluiu a conversa pois o Mario está estruturando a empresa e nesse momento vai aguardar."/>
    <s v=""/>
    <x v="319"/>
    <m/>
    <s v=""/>
    <s v="Mario Perez"/>
    <s v="(11) 99471-3332"/>
    <s v=""/>
    <s v="mariovperez@hotmail.com"/>
    <s v=""/>
    <s v=""/>
    <s v=""/>
    <s v="São Paulo"/>
    <s v=""/>
    <s v="Site"/>
    <s v=""/>
    <s v=""/>
    <s v="30%"/>
    <s v="Pipeline de Vendas"/>
    <s v="Apresentar Proposta (50%)"/>
    <s v=""/>
    <d v="2026-01-31T00:00:00"/>
    <m/>
    <m/>
    <n v="68"/>
    <s v="Paulo Souza"/>
    <d v="2025-12-01T00:00:00"/>
    <d v="1899-12-30T15:50:11"/>
    <s v=""/>
    <s v="Perdido"/>
    <d v="2026-02-07T00:00:00"/>
    <d v="1899-12-30T08:22:44"/>
    <s v="Não quer mudar a solução atual"/>
    <s v=""/>
    <s v=""/>
    <x v="150"/>
    <s v="Paulo Souza"/>
    <x v="162"/>
    <s v=""/>
    <d v="2026-01-23T00:00:00"/>
    <n v="30"/>
    <s v=""/>
    <s v=""/>
    <s v=""/>
    <s v=""/>
    <n v="1"/>
  </r>
  <r>
    <x v="0"/>
    <n v="718"/>
    <m/>
    <n v="2913"/>
    <s v="Falei com a Valeria hoje 09/01/26 para saber sobre a retomada do projeto._x000a_23/01 Fiz FUP hoje com a Valeria cobrando se seguiremos ou não com o projeto, prazo para declinar 31/01."/>
    <s v=""/>
    <x v="320"/>
    <m/>
    <s v=""/>
    <s v="Valéria Honorato da Silva"/>
    <s v="(45) 99903-2312"/>
    <s v=""/>
    <s v="valeriahonoratomkt@gmail.com"/>
    <s v=""/>
    <s v=""/>
    <s v=""/>
    <s v="Santa Tereza do Oeste"/>
    <s v=""/>
    <s v="Site"/>
    <s v=""/>
    <s v=""/>
    <s v="30%;Pausado;Solicita demo"/>
    <s v="Pipeline de Vendas"/>
    <s v="Qualificação de Vendas (SQL) (25%)"/>
    <s v=""/>
    <d v="2026-04-30T00:00:00"/>
    <m/>
    <m/>
    <n v="161"/>
    <s v="Paulo Souza"/>
    <d v="2025-12-01T00:00:00"/>
    <d v="1899-12-30T16:23:02"/>
    <s v=""/>
    <s v="Perdido"/>
    <d v="2026-05-11T00:00:00"/>
    <d v="1899-12-30T11:55:42"/>
    <s v="Projeto adiado / sem prazo definido"/>
    <s v=""/>
    <s v=""/>
    <x v="151"/>
    <s v="Paulo Souza"/>
    <x v="162"/>
    <s v=""/>
    <d v="2026-04-10T00:00:00"/>
    <n v="30"/>
    <s v=""/>
    <s v=""/>
    <s v=""/>
    <s v=""/>
    <n v="1"/>
  </r>
  <r>
    <x v="0"/>
    <n v="719"/>
    <m/>
    <n v="2904"/>
    <s v="Falei com a Kelly hoje que me passou as informações que faltava para formular a proposta. Agora e falar com o Fernando e montar a proposta e apresentar._x000a_23/01 Falei com a Kelly em 19/01, e ela avisou que estava de férias e que retorno essa semana , e que só vai conseguir analisar a proposta na semana do dia 26/01, quando retornarei o contato._x000a_07/02 Fiz FUP com a Kelly e perguntei se ela vai ou não seguir com o projeto, não retornou ainda._x000a_12/03 12/03 Fiz FUP com a Kelly e a mesma esta analisando a proposta. Como esta semana ela tá fazendo compra de natal, vai conseguir parar e ver a proposta amanhã 13/03._x000a_20/03 Cobrando a Kelly para ir para o fechamento."/>
    <s v=""/>
    <x v="321"/>
    <n v="3674537000125"/>
    <s v=""/>
    <s v="kelly"/>
    <s v="(12) 97403-0134"/>
    <s v=""/>
    <s v="mkt@valport.com.br"/>
    <s v=""/>
    <s v=""/>
    <s v=""/>
    <s v="São Paulo"/>
    <s v=""/>
    <s v="Site"/>
    <s v=""/>
    <s v=""/>
    <s v="50%;Solicita demo"/>
    <s v="Pipeline de Vendas"/>
    <s v="Em negociação (75%)"/>
    <s v=""/>
    <d v="2026-03-31T00:00:00"/>
    <n v="104490"/>
    <n v="111957"/>
    <n v="130"/>
    <s v="Paulo Souza"/>
    <d v="2025-12-01T00:00:00"/>
    <d v="1899-12-30T16:37:54"/>
    <s v=""/>
    <s v="Perdido"/>
    <d v="2026-04-10T00:00:00"/>
    <d v="1899-12-30T15:54:49"/>
    <s v="Projeto adiado / sem prazo definido"/>
    <s v=""/>
    <s v=""/>
    <x v="151"/>
    <s v="Paulo Souza"/>
    <x v="163"/>
    <s v=""/>
    <d v="2026-03-20T00:00:00"/>
    <n v="30"/>
    <s v="416"/>
    <s v="ERP, AFV, BI, PDV, ADICIONAIS"/>
    <s v="R$ 104.490"/>
    <s v="R$ 11.195,70"/>
    <n v="1"/>
  </r>
  <r>
    <x v="0"/>
    <n v="725"/>
    <m/>
    <n v="2970"/>
    <s v="Cobrei hoje 09/01 o Alex, para saber sobre a evolução do projeto em 2026._x000a_14/01 - O Alex me ligou hoje avisando que a empresa optou pelo mais barato e fechou com a RioSoft."/>
    <s v=""/>
    <x v="322"/>
    <m/>
    <s v=""/>
    <s v="Alex"/>
    <s v="1799137617"/>
    <s v=""/>
    <s v="null"/>
    <s v=""/>
    <s v=""/>
    <s v=""/>
    <s v=""/>
    <s v=""/>
    <s v=""/>
    <s v=""/>
    <s v=""/>
    <s v="30%;Pausado"/>
    <s v="Pipeline de Vendas"/>
    <s v="Em negociação (75%)"/>
    <s v=""/>
    <d v="2026-03-31T00:00:00"/>
    <n v="315000"/>
    <n v="32575"/>
    <n v="37"/>
    <s v="Paulo Souza"/>
    <d v="2025-12-08T00:00:00"/>
    <d v="1899-12-30T13:58:57"/>
    <s v=""/>
    <s v="Perdido"/>
    <d v="2026-01-14T00:00:00"/>
    <d v="1899-12-30T18:52:38"/>
    <s v="Fechou com o concorrente - preço"/>
    <s v="O Alex me ligou hoje avisando que a empresa optou pelo mais barato e fechou com a RioSoft."/>
    <s v=""/>
    <x v="151"/>
    <s v="Paulo Souza"/>
    <x v="164"/>
    <s v=""/>
    <d v="2026-01-09T00:00:00"/>
    <m/>
    <s v=""/>
    <s v=""/>
    <s v=""/>
    <s v=""/>
    <n v="1"/>
  </r>
  <r>
    <x v="0"/>
    <n v="726"/>
    <m/>
    <n v="2971"/>
    <s v=""/>
    <s v=""/>
    <x v="323"/>
    <m/>
    <s v=""/>
    <s v="Raymond"/>
    <s v="11982685555"/>
    <s v=""/>
    <s v="null"/>
    <s v=""/>
    <s v=""/>
    <s v=""/>
    <s v=""/>
    <s v=""/>
    <s v=""/>
    <s v=""/>
    <s v=""/>
    <s v=""/>
    <s v="Pipeline de Vendas"/>
    <s v="Em Fechamento (100%)"/>
    <s v=""/>
    <m/>
    <n v="0"/>
    <n v="57024"/>
    <n v="0"/>
    <s v="Paulo Souza"/>
    <d v="2025-12-08T00:00:00"/>
    <d v="1899-12-30T14:06:46"/>
    <s v=""/>
    <s v="Ganho"/>
    <d v="2025-12-08T00:00:00"/>
    <d v="1899-12-30T14:09:01"/>
    <s v=""/>
    <s v=""/>
    <s v=""/>
    <x v="152"/>
    <s v="Paulo Souza"/>
    <x v="162"/>
    <s v=""/>
    <m/>
    <m/>
    <s v=""/>
    <s v=""/>
    <s v=""/>
    <s v=""/>
    <n v="1"/>
  </r>
  <r>
    <x v="0"/>
    <n v="727"/>
    <m/>
    <n v="2969"/>
    <s v="Hoje 09/01/26 cobrei a Michelli para saber se ela vai seguir ou não com o projeto._x000a_23/01 - Fiz FUp com a Michelle hoje para saber se vamos ou não seguir com o projeto. _x000a_R: Falou que a proposta esta sobe analise da diretoria e que para a próxima semana já terá um retorno. _x000a_07/02 Fiz FUP com a Michelle e ela me posicionou que não vai trocar de sistema por enquanto."/>
    <s v=""/>
    <x v="324"/>
    <m/>
    <s v=""/>
    <s v="MICHELE"/>
    <s v="(12) 99635-6502"/>
    <s v=""/>
    <s v="flavia.honorato@hotmail.com"/>
    <s v=""/>
    <s v=""/>
    <s v=""/>
    <s v="Guaratinguetá"/>
    <s v=""/>
    <s v="Site"/>
    <s v=""/>
    <s v=""/>
    <s v="30%;Solicita demo"/>
    <s v="Pipeline de Vendas"/>
    <s v="Em negociação (75%)"/>
    <s v=""/>
    <d v="2026-01-31T00:00:00"/>
    <n v="47200"/>
    <n v="22981"/>
    <n v="60"/>
    <s v="Paulo Souza"/>
    <d v="2025-12-09T00:00:00"/>
    <d v="1899-12-30T14:14:17"/>
    <s v=""/>
    <s v="Perdido"/>
    <d v="2026-02-07T00:00:00"/>
    <d v="1899-12-30T08:55:56"/>
    <s v="Não quer mudar a solução atual"/>
    <s v="07/02 Fiz FUP com a Michelle e ela me posicionou que não vai trocar de sistema por enquanto."/>
    <s v=""/>
    <x v="153"/>
    <s v="Paulo Souza"/>
    <x v="165"/>
    <s v=""/>
    <d v="2026-02-07T00:00:00"/>
    <n v="30"/>
    <s v=""/>
    <s v=""/>
    <s v=""/>
    <s v=""/>
    <n v="1"/>
  </r>
  <r>
    <x v="0"/>
    <n v="728"/>
    <m/>
    <n v="2973"/>
    <s v="Falei com a Kelly hoje que me passou as informações que faltava para formular a proposta. Agora e falar com o Fernando e montar a proposta e apresentar._x000a_13/01/2026 - Apresentar proposta_x000a_23/01 Falei com a Kelly em 19/01, e ela avisou que estava de férias e que retorno essa semana , e que só vai conseguir analisar a proposta na semana do dia 26/01, quando retornarei o contato._x000a_07/02 Fiz FUP com a Kelly e perguntei se ela vai ou não seguir com o projeto, não retornou ainda._x000a_12/03 12/03 Fiz FUP com a Kelly e a mesma esta analisando a proposta. Como esta semana ela tá fazendo compra de natal, vai conseguir parar e ver a proposta amanhã 13/03._x000a_20/03 Cobrando a Kelly para ir para o fechamento."/>
    <s v=""/>
    <x v="325"/>
    <n v="3674537000125"/>
    <s v=""/>
    <s v="Kelly"/>
    <s v="(12) 3204-5200"/>
    <s v=""/>
    <s v="financeiro@valport.com.br"/>
    <s v=""/>
    <s v=""/>
    <s v=""/>
    <s v="SAO JOSE DOS CAMPOS"/>
    <s v="SP"/>
    <s v="Outbound"/>
    <s v=""/>
    <s v=""/>
    <s v="50%"/>
    <s v="Pipeline de Vendas"/>
    <s v="Em negociação (75%)"/>
    <s v=""/>
    <d v="2026-03-31T00:00:00"/>
    <n v="1700"/>
    <n v="13100"/>
    <n v="121"/>
    <s v="Paulo Souza"/>
    <d v="2025-12-10T00:00:00"/>
    <d v="1899-12-30T17:33:41"/>
    <s v=""/>
    <s v="Perdido"/>
    <d v="2026-04-10T00:00:00"/>
    <d v="1899-12-30T15:55:20"/>
    <s v="Projeto adiado / sem prazo definido"/>
    <s v=""/>
    <s v=""/>
    <x v="153"/>
    <s v="Paulo Souza"/>
    <x v="165"/>
    <s v=""/>
    <d v="2026-03-20T00:00:00"/>
    <n v="30"/>
    <s v="80"/>
    <s v="B2B"/>
    <s v="R$ 13.100"/>
    <s v="R$ 1.700"/>
    <n v="1"/>
  </r>
  <r>
    <x v="0"/>
    <n v="729"/>
    <m/>
    <n v="2972"/>
    <s v="Falei com o Dalvan que esta devendo os dados para fazer a proposta. Segundo ele até o dia 09/01/26 ele termina de preencher. Após receber fazer proposta junto ao Fernando._x000a_23/01 Fiz FUP hoje com o DALVAN, o bicho é enrolado não responde os questionamentos que preciso para fazer a proposta._x000a_06/02 Estou declinando a proposta por falta de interação. o Dalvan, não me responde."/>
    <s v=""/>
    <x v="326"/>
    <m/>
    <s v=""/>
    <s v="Dalvan barros"/>
    <s v="(99) 98265-8209"/>
    <s v=""/>
    <s v="atualmiix@gmail.com"/>
    <s v=""/>
    <s v=""/>
    <s v=""/>
    <s v="Porto Franco"/>
    <s v=""/>
    <s v="Site"/>
    <s v=""/>
    <s v=""/>
    <s v="30%;Solicita demo"/>
    <s v="Pipeline de Vendas"/>
    <s v="Apresentar Proposta (50%)"/>
    <s v=""/>
    <d v="2026-01-31T00:00:00"/>
    <m/>
    <m/>
    <n v="59"/>
    <s v="Paulo Souza"/>
    <d v="2025-12-10T00:00:00"/>
    <d v="1899-12-30T22:55:29"/>
    <s v=""/>
    <s v="Perdido"/>
    <d v="2026-02-07T00:00:00"/>
    <d v="1899-12-30T08:20:54"/>
    <s v="Projeto adiado / sem prazo definido"/>
    <s v="06/02 Estou declinando a proposta por falta de interação. o Dalvan, não me responde."/>
    <s v=""/>
    <x v="154"/>
    <s v="Paulo Souza"/>
    <x v="166"/>
    <s v=""/>
    <d v="2026-02-06T00:00:00"/>
    <n v="30"/>
    <s v=""/>
    <s v=""/>
    <s v=""/>
    <s v=""/>
    <n v="1"/>
  </r>
  <r>
    <x v="1"/>
    <n v="730"/>
    <m/>
    <n v="2977"/>
    <s v="(07/01/2026) visita comercial _x000a_(14/01/2026) Visita apresentação com Max _x000a_(29/01/2026) cliente esta ligando para nossos clientes  _x000a_(24/04/2026) Bassel não responde , não esta no momento certo"/>
    <s v="Vic Import, Comercio, Importacao E Exportacao De Brinquedos E Utilidades Em Geral Ltda"/>
    <x v="327"/>
    <n v="50828915000168"/>
    <s v=""/>
    <s v="Vic Import, Comercio, Importacao E Exportacao De Brinquedos E Utilidades Em Geral Ltda"/>
    <s v="(11) 2171-0800"/>
    <s v=""/>
    <s v="legal@vrscontabil.com.br"/>
    <s v=""/>
    <s v=""/>
    <s v=""/>
    <s v="SAO PAULO"/>
    <s v="SP"/>
    <s v="Base de empresas Leads2b"/>
    <s v=""/>
    <s v=""/>
    <s v="50%;Fabio Indica"/>
    <s v="Pipeline de Vendas"/>
    <s v="Em negociação (75%)"/>
    <s v=""/>
    <d v="2026-02-28T00:00:00"/>
    <n v="44000"/>
    <n v="13781"/>
    <n v="134"/>
    <s v="Junior Lopes"/>
    <d v="2025-12-11T00:00:00"/>
    <d v="1899-12-30T10:06:06"/>
    <s v=""/>
    <s v="Perdido"/>
    <d v="2026-04-24T00:00:00"/>
    <d v="1899-12-30T09:24:13"/>
    <s v="Projeto adiado / sem prazo definido"/>
    <s v="(24/04/2026) Bassel não responde , não esta no momento certo"/>
    <s v=""/>
    <x v="155"/>
    <s v="Junior Lopes"/>
    <x v="167"/>
    <s v="14/01/2026"/>
    <d v="2026-04-24T00:00:00"/>
    <n v="50"/>
    <s v=""/>
    <s v=""/>
    <s v=""/>
    <s v=""/>
    <n v="1"/>
  </r>
  <r>
    <x v="1"/>
    <n v="731"/>
    <m/>
    <n v="2980"/>
    <s v=""/>
    <s v=""/>
    <x v="328"/>
    <m/>
    <s v=""/>
    <s v="Vic Import - AFV"/>
    <s v="1121710800"/>
    <s v=""/>
    <s v="legal@vrscontabil.com.br"/>
    <s v=""/>
    <s v=""/>
    <s v=""/>
    <s v=""/>
    <s v=""/>
    <s v=""/>
    <s v=""/>
    <s v=""/>
    <s v="50%"/>
    <s v="Pipeline de Vendas"/>
    <s v="Em negociação (75%)"/>
    <s v=""/>
    <d v="2026-01-31T00:00:00"/>
    <n v="8000"/>
    <n v="19642"/>
    <n v="49"/>
    <s v="Junior Lopes"/>
    <d v="2025-12-11T00:00:00"/>
    <d v="1899-12-30T10:21:27"/>
    <s v=""/>
    <s v="Perdido"/>
    <d v="2026-01-29T00:00:00"/>
    <d v="1899-12-30T15:51:08"/>
    <s v="Não quer mudar a solução atual"/>
    <s v="seguindo com ERP"/>
    <s v=""/>
    <x v="156"/>
    <s v=""/>
    <x v="168"/>
    <s v=""/>
    <d v="2026-01-09T00:00:00"/>
    <m/>
    <s v=""/>
    <s v=""/>
    <s v=""/>
    <s v=""/>
    <n v="1"/>
  </r>
  <r>
    <x v="1"/>
    <n v="732"/>
    <m/>
    <n v="2981"/>
    <s v="(07/01/2026) visita comercial _x000a_(14/01/2026) Visita apresentação com Max _x000a_(29/01/2026) cliente esta ligando para nossos clientes"/>
    <s v=""/>
    <x v="329"/>
    <m/>
    <s v=""/>
    <s v="Vic Import - Cloud"/>
    <s v="1121710800"/>
    <s v=""/>
    <s v="legal@vrscontabil.com.br"/>
    <s v=""/>
    <s v=""/>
    <s v=""/>
    <s v=""/>
    <s v=""/>
    <s v=""/>
    <s v=""/>
    <s v=""/>
    <s v="50%"/>
    <s v="Pipeline de Vendas"/>
    <s v="Em negociação (75%)"/>
    <s v=""/>
    <d v="2026-02-28T00:00:00"/>
    <n v="1600"/>
    <n v="34428"/>
    <n v="134"/>
    <s v="Junior Lopes"/>
    <d v="2025-12-11T00:00:00"/>
    <d v="1899-12-30T10:23:08"/>
    <s v=""/>
    <s v="Perdido"/>
    <d v="2026-04-24T00:00:00"/>
    <d v="1899-12-30T09:35:19"/>
    <s v="Projeto adiado / sem prazo definido"/>
    <s v="(24/04/2026) Bassel não responde , não esta no momento certo"/>
    <s v=""/>
    <x v="155"/>
    <s v="Junior Lopes"/>
    <x v="167"/>
    <s v="14/01/2026"/>
    <d v="2026-04-24T00:00:00"/>
    <n v="50"/>
    <s v=""/>
    <s v=""/>
    <s v=""/>
    <s v=""/>
    <n v="1"/>
  </r>
  <r>
    <x v="1"/>
    <n v="733"/>
    <m/>
    <n v="2982"/>
    <s v=""/>
    <s v="Conthey Presentes E Decoracoes Ltda"/>
    <x v="330"/>
    <n v="96280292000809"/>
    <s v=""/>
    <s v="Conthey Presentes E Decoracoes Ltda"/>
    <s v="(11) 2081-7750"/>
    <s v=""/>
    <s v="sc@conthey.com.br"/>
    <s v=""/>
    <s v=""/>
    <s v=""/>
    <s v="PALHOCA"/>
    <s v="SC"/>
    <s v="Base de empresas Leads2b"/>
    <s v=""/>
    <s v=""/>
    <s v="90%;Fabio Indica"/>
    <s v="Pipeline de Vendas"/>
    <s v="Em Fechamento (100%)"/>
    <s v=""/>
    <d v="2026-02-28T00:00:00"/>
    <n v="580005"/>
    <n v="7230"/>
    <n v="62"/>
    <s v="Junior Lopes"/>
    <d v="2025-12-11T00:00:00"/>
    <d v="1899-12-30T11:21:41"/>
    <s v=""/>
    <s v="Ganho"/>
    <d v="2026-02-11T00:00:00"/>
    <d v="1899-12-30T17:49:12"/>
    <s v=""/>
    <s v=""/>
    <s v=""/>
    <x v="157"/>
    <s v="Junior Lopes"/>
    <x v="169"/>
    <s v=""/>
    <d v="2026-01-16T00:00:00"/>
    <n v="90"/>
    <s v=""/>
    <s v=""/>
    <s v=""/>
    <s v=""/>
    <n v="1"/>
  </r>
  <r>
    <x v="1"/>
    <n v="734"/>
    <m/>
    <n v="2985"/>
    <s v="fechamos ERP , estou descartando essa oportunidade"/>
    <s v=""/>
    <x v="331"/>
    <m/>
    <s v=""/>
    <s v="Conthey - AFV"/>
    <s v="11982163176"/>
    <s v=""/>
    <s v="sc@conthey.com.br"/>
    <s v=""/>
    <s v=""/>
    <s v=""/>
    <s v=""/>
    <s v=""/>
    <s v=""/>
    <s v=""/>
    <s v=""/>
    <s v="50%"/>
    <s v="Pipeline de Vendas"/>
    <s v="Em negociação (75%)"/>
    <s v=""/>
    <d v="2026-01-16T00:00:00"/>
    <n v="0"/>
    <n v="19642"/>
    <n v="47"/>
    <s v="Junior Lopes"/>
    <d v="2025-12-11T00:00:00"/>
    <d v="1899-12-30T11:31:04"/>
    <s v=""/>
    <s v="Perdido"/>
    <d v="2026-01-27T00:00:00"/>
    <d v="1899-12-30T16:32:05"/>
    <s v="Cliente não quer contato LGPD"/>
    <s v="fechamos ERP , estou descartando essa oportunidade"/>
    <s v=""/>
    <x v="157"/>
    <s v=""/>
    <x v="169"/>
    <s v=""/>
    <d v="2026-01-27T00:00:00"/>
    <m/>
    <s v=""/>
    <s v=""/>
    <s v=""/>
    <s v=""/>
    <n v="1"/>
  </r>
  <r>
    <x v="1"/>
    <n v="735"/>
    <m/>
    <n v="2986"/>
    <s v="(24/04/2026) Conthey vai manter o servidor local , em breve caso necessário irá migrar para cloud"/>
    <s v=""/>
    <x v="332"/>
    <m/>
    <s v=""/>
    <s v="Conthey - Cloud"/>
    <s v="11982163176"/>
    <s v=""/>
    <s v="sc@conthey.com.br"/>
    <s v=""/>
    <s v=""/>
    <s v=""/>
    <s v=""/>
    <s v=""/>
    <s v=""/>
    <s v=""/>
    <s v=""/>
    <s v="80%"/>
    <s v="Pipeline de Vendas"/>
    <s v="Em Fechamento (100%)"/>
    <s v=""/>
    <d v="2026-01-16T00:00:00"/>
    <n v="1600"/>
    <n v="524246"/>
    <n v="134"/>
    <s v="Junior Lopes"/>
    <d v="2025-12-11T00:00:00"/>
    <d v="1899-12-30T11:33:08"/>
    <s v=""/>
    <s v="Perdido"/>
    <d v="2026-04-24T00:00:00"/>
    <d v="1899-12-30T09:04:14"/>
    <s v="Não quer mudar a solução atual"/>
    <s v="(24/04/2026) Conthey vai manter o servidor local , em breve caso necessário irá migrar para cloud"/>
    <s v=""/>
    <x v="157"/>
    <s v="Junior Lopes"/>
    <x v="169"/>
    <s v=""/>
    <d v="2026-04-24T00:00:00"/>
    <n v="80"/>
    <s v=""/>
    <s v=""/>
    <s v=""/>
    <s v=""/>
    <n v="1"/>
  </r>
  <r>
    <x v="1"/>
    <n v="736"/>
    <m/>
    <n v="2988"/>
    <s v=""/>
    <s v=""/>
    <x v="333"/>
    <m/>
    <s v=""/>
    <s v="Star - B2B"/>
    <s v="17997793113"/>
    <s v=""/>
    <s v="comercial@distribuidorastar.com.br"/>
    <s v=""/>
    <s v=""/>
    <s v=""/>
    <s v=""/>
    <s v=""/>
    <s v=""/>
    <s v=""/>
    <s v=""/>
    <s v="30%"/>
    <s v="Pipeline de Vendas"/>
    <s v="Em negociação (75%)"/>
    <s v=""/>
    <d v="2025-12-17T00:00:00"/>
    <n v="26200"/>
    <n v="3400"/>
    <n v="50"/>
    <s v="Junior Lopes"/>
    <d v="2025-12-11T00:00:00"/>
    <d v="1899-12-30T15:26:26"/>
    <s v=""/>
    <s v="Perdido"/>
    <d v="2026-01-30T00:00:00"/>
    <d v="1899-12-30T15:36:18"/>
    <s v="Projeto adiado / sem prazo definido"/>
    <s v="sem retorno"/>
    <s v=""/>
    <x v="158"/>
    <s v=""/>
    <x v="170"/>
    <s v="15/12/2025"/>
    <d v="2026-01-09T00:00:00"/>
    <m/>
    <s v=""/>
    <s v=""/>
    <s v=""/>
    <s v=""/>
    <n v="1"/>
  </r>
  <r>
    <x v="1"/>
    <n v="737"/>
    <m/>
    <n v="2989"/>
    <s v=""/>
    <s v=""/>
    <x v="334"/>
    <m/>
    <s v=""/>
    <s v="Tecelagem Castilho - Contábil"/>
    <s v="62993609476"/>
    <s v=""/>
    <s v="null"/>
    <s v=""/>
    <s v=""/>
    <s v=""/>
    <s v=""/>
    <s v=""/>
    <s v=""/>
    <s v=""/>
    <s v=""/>
    <s v="30%"/>
    <s v="Pipeline de Vendas"/>
    <s v="Em negociação (75%)"/>
    <s v=""/>
    <d v="2025-12-17T00:00:00"/>
    <n v="22824"/>
    <n v="68904"/>
    <n v="1"/>
    <s v="Junior Lopes"/>
    <d v="2025-12-11T00:00:00"/>
    <d v="1899-12-30T15:56:07"/>
    <s v=""/>
    <s v="Perdido"/>
    <d v="2025-12-12T00:00:00"/>
    <d v="1899-12-30T16:41:43"/>
    <s v="Projeto adiado / sem prazo definido"/>
    <s v="rto, obrigada_x000a_Dayane ! O módulo contábil faz sentido para vocês  ?_x000a_No momento não_x000a_Olá Dayane ! perfeito , ficamos a disposição ! um ótimo final de semana"/>
    <s v=""/>
    <x v="157"/>
    <s v=""/>
    <x v="171"/>
    <s v=""/>
    <d v="2025-12-12T00:00:00"/>
    <m/>
    <s v=""/>
    <s v=""/>
    <s v=""/>
    <s v=""/>
    <n v="1"/>
  </r>
  <r>
    <x v="1"/>
    <n v="739"/>
    <m/>
    <n v="2991"/>
    <s v=""/>
    <s v=""/>
    <x v="335"/>
    <m/>
    <s v=""/>
    <s v="Erca Alumínio - Imp.XML"/>
    <s v="19999989392"/>
    <s v=""/>
    <s v="null"/>
    <s v=""/>
    <s v=""/>
    <s v=""/>
    <s v=""/>
    <s v=""/>
    <s v=""/>
    <s v=""/>
    <s v=""/>
    <s v="30%"/>
    <s v="Pipeline de Vendas"/>
    <s v="Apresentar Proposta (50%)"/>
    <s v=""/>
    <d v="2025-12-31T00:00:00"/>
    <n v="3392"/>
    <n v="3564"/>
    <n v="76"/>
    <s v="Junior Lopes"/>
    <d v="2025-12-12T00:00:00"/>
    <d v="1899-12-30T12:21:40"/>
    <s v=""/>
    <s v="Perdido"/>
    <d v="2026-02-26T00:00:00"/>
    <d v="1899-12-30T09:21:39"/>
    <s v="Projeto adiado / sem prazo definido"/>
    <s v="sem retorno do cliente"/>
    <s v=""/>
    <x v="159"/>
    <s v="Junior Lopes"/>
    <x v="172"/>
    <s v=""/>
    <d v="2025-12-12T00:00:00"/>
    <n v="30"/>
    <s v=""/>
    <s v=""/>
    <s v=""/>
    <s v=""/>
    <n v="1"/>
  </r>
  <r>
    <x v="0"/>
    <n v="740"/>
    <m/>
    <n v="2994"/>
    <s v="Em conversa com o Valter ficou combinado de falar no dia 19/01, pois ele esta em viagem._x000a_23/01 Fiz contato com o Walter hoje para cobrar ele nossa agenda para a próxima semana._x000a_11/03 Fiz FUP com Valter, ele tem resistência em aceitar a proposta devido aos valores._x000a_20/03 Após tentativas de negociar não evoluiu porque o preço ficou fora do que o cliente gostaria de investir."/>
    <s v=""/>
    <x v="336"/>
    <m/>
    <s v=""/>
    <s v="Valter"/>
    <s v="11996577830"/>
    <s v=""/>
    <s v="vppeliciari@gmail.com"/>
    <s v=""/>
    <s v=""/>
    <s v=""/>
    <s v=""/>
    <s v=""/>
    <s v="Campanha"/>
    <s v=""/>
    <s v=""/>
    <s v="30%;Dentro Perfil;Instagram"/>
    <s v="Pipeline de Vendas"/>
    <s v="Em negociação (75%)"/>
    <s v=""/>
    <d v="2026-03-31T00:00:00"/>
    <n v="115520"/>
    <n v="65721"/>
    <n v="94"/>
    <s v="Paulo Souza"/>
    <d v="2025-12-16T00:00:00"/>
    <d v="1899-12-30T12:13:29"/>
    <s v=""/>
    <s v="Perdido"/>
    <d v="2026-03-20T00:00:00"/>
    <d v="1899-12-30T16:59:02"/>
    <s v="Preço muito alto - fora do budget de investimento"/>
    <s v=""/>
    <s v=""/>
    <x v="160"/>
    <s v="Paulo Souza"/>
    <x v="173"/>
    <s v=""/>
    <d v="2026-03-20T00:00:00"/>
    <n v="30"/>
    <s v=""/>
    <s v="ERP, PCP"/>
    <s v=""/>
    <s v=""/>
    <n v="1"/>
  </r>
  <r>
    <x v="1"/>
    <n v="741"/>
    <m/>
    <n v="2995"/>
    <s v="(16/01/2026) Entrei em contato com Allan ! segundo ele esta verificando com a diretoria sobre a sequencia no projeto ! informei que nossa proposta está vencida e que preciso de uma decisão urgente para nao  perdemos o valor _x000a_16/01/2026 em contato com Allan ! decidiu por nao dar sequencia nesse momento ! o motivo é por conta do investimento"/>
    <s v=""/>
    <x v="337"/>
    <m/>
    <s v=""/>
    <s v="Allan Kaynã Vargas"/>
    <s v="(49) 99929-0242"/>
    <s v=""/>
    <s v="comercial2@topten.net.br"/>
    <s v=""/>
    <s v=""/>
    <s v=""/>
    <s v="Guarujá do Sul"/>
    <s v=""/>
    <s v="Site"/>
    <s v=""/>
    <s v=""/>
    <s v="30%;Solicita demo"/>
    <s v="Pipeline de Vendas"/>
    <s v="Em negociação (75%)"/>
    <s v=""/>
    <d v="2026-01-31T00:00:00"/>
    <n v="44000"/>
    <n v="110248"/>
    <n v="31"/>
    <s v="Junior Lopes"/>
    <d v="2025-12-16T00:00:00"/>
    <d v="1899-12-30T17:29:27"/>
    <s v=""/>
    <s v="Perdido"/>
    <d v="2026-01-16T00:00:00"/>
    <d v="1899-12-30T15:55:46"/>
    <s v="Não houve aprovação financeira"/>
    <s v="16/01/2026 em contato com Allan ! decidiu por nao dar sequencia nesse momento ! o motivo é por conta do investimento"/>
    <s v=""/>
    <x v="161"/>
    <s v=""/>
    <x v="174"/>
    <s v="19/12/2025"/>
    <d v="2026-01-16T00:00:00"/>
    <m/>
    <s v=""/>
    <s v=""/>
    <s v=""/>
    <s v=""/>
    <n v="1"/>
  </r>
  <r>
    <x v="1"/>
    <n v="742"/>
    <m/>
    <n v="2996"/>
    <s v="(16/01/2026) Entrei em contato com Allan ! segundo ele esta verificando com a diretoria sobre a sequencia no projeto ! informei que nossa proposta está vencida e que preciso de uma decisão urgente para nao  perdemos o valor _x000a_16/01/2026 em contato com Allan ! decidiu por nao dar sequencia nesse momento ! o motivo é por conta do investimento"/>
    <s v=""/>
    <x v="338"/>
    <m/>
    <s v=""/>
    <s v="TopTem - AFV"/>
    <s v="49999290242"/>
    <s v=""/>
    <s v="comercial2@topten.net.br"/>
    <s v=""/>
    <s v=""/>
    <s v=""/>
    <s v=""/>
    <s v=""/>
    <s v=""/>
    <s v=""/>
    <s v=""/>
    <s v="30%"/>
    <s v="Pipeline de Vendas"/>
    <s v="Em negociação (75%)"/>
    <s v=""/>
    <d v="2026-01-31T00:00:00"/>
    <n v="8000"/>
    <n v="186599"/>
    <n v="31"/>
    <s v="Junior Lopes"/>
    <d v="2025-12-16T00:00:00"/>
    <d v="1899-12-30T17:31:43"/>
    <s v=""/>
    <s v="Perdido"/>
    <d v="2026-01-16T00:00:00"/>
    <d v="1899-12-30T15:56:44"/>
    <s v="Não houve aprovação financeira"/>
    <s v="16/01/2026 em contato com Allan ! decidiu por nao dar sequencia nesse momento ! o motivo é por conta do investimento"/>
    <s v=""/>
    <x v="161"/>
    <s v=""/>
    <x v="174"/>
    <s v="19/12/2025"/>
    <d v="2026-01-16T00:00:00"/>
    <m/>
    <s v=""/>
    <s v=""/>
    <s v=""/>
    <s v=""/>
    <n v="1"/>
  </r>
  <r>
    <x v="1"/>
    <n v="746"/>
    <m/>
    <n v="3004"/>
    <s v=""/>
    <s v=""/>
    <x v="339"/>
    <m/>
    <s v=""/>
    <s v="Atacado Sibras 1.99"/>
    <s v="4191190775"/>
    <s v=""/>
    <s v="andrearnpauli@hotmail.com"/>
    <s v=""/>
    <s v=""/>
    <s v=""/>
    <s v=""/>
    <s v=""/>
    <s v="Campanha"/>
    <s v=""/>
    <s v=""/>
    <s v="Fora Perfil;Instagram"/>
    <s v="Pipeline de Vendas"/>
    <s v="Agendamento (0%)"/>
    <s v=""/>
    <m/>
    <m/>
    <m/>
    <n v="135"/>
    <s v="Junior Lopes"/>
    <d v="2025-12-22T00:00:00"/>
    <d v="1899-12-30T08:30:48"/>
    <s v=""/>
    <s v="Perdido"/>
    <d v="2026-05-06T00:00:00"/>
    <d v="1899-12-30T16:31:41"/>
    <s v="Fora do porte mínimo (sem fit estrutural)"/>
    <s v="lojista"/>
    <s v=""/>
    <x v="0"/>
    <s v=""/>
    <x v="0"/>
    <s v=""/>
    <m/>
    <m/>
    <s v=""/>
    <s v=""/>
    <s v=""/>
    <s v=""/>
    <n v="1"/>
  </r>
  <r>
    <x v="1"/>
    <n v="747"/>
    <m/>
    <n v="3003"/>
    <s v=""/>
    <s v=""/>
    <x v="340"/>
    <m/>
    <s v=""/>
    <s v="BJ Engenharia"/>
    <s v="6195770926"/>
    <s v=""/>
    <s v="eduaniceto@engenhariabomjesus.com.br"/>
    <s v=""/>
    <s v=""/>
    <s v=""/>
    <s v=""/>
    <s v=""/>
    <s v="Campanha"/>
    <s v=""/>
    <s v=""/>
    <s v="Fora Perfil;Instagram"/>
    <s v="Pipeline de Vendas"/>
    <s v="Agendamento (0%)"/>
    <s v=""/>
    <m/>
    <m/>
    <m/>
    <n v="138"/>
    <s v="Junior Lopes"/>
    <d v="2025-12-22T00:00:00"/>
    <d v="1899-12-30T08:35:32"/>
    <s v=""/>
    <s v="Perdido"/>
    <d v="2026-05-09T00:00:00"/>
    <d v="1899-12-30T08:04:32"/>
    <s v="Fora do segmento atendido"/>
    <s v=""/>
    <s v=""/>
    <x v="0"/>
    <s v=""/>
    <x v="0"/>
    <s v=""/>
    <m/>
    <m/>
    <s v=""/>
    <s v=""/>
    <s v=""/>
    <s v=""/>
    <n v="1"/>
  </r>
  <r>
    <x v="1"/>
    <n v="748"/>
    <m/>
    <n v="3011"/>
    <s v="Lead entrou em contato no Whatsapp Business do Damián._x000a_(21/01/2026) 09:14, 21/01/2026 Junior Lopes: Olá Dário ! Bom dia , Td bem ?_x000a_09:30, 21/01/2026 Chavetas: Bom dia Júnior, td bem ? Estou a analisar as diversas empresas que tive contato, os prós e contras, porém com calma, para fazer algo que realmente atenda a necessidades._x000a_(21/01/2026) além do material que enviei para Dário , sugeri a ele uma visita comercial para apresentar nossas soluções _x000a_(29/01/2026) Estou alinhando com Dário mais uma rodada de apresentação ! ele esta indeciso em algumas opções concorrentes _x000a_(02/03/2026) em contato com Dário _x000a_Esta em analise com alguns ERPs, porem nada com previsão imediata devido a outras prioridades ! estou descartando e manterei contato via WhatsApp"/>
    <s v=""/>
    <x v="341"/>
    <n v="9260618000165"/>
    <s v=""/>
    <s v="Chavetas Comércio de Peças e Ferramentas Ltda."/>
    <s v="(11) 98183-5003"/>
    <s v=""/>
    <s v="dario@chavetasecia.com.br"/>
    <s v=""/>
    <s v=""/>
    <s v=""/>
    <s v=""/>
    <s v=""/>
    <s v="Campanha"/>
    <s v=""/>
    <s v=""/>
    <s v="30%;Dentro Perfil;Instagram"/>
    <s v="Pipeline de Vendas"/>
    <s v="Apresentar Solução (35%)"/>
    <s v=""/>
    <d v="2026-01-31T00:00:00"/>
    <m/>
    <m/>
    <n v="62"/>
    <s v="Junior Lopes"/>
    <d v="2025-12-30T00:00:00"/>
    <d v="1899-12-30T11:08:44"/>
    <s v=""/>
    <s v="Perdido"/>
    <d v="2026-03-02T00:00:00"/>
    <d v="1899-12-30T11:31:09"/>
    <s v="Não quer mudar a solução atual"/>
    <s v="(02/03/2026) em contato com Dário _x000a_Esta em analise com alguns ERPs, porem nada com previsão imediata devido a outras prioridades ! estou descartando e manterei contato via WhatsApp"/>
    <s v=""/>
    <x v="0"/>
    <s v="Junior Lopes"/>
    <x v="167"/>
    <s v=""/>
    <d v="2026-03-02T00:00:00"/>
    <n v="30"/>
    <s v=""/>
    <s v=""/>
    <s v=""/>
    <s v=""/>
    <n v="1"/>
  </r>
  <r>
    <x v="1"/>
    <n v="749"/>
    <m/>
    <n v="3006"/>
    <s v="(21/01/2026) em contato com Edilson _x000a_pediu para retornar contato no dia 26/01 pois esta bem corrido devido a um feriado na cidade ! ele pediu para enviar material sobre nossas soluções _x000a_(29/01/2026) Cliente esta analisando demais ferramentas ! estamos organizando apresentação do AFV _x000a_(18/02/2026) Edilson declinou por conta do valor acima da expectativa de investimento ! não ofertou contra proposta pq valor estava bem acima do esperado"/>
    <s v=""/>
    <x v="342"/>
    <n v="34667612000154"/>
    <s v=""/>
    <s v="ColorUnhas"/>
    <s v="(44) 9706-9580"/>
    <s v=""/>
    <s v="colorunhas@uol.com.br"/>
    <s v=""/>
    <s v=""/>
    <s v=""/>
    <s v="TELEMACO BORBA"/>
    <s v="PR"/>
    <s v="Campanha"/>
    <s v=""/>
    <s v=""/>
    <s v="30%;Dentro Perfil;Instagram"/>
    <s v="Pipeline de Vendas"/>
    <s v="Apresentar Proposta (50%)"/>
    <s v=""/>
    <d v="2026-02-28T00:00:00"/>
    <n v="1117015"/>
    <n v="468739"/>
    <n v="50"/>
    <s v="Junior Lopes"/>
    <d v="2025-12-30T00:00:00"/>
    <d v="1899-12-30T11:28:58"/>
    <s v=""/>
    <s v="Perdido"/>
    <d v="2026-02-18T00:00:00"/>
    <d v="1899-12-30T08:52:33"/>
    <s v="Não houve aprovação financeira"/>
    <s v="(18/02/2026) Edilson declinou por conta do valor acima da expectativa de investimento ! não ofertou contra proposta pq valor estava bem acima do esperado"/>
    <s v=""/>
    <x v="162"/>
    <s v="Junior Lopes"/>
    <x v="175"/>
    <s v="05/02/2026"/>
    <d v="2026-02-18T00:00:00"/>
    <n v="30"/>
    <s v=""/>
    <s v=""/>
    <s v=""/>
    <s v=""/>
    <n v="1"/>
  </r>
  <r>
    <x v="2"/>
    <n v="750"/>
    <m/>
    <n v="3016"/>
    <s v="Reunião agendada para o dia 23/01 _x000a_17-02 Cliente deu negativa no avanço do projeto,pois o valor ficou fora do que estão planejando _x000a_E receberam uma proposta comercial de 30mil de implantação e 4mil de mensalidade do sistema webmais_x000a_https://webmaissistemas.com.br/"/>
    <s v=""/>
    <x v="343"/>
    <n v="1574467000108"/>
    <s v=""/>
    <s v="Doce festa"/>
    <s v="17981152060"/>
    <s v=""/>
    <s v="paulopedroso@produtosdocefesta.com.br"/>
    <s v=""/>
    <s v=""/>
    <s v=""/>
    <s v=""/>
    <s v=""/>
    <s v="Campanha"/>
    <s v=""/>
    <s v=""/>
    <s v="50%;Dentro Perfil;Instagram"/>
    <s v="Pipeline de Vendas"/>
    <s v="Em negociação (75%)"/>
    <s v=""/>
    <d v="2026-03-31T00:00:00"/>
    <n v="12996348"/>
    <n v="860884"/>
    <n v="43"/>
    <s v="Rayssa Karapeticov"/>
    <d v="2026-01-05T00:00:00"/>
    <d v="1899-12-30T11:50:01"/>
    <s v=""/>
    <s v="Perdido"/>
    <d v="2026-02-17T00:00:00"/>
    <d v="1899-12-30T16:19:52"/>
    <s v="Preço muito alto - fora do budget de investimento"/>
    <s v=""/>
    <s v=""/>
    <x v="0"/>
    <s v="Rayssa Karapeticov"/>
    <x v="167"/>
    <s v="05/02/2026"/>
    <d v="2026-02-05T00:00:00"/>
    <n v="50"/>
    <s v=""/>
    <s v=""/>
    <s v=""/>
    <s v=""/>
    <n v="1"/>
  </r>
  <r>
    <x v="2"/>
    <n v="754"/>
    <m/>
    <n v="3017"/>
    <s v="Proposta feita,aguardando agenda do cliente para apresentar_x000a_Oi, Rayssa, tudo bem?_x000a_Estamos em processo de mudança de local e, por isso, essa semana está bem corrida por aqui. Acabei ficando sem tempo para conseguir conversar com calma agora."/>
    <s v="Irriga House Irrigacao Comercial Agricola Ltda"/>
    <x v="344"/>
    <n v="61516270000144"/>
    <s v=""/>
    <s v="Irriga house"/>
    <s v="11973112176"/>
    <s v=""/>
    <s v="vendas@irrigahouse.com.br"/>
    <s v=""/>
    <s v=""/>
    <s v=""/>
    <s v="JUNDIAI"/>
    <s v="SP"/>
    <s v="Campanha"/>
    <s v=""/>
    <s v=""/>
    <s v="30%;Dentro Perfil;Instagram"/>
    <s v="Pipeline de Vendas"/>
    <s v="Apresentar Proposta (50%)"/>
    <s v=""/>
    <d v="2026-04-30T00:00:00"/>
    <m/>
    <m/>
    <n v="13"/>
    <s v="Rayssa Karapeticov"/>
    <d v="2026-01-07T00:00:00"/>
    <d v="1899-12-30T10:16:04"/>
    <s v=""/>
    <s v="Perdido"/>
    <d v="2026-01-20T00:00:00"/>
    <d v="1899-12-30T17:15:42"/>
    <s v="Não quer mudar a solução atual"/>
    <s v=""/>
    <s v=""/>
    <x v="163"/>
    <s v="Rayssa Karapeticov"/>
    <x v="176"/>
    <s v=""/>
    <d v="2026-01-19T00:00:00"/>
    <m/>
    <s v=""/>
    <s v=""/>
    <s v=""/>
    <s v=""/>
    <n v="1"/>
  </r>
  <r>
    <x v="0"/>
    <n v="757"/>
    <m/>
    <n v="3046"/>
    <s v="Hoje (12/01/26) cobrei o Allan se ele tem interesse nas soluções da Guarani Sim ou Não. Por ele não atende minhas ligações. (13/01 - Chamei e liguei para o Allan, sem retorno._x000a_12/01 Fiz FUP, com Allan, fechou com uma empresa de menor e falou que se não se adaptar volta a fazer contato."/>
    <s v=""/>
    <x v="345"/>
    <m/>
    <s v=""/>
    <s v="Allan"/>
    <s v="12982018157"/>
    <s v=""/>
    <s v="e.mazala@hotmail.com"/>
    <s v=""/>
    <s v=""/>
    <s v=""/>
    <s v=""/>
    <s v=""/>
    <s v="Campanha"/>
    <s v=""/>
    <s v=""/>
    <s v="30%;Dentro Perfil;Instagram"/>
    <s v="Pipeline de Vendas"/>
    <s v="Qualificação de Vendas (SQL) (25%)"/>
    <s v=""/>
    <d v="2026-01-12T00:00:00"/>
    <m/>
    <m/>
    <n v="15"/>
    <s v="Paulo Souza"/>
    <d v="2026-01-08T00:00:00"/>
    <d v="1899-12-30T15:56:57"/>
    <s v=""/>
    <s v="Perdido"/>
    <d v="2026-01-23T00:00:00"/>
    <d v="1899-12-30T17:53:36"/>
    <s v="Fechou com o concorrente - preço"/>
    <s v="optou por uma empresa menor neste momento."/>
    <s v=""/>
    <x v="0"/>
    <s v="Paulo Souza"/>
    <x v="0"/>
    <s v=""/>
    <d v="2026-01-12T00:00:00"/>
    <m/>
    <s v=""/>
    <s v=""/>
    <s v=""/>
    <s v=""/>
    <n v="1"/>
  </r>
  <r>
    <x v="0"/>
    <n v="758"/>
    <m/>
    <n v="3048"/>
    <s v="Liberado em degustação por 7 dias e depois efetivar vendas ._x000a_Liberado a degustação em 12/01._x000a_19/01: Cobrei o Mario pra saber se esta tudo ok. E se iremos seguir ou não com a contratação._x000a_23/01 - Em conversa com o Mario, o suporte ainda esta configurando e após vai treinar e assim vou conseguir contabilizar os 7 dias de degustação e fechar o negocio._x000a_26/02 Não avançou."/>
    <s v=""/>
    <x v="346"/>
    <m/>
    <s v=""/>
    <s v="Mario"/>
    <s v="11982243773"/>
    <s v=""/>
    <s v="vendas1.jpdistribuidora@gmail.com"/>
    <s v=""/>
    <s v=""/>
    <s v=""/>
    <s v=""/>
    <s v=""/>
    <s v=""/>
    <s v=""/>
    <s v=""/>
    <s v="50%"/>
    <s v="Pipeline de Vendas"/>
    <s v="Em negociação (75%)"/>
    <s v=""/>
    <d v="2026-02-26T00:00:00"/>
    <n v="0"/>
    <n v="66"/>
    <n v="49"/>
    <s v="Paulo Souza"/>
    <d v="2026-01-08T00:00:00"/>
    <d v="1899-12-30T16:54:28"/>
    <s v=""/>
    <s v="Perdido"/>
    <d v="2026-02-26T00:00:00"/>
    <d v="1899-12-30T22:15:54"/>
    <s v="Não houve aprovação financeira"/>
    <s v=""/>
    <s v=""/>
    <x v="164"/>
    <s v="Paulo Souza"/>
    <x v="177"/>
    <s v=""/>
    <d v="2026-02-26T00:00:00"/>
    <n v="50"/>
    <s v="2"/>
    <s v="ADICIONAIS"/>
    <s v="R$ 0"/>
    <s v="R$ 66"/>
    <n v="1"/>
  </r>
  <r>
    <x v="0"/>
    <n v="759"/>
    <m/>
    <n v="3049"/>
    <s v="Fechado."/>
    <s v=""/>
    <x v="347"/>
    <n v="10345472000130"/>
    <s v=""/>
    <s v="Walter"/>
    <s v="19983040748"/>
    <s v=""/>
    <s v="walter@akitembembarato.com"/>
    <s v=""/>
    <s v=""/>
    <s v=""/>
    <s v=""/>
    <s v=""/>
    <s v=""/>
    <s v=""/>
    <s v=""/>
    <s v="90%"/>
    <s v="Pipeline de Vendas"/>
    <s v="Em Fechamento (100%)"/>
    <s v=""/>
    <d v="2026-01-31T00:00:00"/>
    <n v="1505387"/>
    <n v="27562"/>
    <n v="4"/>
    <s v="Paulo Souza"/>
    <d v="2026-01-08T00:00:00"/>
    <d v="1899-12-30T17:14:43"/>
    <s v=""/>
    <s v="Ganho"/>
    <d v="2026-01-12T00:00:00"/>
    <d v="1899-12-30T14:36:45"/>
    <s v=""/>
    <s v=""/>
    <s v=""/>
    <x v="164"/>
    <s v="Paulo Souza"/>
    <x v="177"/>
    <s v=""/>
    <m/>
    <m/>
    <s v=""/>
    <s v=""/>
    <s v=""/>
    <s v=""/>
    <n v="1"/>
  </r>
  <r>
    <x v="0"/>
    <n v="760"/>
    <m/>
    <n v="3050"/>
    <s v="Falei com o Robson hoje , questionando sobre a proposta e se tem alguma dúvida._x000a_23/01 - Fiz FUPs hoje com o Robson :_x000a_R: Bom dia Paulo, fiz umas considerações na proposta e farei uma reunia com os diretores para apresentação, na sequência quero marcar uma reunião com vocês para conversarmos._x000a_Eu espero te posicionar na próxima terça-feira._x000a_26/02 Alinhar com o Fernando a sequência dos itens que será abordados. E qual item já foi entregue e horas consumidas!_x000a_12/03 O projeto já iniciou e o combinado é que vai cobrar conforme entrega de etapas._x000a_12/03 O projeto já iniciou e o combinado é que vai cobrar conforme entrega de etapas._x000a_20/03 Após alinhamento foi criado pela implantação 10 etapas no projeto, para o acompanhamento e posterior fechamento de horas."/>
    <s v=""/>
    <x v="348"/>
    <n v="3204281000192"/>
    <s v=""/>
    <s v="Robson"/>
    <s v="(11) 4677-6249/ (11) 4677-6250"/>
    <s v=""/>
    <s v="contato@aluminionacional.com.br"/>
    <s v=""/>
    <s v=""/>
    <s v=""/>
    <s v="FERRAZ DE VASCONCELOS"/>
    <s v="SP"/>
    <s v=""/>
    <s v=""/>
    <s v=""/>
    <s v="90%"/>
    <s v="Pipeline de Vendas"/>
    <s v="Em Fechamento (100%)"/>
    <s v=""/>
    <d v="2026-03-31T00:00:00"/>
    <n v="58000"/>
    <n v="0"/>
    <n v="132"/>
    <s v="Paulo Souza"/>
    <d v="2026-01-08T00:00:00"/>
    <d v="1899-12-30T17:22:05"/>
    <s v=""/>
    <s v="Ativo"/>
    <m/>
    <m/>
    <s v=""/>
    <s v=""/>
    <s v=""/>
    <x v="165"/>
    <s v="Paulo Souza"/>
    <x v="178"/>
    <s v=""/>
    <d v="2026-03-20T00:00:00"/>
    <n v="90"/>
    <s v="290"/>
    <s v="TREINAMENTO"/>
    <s v="R$ 58.000,00"/>
    <s v="R$ 0"/>
    <n v="1"/>
  </r>
  <r>
    <x v="0"/>
    <n v="761"/>
    <m/>
    <n v="3053"/>
    <s v="Falei com a Enila e cobrei uma posição se vamos avançar ou não com o projeto. Ela ficou de conversar com o Glayson e me dar um retorno até 12/01/2026."/>
    <s v=""/>
    <x v="349"/>
    <n v="12585697000199"/>
    <s v=""/>
    <s v="Enila"/>
    <s v="(16) 3412-8794"/>
    <s v=""/>
    <s v="operacao@pcp.eng.br"/>
    <s v=""/>
    <s v=""/>
    <s v=""/>
    <s v="SAO CARLOS"/>
    <s v="SP"/>
    <s v=""/>
    <s v=""/>
    <s v=""/>
    <s v=""/>
    <s v="Pipeline de Vendas"/>
    <s v="Em negociação (75%)"/>
    <s v=""/>
    <d v="2026-01-31T00:00:00"/>
    <n v="8100"/>
    <n v="1080"/>
    <n v="4"/>
    <s v="Paulo Souza"/>
    <d v="2026-01-08T00:00:00"/>
    <d v="1899-12-30T17:28:40"/>
    <s v=""/>
    <s v="Perdido"/>
    <d v="2026-01-12T00:00:00"/>
    <d v="1899-12-30T14:31:42"/>
    <s v="Não quer mudar a solução atual"/>
    <s v=""/>
    <s v=""/>
    <x v="164"/>
    <s v="Paulo Souza"/>
    <x v="177"/>
    <s v=""/>
    <d v="2026-01-09T00:00:00"/>
    <m/>
    <s v=""/>
    <s v=""/>
    <s v=""/>
    <s v=""/>
    <n v="1"/>
  </r>
  <r>
    <x v="0"/>
    <n v="762"/>
    <m/>
    <n v="3040"/>
    <s v="Falei com o Ivan hoje que não me deu atenção avisou que estava no transito e não podia atender. Falou para chamar ele no zap e combinar um horário semana que vem. 13/01 - Retomei contato com o IVan e não obtive retorno._x000a_23/01 declinei a proposta por falta de interesse por parte do cliente, não me atendeu e nem respondeu meus contatos."/>
    <s v=""/>
    <x v="350"/>
    <m/>
    <s v=""/>
    <s v="Ivan"/>
    <s v="11930305063"/>
    <s v=""/>
    <s v="liraivan2000@yahoo.com.br"/>
    <s v=""/>
    <s v=""/>
    <s v=""/>
    <s v=""/>
    <s v=""/>
    <s v="Campanha"/>
    <s v=""/>
    <s v=""/>
    <s v="30%;Fora Perfil;Instagram"/>
    <s v="Pipeline de Vendas"/>
    <s v="Qualificação de Vendas (SQL) (25%)"/>
    <s v=""/>
    <d v="2026-01-23T00:00:00"/>
    <m/>
    <m/>
    <n v="15"/>
    <s v="Paulo Souza"/>
    <d v="2026-01-08T00:00:00"/>
    <d v="1899-12-30T17:34:33"/>
    <s v=""/>
    <s v="Perdido"/>
    <d v="2026-01-23T00:00:00"/>
    <d v="1899-12-30T17:56:12"/>
    <s v="Fora do porte mínimo (sem fit estrutural)"/>
    <s v=""/>
    <s v=""/>
    <x v="0"/>
    <s v="Paulo Souza"/>
    <x v="0"/>
    <s v=""/>
    <d v="2026-01-23T00:00:00"/>
    <m/>
    <s v=""/>
    <s v=""/>
    <s v=""/>
    <s v=""/>
    <n v="1"/>
  </r>
  <r>
    <x v="1"/>
    <n v="763"/>
    <m/>
    <n v="3058"/>
    <s v="(12/01/2026) Em contato com Bruno realizamos uma apresentação do força de vendas em 12/01/2026 e falamos um pouco sobre nosso ERP ! logo pediu uma ideia de investimento para seguir _x000a_(29/01/2026) Após envio de proposta cliente não respondeu mais"/>
    <s v=""/>
    <x v="351"/>
    <n v="55042933000133"/>
    <s v=""/>
    <s v="Folha Dourada Tabacos Ltda"/>
    <s v="(32) 8408-3586"/>
    <s v=""/>
    <s v="atacabaco@gmail.com"/>
    <s v=""/>
    <s v=""/>
    <s v=""/>
    <s v="JUIZ DE FORA"/>
    <s v="MG"/>
    <s v="Campanha"/>
    <s v=""/>
    <s v=""/>
    <s v="30%;Dentro Perfil;Instagram"/>
    <s v="Pipeline de Vendas"/>
    <s v="Apresentar Solução (35%)"/>
    <s v=""/>
    <d v="2026-01-31T00:00:00"/>
    <n v="61904"/>
    <n v="13156"/>
    <n v="20"/>
    <s v="Junior Lopes"/>
    <d v="2026-01-09T00:00:00"/>
    <d v="1899-12-30T11:15:37"/>
    <s v=""/>
    <s v="Perdido"/>
    <d v="2026-01-29T00:00:00"/>
    <d v="1899-12-30T14:30:59"/>
    <s v="Projeto adiado / sem prazo definido"/>
    <s v="(29/01/2026) Após envio de proposta cliente não respondeu mais"/>
    <s v=""/>
    <x v="166"/>
    <s v=""/>
    <x v="179"/>
    <s v=""/>
    <d v="2026-01-29T00:00:00"/>
    <m/>
    <s v=""/>
    <s v=""/>
    <s v=""/>
    <s v=""/>
    <n v="1"/>
  </r>
  <r>
    <x v="2"/>
    <n v="764"/>
    <m/>
    <n v="3007"/>
    <s v="Realizamos a apresentação do ERP junto com o  Max seguindo o documento deles de chekilist d aderencia do software, tiraram duvidas dos processos e seguiemos para uma segunda apresentação do AFV e Do BI_x000a_26/01 Video do AFV encaminhado ao cliente, _x000a_Precisamos de mais uma agenda para demonstração das demais soluções_x000a_26.01 - aguardando Fernando passar horas do projeto_x000a_05.02 estou tentando falar com o cliente a algum tempo,fizemos uma reunião para discutir pontos sobre o ERP. E após isso cliente pediu uma proposta comercial, porém para seguir eu precisava levantar alguns dados que não me foram enviados e depois de várias tentativas cliente não me respondeu_x000a_Após nossa reunião sobre o ERP, preparei os pontos necessários para avançarmos com a proposta comercial. No entanto, não recebi os dados solicitados para dar continuidade e, sem eles, não conseguimos evoluir._x000a_Gostaria de reforçar que esta solução representa uma oportunidade única de crescimento e ganho de eficiência para sua empresa. Cada semana de Como não tive nenhum retorno, entendo que não há interesse em seguir neste momento e encerrarei o processo. Ainda assim, permanecerei à disposição para retomar quando considerar oportuno._x000a_Atenciosamente,"/>
    <s v=""/>
    <x v="352"/>
    <n v="51776465000170"/>
    <s v=""/>
    <s v="CLS Química"/>
    <s v="16996298460"/>
    <s v=""/>
    <s v="keila.graciele@clsquimica.com.br"/>
    <s v=""/>
    <s v=""/>
    <s v=""/>
    <s v=""/>
    <s v=""/>
    <s v="Campanha"/>
    <s v=""/>
    <s v=""/>
    <s v="30%;Dentro Perfil;Instagram"/>
    <s v="Pipeline de Vendas"/>
    <s v="Apresentar Proposta (50%)"/>
    <s v=""/>
    <d v="2026-03-31T00:00:00"/>
    <m/>
    <m/>
    <n v="120"/>
    <s v="Rayssa Karapeticov"/>
    <d v="2026-01-09T00:00:00"/>
    <d v="1899-12-30T11:44:25"/>
    <s v=""/>
    <s v="Perdido"/>
    <d v="2026-05-09T00:00:00"/>
    <d v="1899-12-30T08:32:37"/>
    <s v="Não quer mudar a solução atual"/>
    <s v=""/>
    <s v=""/>
    <x v="0"/>
    <s v="Rayssa Karapeticov"/>
    <x v="180"/>
    <s v=""/>
    <d v="2026-01-28T00:00:00"/>
    <m/>
    <s v=""/>
    <s v=""/>
    <s v=""/>
    <s v=""/>
    <n v="1"/>
  </r>
  <r>
    <x v="0"/>
    <n v="766"/>
    <m/>
    <n v="3063"/>
    <s v="Tiago, retorna apena no dia 15/01, data que retomo o contato com ele._x000a_23/01 - Fechamos negocio."/>
    <s v=""/>
    <x v="353"/>
    <m/>
    <s v=""/>
    <s v="Tiago"/>
    <s v="11971597112"/>
    <s v=""/>
    <s v="null"/>
    <s v=""/>
    <s v=""/>
    <s v=""/>
    <s v=""/>
    <s v=""/>
    <s v=""/>
    <s v=""/>
    <s v=""/>
    <s v="90%;Fabio Indica"/>
    <s v="Pipeline de Vendas"/>
    <s v="Em Fechamento (100%)"/>
    <s v=""/>
    <d v="2026-01-15T00:00:00"/>
    <n v="56100"/>
    <n v="67334"/>
    <n v="14"/>
    <s v="Paulo Souza"/>
    <d v="2026-01-09T00:00:00"/>
    <d v="1899-12-30T15:28:21"/>
    <s v=""/>
    <s v="Ganho"/>
    <d v="2026-01-23T00:00:00"/>
    <d v="1899-12-30T11:05:59"/>
    <s v=""/>
    <s v=""/>
    <s v=""/>
    <x v="164"/>
    <s v="Paulo Souza"/>
    <x v="181"/>
    <s v=""/>
    <d v="2026-01-15T00:00:00"/>
    <m/>
    <s v=""/>
    <s v=""/>
    <s v=""/>
    <s v=""/>
    <n v="1"/>
  </r>
  <r>
    <x v="0"/>
    <n v="767"/>
    <m/>
    <n v="3064"/>
    <s v="Cobrei o André hoje aguardando o retorno sobre a evolução do projeto._x000a_19/01 Fiz FUP com o Andre ele me posicionou que o presidente esta afastado por motivos de saúde e que como ele que decide, só na volta dele para avança. A previsão e que ele retorne na semana do dia 26/1._x000a_07/02 Fiz fup hoje com o André e aguardo a posição dele se a diretoria retornou e se vamos seguir ou não com o projeto._x000a_27/02 Por falta de retorno por parte do cliente, estou declinando a proposta."/>
    <s v=""/>
    <x v="354"/>
    <m/>
    <s v=""/>
    <s v="Andre"/>
    <s v="11982745856"/>
    <s v=""/>
    <s v="andrefelipone@olealimentos.com.br"/>
    <s v=""/>
    <s v=""/>
    <s v=""/>
    <s v=""/>
    <s v=""/>
    <s v=""/>
    <s v=""/>
    <s v=""/>
    <s v="30%;Fabio Indica"/>
    <s v="Pipeline de Vendas"/>
    <s v="Em negociação (75%)"/>
    <s v=""/>
    <d v="2026-01-31T00:00:00"/>
    <n v="16000"/>
    <n v="18330"/>
    <n v="49"/>
    <s v="Paulo Souza"/>
    <d v="2026-01-09T00:00:00"/>
    <d v="1899-12-30T15:38:45"/>
    <s v=""/>
    <s v="Perdido"/>
    <d v="2026-02-27T00:00:00"/>
    <d v="1899-12-30T21:22:05"/>
    <s v="Preço muito alto - fora do budget de investimento"/>
    <s v=""/>
    <s v=""/>
    <x v="167"/>
    <s v="Paulo Souza"/>
    <x v="178"/>
    <s v=""/>
    <d v="2026-01-19T00:00:00"/>
    <n v="30"/>
    <s v="80"/>
    <s v="AFV"/>
    <s v="R$ 16.000"/>
    <s v="R$ 18.330"/>
    <n v="1"/>
  </r>
  <r>
    <x v="2"/>
    <n v="768"/>
    <m/>
    <n v="2107"/>
    <s v="11:25, 1/13/2026 +55 47 8834-5510: Bom dia Rayssa. Tudo bem?_x000a_11:25, 1/13/2026 +55 47 8834-5510: Aguarde um pouco antes de continuar a RFP._x000a_11:25, 1/13/2026 Rayssa Karapeticov - Comercial - Guarani Sistemas: Tudo otimo e  você?_x000a_Blzinha_x000a_11:28, 1/13/2026 +55 47 8834-5510: Existem alguns itens que observei e conversei com as áreas envolvidas, e que são difícil de negociar, comparado com outros fabricantes que já estão também participando._x000a_11:29, 1/13/2026 +55 47 8834-5510: Vamos deixar nesse momento suspenso o processo de RFP com vcs, e caso ocorra alguma mudança muito grande com aqueles que estão participando, eu aviso a necessidade de retomar ok?_x000a_11:29, 1/13/2026 +55 47 8834-5510: Agradeço demais seu tempo até aqui, e é realmente para evitar um trabalho maior agora, que tz não seja possível avançar depois._x000a_11:30, 1/13/2026 +55 47 8834-5510: 🙏🏻🙏🏻🙏🏻🙏🏻_x000a_11:30, 1/13/2026 Rayssa Karapeticov - Comercial - Guarani Sistemas: Entendo perfeitamente, para resgistro de feedback, quais são esses pontos?_x000a_11:32, 1/13/2026 +55 47 8834-5510: Em especial itens de tecnologia, e alguns pontos das áreas de negócio já preenchidas. _x000a_Fiz um bate papo com a equipe para olharmos oq já foi preenchido, e relacionamos com os demais fabricantes que estão participando._x000a_11:33, 1/13/2026 Rayssa Karapeticov - Comercial - Guarani Sistemas: Certo, fico a disposição aqui caso queira continuar. _x000a_Qualquer duvida também pode me chamar_x000a_11:33, 1/13/2026 +55 47 8834-5510: Como o objetivo é seguir a prox fase com no máx 3 fabricantes, outros fabricantes já se enquadraram melhor no que estamos buscando._x000a_11:33, 1/13/2026 +55 47 8834-5510: Mas se algo mudar durante o processo, eu aviso. Muito obrigadoooo!!!_x000a_11:34, 1/13/2026 Rayssa Karapeticov - Comercial - Guarani Sistemas: Combinado"/>
    <s v="Maral Industria E Comercio De Brinquedos Ltda"/>
    <x v="355"/>
    <n v="10469551000152"/>
    <s v=""/>
    <s v="Carlos Alberto Kuehl"/>
    <s v="(47) 3387-5400/ (47) 3394-0982"/>
    <s v=""/>
    <s v="contato@maral.ind.br"/>
    <s v=""/>
    <s v=""/>
    <s v=""/>
    <s v="POMERODE"/>
    <s v="SC"/>
    <s v="Base de empresas Leads2b"/>
    <s v=""/>
    <s v=""/>
    <s v="30%;Dentro Perfil;Feiras"/>
    <s v="Pipeline de Vendas"/>
    <s v="Qualificação de Vendas (SQL) (25%)"/>
    <s v=""/>
    <d v="2026-04-30T00:00:00"/>
    <m/>
    <m/>
    <n v="11"/>
    <s v="Rayssa Karapeticov"/>
    <d v="2026-01-09T00:00:00"/>
    <d v="1899-12-30T16:53:32"/>
    <s v=""/>
    <s v="Perdido"/>
    <d v="2026-01-20T00:00:00"/>
    <d v="1899-12-30T17:10:21"/>
    <s v="Fechou com o concorrente - preço"/>
    <s v=""/>
    <s v=""/>
    <x v="0"/>
    <s v=""/>
    <x v="0"/>
    <s v=""/>
    <d v="2026-01-13T00:00:00"/>
    <m/>
    <s v=""/>
    <s v=""/>
    <s v=""/>
    <s v=""/>
    <n v="1"/>
  </r>
  <r>
    <x v="0"/>
    <n v="769"/>
    <m/>
    <n v="2997"/>
    <s v="Falei com o Kleber hoje novamente e estou aguardando ele me dar um retorno sobre agenda. 13/01 - Fiz contato com o Kleber para saber se tem interesse ou não em seguir,"/>
    <s v=""/>
    <x v="356"/>
    <m/>
    <s v=""/>
    <s v="Kleber"/>
    <s v="11991898161"/>
    <s v=""/>
    <s v="kleber.ppbh@gmail.com"/>
    <s v=""/>
    <s v=""/>
    <s v=""/>
    <s v=""/>
    <s v=""/>
    <s v="Campanha"/>
    <s v=""/>
    <s v=""/>
    <s v="30%;Dentro Perfil;Instagram"/>
    <s v="Pipeline de Vendas"/>
    <s v="Qualificação de Vendas (SQL) (25%)"/>
    <s v=""/>
    <d v="2026-01-31T00:00:00"/>
    <m/>
    <m/>
    <n v="1"/>
    <s v="Paulo Souza"/>
    <d v="2026-01-12T00:00:00"/>
    <d v="1899-12-30T17:30:01"/>
    <s v=""/>
    <s v="Perdido"/>
    <d v="2026-01-13T00:00:00"/>
    <d v="1899-12-30T17:30:51"/>
    <s v="Não quer mudar a solução atual"/>
    <s v=""/>
    <s v=""/>
    <x v="0"/>
    <s v="Paulo Souza"/>
    <x v="0"/>
    <s v=""/>
    <m/>
    <m/>
    <s v=""/>
    <s v=""/>
    <s v=""/>
    <s v=""/>
    <n v="1"/>
  </r>
  <r>
    <x v="0"/>
    <n v="770"/>
    <m/>
    <n v="3005"/>
    <s v="Falei Com Omar hoje 12/01 e ele falou que retorna de viagem dia 15/01 e é para procurá-lo._x000a_23/01 Fiz FUP hoje como o Omar, para avançar com uma agenda na quinta ou sexta da semana do dia 26/01. Aguardando o retorno do cleinte._x000a_09/02/26 Fiz fup e ele acabou fechando com um sistema pequeno."/>
    <s v=""/>
    <x v="357"/>
    <n v="18190972000151"/>
    <s v=""/>
    <s v="Zini home"/>
    <s v="12997937887"/>
    <s v=""/>
    <s v="omar@zinihome.com.br"/>
    <s v=""/>
    <s v=""/>
    <s v=""/>
    <s v=""/>
    <s v=""/>
    <s v="Campanha"/>
    <s v=""/>
    <s v=""/>
    <s v="30%;Dentro Perfil;Instagram"/>
    <s v="Pipeline de Vendas"/>
    <s v="Qualificação de Vendas (SQL) (25%)"/>
    <s v=""/>
    <d v="2026-01-31T00:00:00"/>
    <m/>
    <m/>
    <n v="38"/>
    <s v="Paulo Souza"/>
    <d v="2026-01-12T00:00:00"/>
    <d v="1899-12-30T17:33:46"/>
    <s v=""/>
    <s v="Perdido"/>
    <d v="2026-02-19T00:00:00"/>
    <d v="1899-12-30T17:50:16"/>
    <s v="Fechou com o concorrente - preço"/>
    <s v=""/>
    <s v=""/>
    <x v="0"/>
    <s v="Paulo Souza"/>
    <x v="0"/>
    <s v=""/>
    <d v="2026-01-23T00:00:00"/>
    <n v="30"/>
    <s v=""/>
    <s v=""/>
    <s v=""/>
    <s v=""/>
    <n v="1"/>
  </r>
  <r>
    <x v="0"/>
    <n v="771"/>
    <m/>
    <n v="3001"/>
    <s v="Fernando , esta de féria e só vamos conseguir realizar o bate-papo após o seu retorno. O previsto é no dia 16/01/2026._x000a_23/01 Fiz FUP hoje com o Fernando para agendar uma reunião na semana que vem , na quarta ou quinta._x000a_05/02 Fiz FUP hoje com o Fernando, e ele cancelou a nossa reunião das 10h. Fiz uma nova agenda para o dia 11/02 às 15h!_x000a_12/03  Fiz FUP com o Fernando afim de saber se ele vai querer continuar ou nao._x000a_12/03 Por falta de interesse estou declinando o lead. Após apresentar a solução o cliente esfriou e sumiu não dando retorno._x000a_20/03 Fiz FUP e cobrei o Fernando se seguiremos ou não com o projeto."/>
    <s v=""/>
    <x v="358"/>
    <m/>
    <s v=""/>
    <s v="Russa Diatribuidora"/>
    <s v="11991303160"/>
    <s v=""/>
    <s v="fernando@russadistribuidora.com.br"/>
    <s v=""/>
    <s v=""/>
    <s v=""/>
    <s v=""/>
    <s v=""/>
    <s v="Campanha"/>
    <s v=""/>
    <s v=""/>
    <s v="30%;Dentro Perfil;Instagram"/>
    <s v="Pipeline de Vendas"/>
    <s v="Em negociação (75%)"/>
    <s v=""/>
    <d v="2026-03-31T00:00:00"/>
    <n v="6840289"/>
    <n v="44907"/>
    <n v="126"/>
    <s v="Paulo Souza"/>
    <d v="2026-01-12T00:00:00"/>
    <d v="1899-12-30T17:38:29"/>
    <s v=""/>
    <s v="Perdido"/>
    <d v="2026-05-18T00:00:00"/>
    <d v="1899-12-30T16:52:10"/>
    <s v="Não era o decisor - sem acesso"/>
    <s v=""/>
    <s v=""/>
    <x v="168"/>
    <s v="Paulo Souza"/>
    <x v="182"/>
    <s v=""/>
    <d v="2026-04-20T00:00:00"/>
    <n v="30"/>
    <s v=""/>
    <s v="ERP, AFV"/>
    <s v=""/>
    <s v=""/>
    <n v="1"/>
  </r>
  <r>
    <x v="0"/>
    <n v="772"/>
    <m/>
    <n v="3008"/>
    <s v="Após conversa com Everaldo ele informou que el loja de varejo e não vamos atender varejo em 2026"/>
    <s v=""/>
    <x v="359"/>
    <m/>
    <s v=""/>
    <s v="Everaldo"/>
    <s v="(21) 96439-0742"/>
    <s v=""/>
    <s v="e.leonardojr@hotmail.com"/>
    <s v=""/>
    <s v=""/>
    <s v=""/>
    <s v="Rio de Janeiro"/>
    <s v=""/>
    <s v="Site"/>
    <s v=""/>
    <s v=""/>
    <s v="30%"/>
    <s v="Pipeline de Vendas"/>
    <s v="Qualificação de Vendas (SQL) (25%)"/>
    <s v=""/>
    <d v="2026-01-31T00:00:00"/>
    <m/>
    <m/>
    <n v="0"/>
    <s v="Paulo Souza"/>
    <d v="2026-01-12T00:00:00"/>
    <d v="1899-12-30T17:43:14"/>
    <s v=""/>
    <s v="Perdido"/>
    <d v="2026-01-12T00:00:00"/>
    <d v="1899-12-30T22:28:23"/>
    <s v="Fora do porte mínimo (sem fit estrutural)"/>
    <s v=""/>
    <s v=""/>
    <x v="0"/>
    <s v="Paulo Souza"/>
    <x v="0"/>
    <s v=""/>
    <m/>
    <m/>
    <s v=""/>
    <s v=""/>
    <s v=""/>
    <s v=""/>
    <n v="1"/>
  </r>
  <r>
    <x v="0"/>
    <n v="773"/>
    <m/>
    <n v="3000"/>
    <s v="Falei com o Joao hoje 12/01 e combinamos de conversa na segunda dia 15/01._x000a_23/01 Fiz FUP hoje com o João para agendar uma apresentação na próxima semana."/>
    <s v=""/>
    <x v="360"/>
    <m/>
    <s v=""/>
    <s v="João"/>
    <s v="(17) 98126-9337"/>
    <s v=""/>
    <s v="joao@stokfrios.com.br"/>
    <s v=""/>
    <s v=""/>
    <s v=""/>
    <s v="São José do Rio Preto"/>
    <s v=""/>
    <s v="Site"/>
    <s v=""/>
    <s v=""/>
    <s v="30%;Contato;Solicita demo"/>
    <s v="Inbound"/>
    <s v="Novos Leads (0%)"/>
    <s v=""/>
    <d v="2026-01-31T00:00:00"/>
    <m/>
    <m/>
    <n v="128"/>
    <s v="Paulo Souza"/>
    <d v="2026-01-12T00:00:00"/>
    <d v="1899-12-30T17:46:12"/>
    <s v=""/>
    <s v="Ativo"/>
    <m/>
    <m/>
    <s v=""/>
    <s v=""/>
    <s v=""/>
    <x v="0"/>
    <s v="Paulo Souza"/>
    <x v="0"/>
    <s v=""/>
    <d v="2026-01-23T00:00:00"/>
    <n v="30"/>
    <s v=""/>
    <s v=""/>
    <s v=""/>
    <s v=""/>
    <n v="1"/>
  </r>
  <r>
    <x v="1"/>
    <n v="774"/>
    <m/>
    <n v="3067"/>
    <s v="(14/01/2026)Em contato com Marcelo para entender mais sobre sua empresa e necessidades _x000a_(20/01/2026) em contato com André, sua confecção é de camisetas, uniformes, bonés ! existem algumas particularidades que necessitam no software como grades de cores e tamanhos e algumas particularidades para confecção ! atende cliente final B2C ! cliente de operação pequena que não esta na hora de embarcar com Guarani devido ao valor de investimento"/>
    <s v=""/>
    <x v="361"/>
    <m/>
    <s v=""/>
    <s v="Atacado Delfino"/>
    <s v="51986006121"/>
    <s v=""/>
    <s v="dhcamisetas@terra.com.br"/>
    <s v=""/>
    <s v=""/>
    <s v=""/>
    <s v=""/>
    <s v=""/>
    <s v="Campanha"/>
    <s v=""/>
    <s v=""/>
    <s v="30%;Fora Perfil;Instagram"/>
    <s v="Pipeline de Vendas"/>
    <s v="Qualificação de Vendas (SQL) (25%)"/>
    <s v=""/>
    <d v="2026-01-31T00:00:00"/>
    <m/>
    <m/>
    <n v="26"/>
    <s v="Paulo Souza"/>
    <d v="2026-01-12T00:00:00"/>
    <d v="1899-12-30T21:53:02"/>
    <s v=""/>
    <s v="Perdido"/>
    <d v="2026-02-07T00:00:00"/>
    <d v="1899-12-30T07:42:39"/>
    <s v="Fora do porte mínimo (sem fit estrutural)"/>
    <s v=""/>
    <s v=""/>
    <x v="0"/>
    <s v="Junior Lopes"/>
    <x v="0"/>
    <s v=""/>
    <d v="2026-01-20T00:00:00"/>
    <m/>
    <s v=""/>
    <s v=""/>
    <s v=""/>
    <s v=""/>
    <n v="1"/>
  </r>
  <r>
    <x v="1"/>
    <n v="775"/>
    <m/>
    <n v="3069"/>
    <s v="(14/01/2026) Após tentativa por ligação foi efetuado tentativa de contato via WhatsApp conforme mensagem abaixo : _x000a_(16/01/2026) tentei novamente contato via telefone com Nykollas porem sem retorno ! estou declinando oportunidade_x000a_16:31, 12/01/2026 Junior Lopes: Olá Nycollas , boa tarde_x000a_16:32, 12/01/2026 Junior Lopes: Sou Junior Lopes da Guarani sistemas! Td bem ?_x000a_11:56, 14/01/2026 Junior Lopes: Olá Boa tarde !  _x000a_Estamos retornando seu contato sobre nossas soluções em ERP ! Qual melhor horário para falarmos ?"/>
    <s v=""/>
    <x v="362"/>
    <m/>
    <s v=""/>
    <s v="BK COMÉRCIO LTDA"/>
    <s v="92988541804"/>
    <s v=""/>
    <s v="nykollaskelvyn86@gmail.com"/>
    <s v=""/>
    <s v=""/>
    <s v=""/>
    <s v=""/>
    <s v=""/>
    <s v="Campanha"/>
    <s v=""/>
    <s v=""/>
    <s v="30%;Fora Perfil;Instagram"/>
    <s v="Pipeline de Vendas"/>
    <s v="Qualificação de Vendas (SQL) (25%)"/>
    <s v=""/>
    <d v="2026-01-31T00:00:00"/>
    <m/>
    <m/>
    <n v="26"/>
    <s v="Paulo Souza"/>
    <d v="2026-01-12T00:00:00"/>
    <d v="1899-12-30T21:53:50"/>
    <s v=""/>
    <s v="Perdido"/>
    <d v="2026-02-07T00:00:00"/>
    <d v="1899-12-30T07:50:15"/>
    <s v="Fora do porte mínimo (sem fit estrutural)"/>
    <s v=""/>
    <s v=""/>
    <x v="0"/>
    <s v="Junior Lopes"/>
    <x v="0"/>
    <s v=""/>
    <d v="2026-01-16T00:00:00"/>
    <m/>
    <s v=""/>
    <s v=""/>
    <s v=""/>
    <s v=""/>
    <n v="1"/>
  </r>
  <r>
    <x v="2"/>
    <n v="776"/>
    <m/>
    <n v="3041"/>
    <s v="Não consegui retorno nem contato"/>
    <s v=""/>
    <x v="363"/>
    <m/>
    <s v=""/>
    <s v="Fisiohosp"/>
    <s v="6596658787"/>
    <s v=""/>
    <s v="contabilfisio2024@gmail.com"/>
    <s v=""/>
    <s v=""/>
    <s v=""/>
    <s v=""/>
    <s v=""/>
    <s v="Campanha"/>
    <s v=""/>
    <s v=""/>
    <s v="30%;Fora Perfil;Instagram"/>
    <s v="Pipeline de Vendas"/>
    <s v="Qualificação de Vendas (SQL) (25%)"/>
    <s v=""/>
    <d v="2026-01-31T00:00:00"/>
    <m/>
    <m/>
    <n v="105"/>
    <s v="Paulo Souza"/>
    <d v="2026-01-12T00:00:00"/>
    <d v="1899-12-30T21:57:54"/>
    <s v=""/>
    <s v="Perdido"/>
    <d v="2026-04-27T00:00:00"/>
    <d v="1899-12-30T16:00:34"/>
    <s v="Fora do porte mínimo (sem fit estrutural)"/>
    <s v=""/>
    <s v=""/>
    <x v="0"/>
    <s v="Junior Lopes"/>
    <x v="0"/>
    <s v=""/>
    <d v="2026-04-13T00:00:00"/>
    <n v="30"/>
    <s v=""/>
    <s v=""/>
    <s v=""/>
    <s v=""/>
    <n v="1"/>
  </r>
  <r>
    <x v="2"/>
    <n v="777"/>
    <m/>
    <n v="3047"/>
    <s v="cliente marcou uma reunião na sexta porém não entrou no link estou tentando reagendar mas não deu retorno"/>
    <s v=""/>
    <x v="364"/>
    <m/>
    <s v=""/>
    <s v="Vida Fitness"/>
    <s v="71996614629"/>
    <s v=""/>
    <s v="vidafitness@outlook.com.br"/>
    <s v=""/>
    <s v=""/>
    <s v=""/>
    <s v=""/>
    <s v=""/>
    <s v="Campanha"/>
    <s v=""/>
    <s v=""/>
    <s v="30%;Fora Perfil;Instagram"/>
    <s v="Pipeline de Vendas"/>
    <s v="Qualificação de Vendas (SQL) (25%)"/>
    <s v=""/>
    <d v="2026-01-31T00:00:00"/>
    <m/>
    <m/>
    <n v="26"/>
    <s v="Paulo Souza"/>
    <d v="2026-01-12T00:00:00"/>
    <d v="1899-12-30T21:58:55"/>
    <s v=""/>
    <s v="Perdido"/>
    <d v="2026-02-07T00:00:00"/>
    <d v="1899-12-30T07:47:45"/>
    <s v="Fora do porte mínimo (sem fit estrutural)"/>
    <s v=""/>
    <s v=""/>
    <x v="0"/>
    <s v="Rayssa Karapeticov"/>
    <x v="0"/>
    <s v=""/>
    <d v="2026-01-16T00:00:00"/>
    <m/>
    <s v=""/>
    <s v=""/>
    <s v=""/>
    <s v=""/>
    <n v="1"/>
  </r>
  <r>
    <x v="2"/>
    <n v="778"/>
    <m/>
    <n v="3059"/>
    <s v="Bom dia Luan, como vai?_x000a_Estou tentando contato com você para entender sua solicitação para conhecer nossos sistemas._x000a_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_x000a_Vou deixar uma apresentação de nossa empresa e quando tiver um tempo disponivel por retornar o contato"/>
    <s v=""/>
    <x v="365"/>
    <n v="30250062000112"/>
    <s v=""/>
    <s v="HORTODASACACIAS"/>
    <s v="21966014543"/>
    <s v=""/>
    <s v="financeiro1@hortodasacacias.com.br"/>
    <s v=""/>
    <s v=""/>
    <s v=""/>
    <s v="RIO DE JANEIRO"/>
    <s v="RJ"/>
    <s v="Campanha"/>
    <s v=""/>
    <s v=""/>
    <s v="30%;Fora Perfil;Instagram"/>
    <s v="Pipeline de Vendas"/>
    <s v="Qualificação de Vendas (SQL) (25%)"/>
    <s v=""/>
    <d v="2026-01-31T00:00:00"/>
    <m/>
    <m/>
    <n v="2"/>
    <s v="Paulo Souza"/>
    <d v="2026-01-12T00:00:00"/>
    <d v="1899-12-30T22:00:47"/>
    <s v=""/>
    <s v="Perdido"/>
    <d v="2026-01-14T00:00:00"/>
    <d v="1899-12-30T11:54:09"/>
    <s v="Fora do porte mínimo (sem fit estrutural)"/>
    <s v=""/>
    <s v=""/>
    <x v="0"/>
    <s v="Rayssa Karapeticov"/>
    <x v="0"/>
    <s v=""/>
    <d v="2026-01-13T00:00:00"/>
    <m/>
    <s v=""/>
    <s v=""/>
    <s v=""/>
    <s v=""/>
    <n v="1"/>
  </r>
  <r>
    <x v="2"/>
    <n v="779"/>
    <m/>
    <n v="3066"/>
    <s v="Empresa fora do perfil, vendem produto porta a porta e o contato é  vendedor"/>
    <s v=""/>
    <x v="366"/>
    <n v="22422233000115"/>
    <s v=""/>
    <s v="Devons Hair"/>
    <s v="(41) 9900-2255 / (41) 8428-6900 / (18) 3361-4423"/>
    <s v=""/>
    <s v="denilribeiro@gmail.com"/>
    <s v=""/>
    <s v=""/>
    <s v=""/>
    <s v="CAMPO LARGO"/>
    <s v="PR"/>
    <s v="Campanha"/>
    <s v=""/>
    <s v=""/>
    <s v="30%;Fora Perfil;Instagram"/>
    <s v="Pipeline de Vendas"/>
    <s v="Qualificação de Vendas (SQL) (25%)"/>
    <s v=""/>
    <d v="2026-01-31T00:00:00"/>
    <m/>
    <m/>
    <n v="4"/>
    <s v="Paulo Souza"/>
    <d v="2026-01-12T00:00:00"/>
    <d v="1899-12-30T22:01:35"/>
    <s v=""/>
    <s v="Perdido"/>
    <d v="2026-01-16T00:00:00"/>
    <d v="1899-12-30T09:34:44"/>
    <s v="Fora do porte mínimo (sem fit estrutural)"/>
    <s v=""/>
    <s v=""/>
    <x v="0"/>
    <s v="Rayssa Karapeticov"/>
    <x v="0"/>
    <s v=""/>
    <d v="2026-01-16T00:00:00"/>
    <m/>
    <s v=""/>
    <s v=""/>
    <s v=""/>
    <s v=""/>
    <n v="1"/>
  </r>
  <r>
    <x v="0"/>
    <n v="780"/>
    <m/>
    <n v="3068"/>
    <s v="Hoje 13/01 busquei agenda com o Ricardo sem sucesso._x000a_23/01 Fiz FUP hoje com o Ricardo para saber se ele quer ou nao seguir , pois ele não retorna os mus contatos._x000a_23/01 o numero estava errado , consegui o numero certo e retomei os contatos sem sucesso no retorno ainda. _x000a_07/02 Após diversas tentativa de contato com o Ricardo sem sucesso estou declinando a oportunidade."/>
    <s v=""/>
    <x v="367"/>
    <m/>
    <s v=""/>
    <s v="Deltamed Comércio e Servicos Ltda"/>
    <s v="51997766708"/>
    <s v=""/>
    <s v="rrnnaa@gmail.com"/>
    <s v=""/>
    <s v=""/>
    <s v=""/>
    <s v=""/>
    <s v=""/>
    <s v="Campanha"/>
    <s v=""/>
    <s v=""/>
    <s v="30%;Fora Perfil;Instagram"/>
    <s v="Pipeline de Vendas"/>
    <s v="Qualificação de Vendas (SQL) (25%)"/>
    <s v=""/>
    <d v="2026-01-31T00:00:00"/>
    <m/>
    <m/>
    <n v="26"/>
    <s v="Paulo Souza"/>
    <d v="2026-01-12T00:00:00"/>
    <d v="1899-12-30T22:02:28"/>
    <s v=""/>
    <s v="Perdido"/>
    <d v="2026-02-07T00:00:00"/>
    <d v="1899-12-30T07:27:31"/>
    <s v="Fora do porte mínimo (sem fit estrutural)"/>
    <s v="07/02 Após diversas tentativa de contato com o Ricardo sem sucesso estou declinando a oportunidade."/>
    <s v=""/>
    <x v="0"/>
    <s v="Paulo Souza"/>
    <x v="0"/>
    <s v=""/>
    <d v="2026-01-23T00:00:00"/>
    <n v="30"/>
    <s v=""/>
    <s v=""/>
    <s v=""/>
    <s v=""/>
    <n v="1"/>
  </r>
  <r>
    <x v="2"/>
    <n v="781"/>
    <m/>
    <n v="3070"/>
    <s v="Bom dia Adelita, como vai?_x000a_Estou tentando contato com você para entender sua solicitação para conhecer nossos sistemas._x000a_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_x000a_Vou deixar uma apresentação de nossa empresa e quando tiver um tempo disponivel por retornar o contato_x000a_tentie contato no celular cadastrado e no telefone fixo da empresa 35) 3067-8566"/>
    <s v=""/>
    <x v="368"/>
    <n v="29495831000163"/>
    <s v=""/>
    <s v="Alpinpro"/>
    <s v="(35) 9125-9412"/>
    <s v=""/>
    <s v="adelita@alpinpro.com.br"/>
    <s v=""/>
    <s v=""/>
    <s v=""/>
    <s v="VARGINHA"/>
    <s v="MG"/>
    <s v="Campanha"/>
    <s v=""/>
    <s v=""/>
    <s v="30%;Fora Perfil;Instagram"/>
    <s v="Pipeline de Vendas"/>
    <s v="Qualificação de Vendas (SQL) (25%)"/>
    <s v=""/>
    <d v="2026-01-31T00:00:00"/>
    <m/>
    <m/>
    <n v="101"/>
    <s v="Paulo Souza"/>
    <d v="2026-01-12T00:00:00"/>
    <d v="1899-12-30T22:03:10"/>
    <s v=""/>
    <s v="Perdido"/>
    <d v="2026-04-23T00:00:00"/>
    <d v="1899-12-30T09:18:28"/>
    <s v="Fora do porte mínimo (sem fit estrutural)"/>
    <s v=""/>
    <s v=""/>
    <x v="0"/>
    <s v="Rayssa Karapeticov"/>
    <x v="0"/>
    <s v=""/>
    <d v="2026-04-23T00:00:00"/>
    <m/>
    <s v=""/>
    <s v=""/>
    <s v=""/>
    <s v=""/>
    <n v="1"/>
  </r>
  <r>
    <x v="2"/>
    <n v="782"/>
    <m/>
    <n v="3009"/>
    <s v=""/>
    <s v=""/>
    <x v="369"/>
    <n v="10942276000142"/>
    <s v=""/>
    <s v="Suprema"/>
    <s v="4130959299"/>
    <s v=""/>
    <s v="ordelo01@jotmail.com"/>
    <s v=""/>
    <s v=""/>
    <s v=""/>
    <s v=""/>
    <s v=""/>
    <s v="Campanha"/>
    <s v=""/>
    <s v=""/>
    <s v="Fora Perfil;Instagram"/>
    <s v="Pipeline de Vendas"/>
    <s v="Agendamento (0%)"/>
    <s v=""/>
    <m/>
    <m/>
    <m/>
    <n v="0"/>
    <s v="Paulo Souza"/>
    <d v="2026-01-12T00:00:00"/>
    <d v="1899-12-30T22:36:32"/>
    <s v=""/>
    <s v="Perdido"/>
    <d v="2026-01-12T00:00:00"/>
    <d v="1899-12-30T22:36:54"/>
    <s v="Fora do porte mínimo (sem fit estrutural)"/>
    <s v=""/>
    <s v=""/>
    <x v="0"/>
    <s v="Rayssa Karapeticov"/>
    <x v="0"/>
    <s v=""/>
    <m/>
    <m/>
    <s v=""/>
    <s v=""/>
    <s v=""/>
    <s v=""/>
    <n v="1"/>
  </r>
  <r>
    <x v="0"/>
    <n v="783"/>
    <m/>
    <n v="3010"/>
    <s v=""/>
    <s v=""/>
    <x v="370"/>
    <m/>
    <s v=""/>
    <s v="Carlinhos Doces Artesanais"/>
    <s v="41997238911"/>
    <s v=""/>
    <s v="carlinhosrepresentacao24@gmail.com"/>
    <s v=""/>
    <s v=""/>
    <s v=""/>
    <s v=""/>
    <s v=""/>
    <s v="Campanha"/>
    <s v=""/>
    <s v=""/>
    <s v="Fora Perfil;Instagram"/>
    <s v="Pipeline de Vendas"/>
    <s v="Agendamento (0%)"/>
    <s v=""/>
    <m/>
    <m/>
    <m/>
    <n v="0"/>
    <s v="Paulo Souza"/>
    <d v="2026-01-12T00:00:00"/>
    <d v="1899-12-30T22:37:42"/>
    <s v=""/>
    <s v="Perdido"/>
    <d v="2026-01-12T00:00:00"/>
    <d v="1899-12-30T22:37:58"/>
    <s v="Fora do porte mínimo (sem fit estrutural)"/>
    <s v=""/>
    <s v=""/>
    <x v="0"/>
    <s v="Rayssa Karapeticov"/>
    <x v="0"/>
    <s v=""/>
    <m/>
    <m/>
    <s v=""/>
    <s v=""/>
    <s v=""/>
    <s v=""/>
    <n v="1"/>
  </r>
  <r>
    <x v="0"/>
    <n v="784"/>
    <m/>
    <n v="3015"/>
    <s v=""/>
    <s v=""/>
    <x v="371"/>
    <m/>
    <s v=""/>
    <s v="Kuff Consultoria"/>
    <s v="42998191259"/>
    <s v=""/>
    <s v="thiagokuf@hotmail.com"/>
    <s v=""/>
    <s v=""/>
    <s v=""/>
    <s v=""/>
    <s v=""/>
    <s v="Campanha"/>
    <s v=""/>
    <s v=""/>
    <s v="Fora Perfil;Instagram"/>
    <s v="Pipeline de Vendas"/>
    <s v="Agendamento (0%)"/>
    <s v=""/>
    <m/>
    <m/>
    <m/>
    <n v="0"/>
    <s v="Paulo Souza"/>
    <d v="2026-01-12T00:00:00"/>
    <d v="1899-12-30T22:38:54"/>
    <s v=""/>
    <s v="Perdido"/>
    <d v="2026-01-12T00:00:00"/>
    <d v="1899-12-30T22:39:05"/>
    <s v="Fora do porte mínimo (sem fit estrutural)"/>
    <s v=""/>
    <s v=""/>
    <x v="0"/>
    <s v="Junior Lopes"/>
    <x v="0"/>
    <s v=""/>
    <m/>
    <m/>
    <s v=""/>
    <s v=""/>
    <s v=""/>
    <s v=""/>
    <n v="1"/>
  </r>
  <r>
    <x v="0"/>
    <n v="785"/>
    <m/>
    <n v="2669"/>
    <s v=""/>
    <s v=""/>
    <x v="372"/>
    <m/>
    <s v=""/>
    <s v="RENATO DE MATTOS MALAQUIAS"/>
    <s v="(21) 99470-2428"/>
    <s v=""/>
    <s v="representacoesvendas02@gmail.com"/>
    <s v=""/>
    <s v=""/>
    <s v=""/>
    <s v="Nova Iguaçu"/>
    <s v=""/>
    <s v="Site"/>
    <s v=""/>
    <s v=""/>
    <s v="Contato;Fora Perfil;Instagram"/>
    <s v="Pipeline de Vendas"/>
    <s v="Agendamento (0%)"/>
    <s v=""/>
    <m/>
    <m/>
    <m/>
    <n v="0"/>
    <s v="Paulo Souza"/>
    <d v="2026-01-12T00:00:00"/>
    <d v="1899-12-30T22:39:38"/>
    <s v=""/>
    <s v="Perdido"/>
    <d v="2026-01-12T00:00:00"/>
    <d v="1899-12-30T22:39:50"/>
    <s v="Fora do porte mínimo (sem fit estrutural)"/>
    <s v=""/>
    <s v=""/>
    <x v="0"/>
    <s v="Junior Lopes"/>
    <x v="0"/>
    <s v=""/>
    <m/>
    <m/>
    <s v=""/>
    <s v=""/>
    <s v=""/>
    <s v=""/>
    <n v="1"/>
  </r>
  <r>
    <x v="0"/>
    <n v="786"/>
    <m/>
    <n v="3045"/>
    <s v=""/>
    <s v=""/>
    <x v="373"/>
    <m/>
    <s v=""/>
    <s v="Ana Maria Fonseca Garcia"/>
    <s v="18998215566"/>
    <s v=""/>
    <s v="garciacontabilidade15@gmail.com"/>
    <s v=""/>
    <s v=""/>
    <s v=""/>
    <s v=""/>
    <s v=""/>
    <s v="Campanha"/>
    <s v=""/>
    <s v=""/>
    <s v="Fora Perfil;Instagram"/>
    <s v="Pipeline de Vendas"/>
    <s v="Agendamento (0%)"/>
    <s v=""/>
    <m/>
    <m/>
    <m/>
    <n v="0"/>
    <s v="Paulo Souza"/>
    <d v="2026-01-12T00:00:00"/>
    <d v="1899-12-30T22:40:26"/>
    <s v=""/>
    <s v="Perdido"/>
    <d v="2026-01-12T00:00:00"/>
    <d v="1899-12-30T22:40:38"/>
    <s v="Fora do porte mínimo (sem fit estrutural)"/>
    <s v=""/>
    <s v=""/>
    <x v="0"/>
    <s v="Junior Lopes"/>
    <x v="0"/>
    <s v=""/>
    <m/>
    <m/>
    <s v=""/>
    <s v=""/>
    <s v=""/>
    <s v=""/>
    <n v="1"/>
  </r>
  <r>
    <x v="1"/>
    <n v="787"/>
    <m/>
    <n v="3057"/>
    <s v=""/>
    <s v=""/>
    <x v="374"/>
    <n v="10269690000132"/>
    <s v=""/>
    <s v="Ricieri Locacoes e Serviços"/>
    <s v="27999479659"/>
    <s v=""/>
    <s v="diego@ricieri.net.br"/>
    <s v=""/>
    <s v=""/>
    <s v=""/>
    <s v=""/>
    <s v=""/>
    <s v="Campanha"/>
    <s v=""/>
    <s v=""/>
    <s v="Fora Perfil;Instagram"/>
    <s v="Pipeline de Vendas"/>
    <s v="Agendamento (0%)"/>
    <s v=""/>
    <m/>
    <m/>
    <m/>
    <n v="117"/>
    <s v="Paulo Souza"/>
    <d v="2026-01-12T00:00:00"/>
    <d v="1899-12-30T22:41:13"/>
    <s v=""/>
    <s v="Perdido"/>
    <d v="2026-05-09T00:00:00"/>
    <d v="1899-12-30T08:08:37"/>
    <s v="Fora do segmento atendido"/>
    <s v=""/>
    <s v=""/>
    <x v="0"/>
    <s v="Junior Lopes"/>
    <x v="0"/>
    <s v=""/>
    <m/>
    <m/>
    <s v=""/>
    <s v=""/>
    <s v=""/>
    <s v=""/>
    <n v="1"/>
  </r>
  <r>
    <x v="2"/>
    <n v="788"/>
    <m/>
    <n v="3083"/>
    <s v="Cliente entrou em contato pedindo apresentação de nossas solução de AFV _x000a_Reuão agendada para segunda as 14h_x000a_26-01 proposta está em analise pela diretoria _x000a_29-01 Boa tarde, Tiago! Espero que esteja bem._x000a_No dia 19/01 encaminhamos à sua equipe a proposta comercial da Guarani Sistemas, que contempla uma condição exclusiva para evolução tecnológica e automação da força de vendas._x000a_Com o Guarani AFV, aliado à assistente virtual Iara e ao módulo de orçamento web, sua empresa terá:_x000a_Automação completa da equipe de vendas, com acompanhamento de objetivos e indicadores em tempo real;_x000a_Aumento de produtividade e faturamento, reduzindo rupturas no ponto de venda;_x000a_Dashboard inteligente para análise de desempenho e curva ABC de produtos;_x000a_Integração simplificada com o ERP, garantindo maior agilidade e menos retrabalho._x000a_Além disso, oferecemos condições comerciais diferenciadas, incluindo implantação com mentoria especializada e mensalidade ajustada ao perfil da sua operação._x000a_Diante de todos esses benefícios, gostaria de entender: o que falta para avançarmos juntos e garantir essas vantagens para sua equipe?_x000a_05.02Retornou que estão em analise pela diretoria previsão de retorno para proxima semana _x000a_18.03 - Estão tratando internamento com o ERP, porque precisam entende rse o sistema atual terá capacidade de atender a necessidade deles para integrar com o AFV_x000a_15.04 09:24, 15/04/2026 Rayssa Karapeticov - Comercial - Guarani Sistemas: Oi Tiago, como você está.?_x000a_Na última troca, você comentou que eles devem manter o sistema atual por mais tempo, e eu fiquei de marcar uma reunião presencial para detalharmos a integração e forma de trabalho._x000a_Queria entender contigo se ainda faz sentido seguirmos com esse alinhamento agora. Se sim, me indica por favor dois horários que funcionem para você"/>
    <s v="Alfa Seven Embalagens Industria E Comercio Ltda"/>
    <x v="375"/>
    <n v="14078994000254"/>
    <s v=""/>
    <s v="Alfa Seven Embalagens Industria E Comercio Ltda"/>
    <s v="(35) 3435-2255"/>
    <s v=""/>
    <s v="luizhenrique@julianicontabilidade.com.br"/>
    <s v=""/>
    <s v=""/>
    <s v=""/>
    <s v="EXTREMA"/>
    <s v="MG"/>
    <s v="Base de empresas Leads2b"/>
    <s v=""/>
    <s v=""/>
    <s v="50%;Dentro Perfil"/>
    <s v="Pipeline de Vendas"/>
    <s v="Em negociação (75%)"/>
    <s v=""/>
    <d v="2026-04-30T00:00:00"/>
    <n v="16800"/>
    <n v="73717"/>
    <n v="120"/>
    <s v="Rayssa Karapeticov"/>
    <d v="2026-01-13T00:00:00"/>
    <d v="1899-12-30T16:09:19"/>
    <s v=""/>
    <s v="Perdido"/>
    <d v="2026-05-13T00:00:00"/>
    <d v="1899-12-30T10:51:39"/>
    <s v="Não quer mudar a solução atual"/>
    <s v=""/>
    <s v=""/>
    <x v="163"/>
    <s v="Rayssa Karapeticov"/>
    <x v="183"/>
    <s v="02/03/2026"/>
    <d v="2026-05-13T00:00:00"/>
    <n v="50"/>
    <s v=""/>
    <s v="AFV"/>
    <s v=""/>
    <s v=""/>
    <n v="1"/>
  </r>
  <r>
    <x v="0"/>
    <n v="789"/>
    <m/>
    <n v="3084"/>
    <s v="Fernando, esta avaliando outros produtos e terei um retorno na próxima semana dia 15/01, que decide é a Luciana._x000a_23/01 Fiz FUP hoje com o Fernando o mesmo ainda não respondeu, perguntei o que nos impede de seguir?_x000a_26/02 Fernando me procurou essa semana , pedido atualização de informações sobre o projeto. Hoje fiz novo FUP solicitando informações se seguiremos ou não com o projeto._x000a_20/03 Fernando me passou que a proposta ainda continua na direção sem definição."/>
    <s v=""/>
    <x v="376"/>
    <n v="31507103000176"/>
    <s v=""/>
    <s v="Fernando e Luciana"/>
    <s v="18997715980"/>
    <s v=""/>
    <s v="comercial@casamiga.com.br"/>
    <s v=""/>
    <s v=""/>
    <s v=""/>
    <s v=""/>
    <s v=""/>
    <s v=""/>
    <s v=""/>
    <s v=""/>
    <s v="50%"/>
    <s v="Pipeline de Vendas"/>
    <s v="Em negociação (75%)"/>
    <s v=""/>
    <d v="2026-03-31T00:00:00"/>
    <n v="13100"/>
    <n v="1700"/>
    <n v="87"/>
    <s v="Paulo Souza"/>
    <d v="2026-01-13T00:00:00"/>
    <d v="1899-12-30T16:12:50"/>
    <s v=""/>
    <s v="Perdido"/>
    <d v="2026-04-10T00:00:00"/>
    <d v="1899-12-30T17:16:03"/>
    <s v="Nossa solução não atende - falta funcionalidade"/>
    <s v=""/>
    <s v=""/>
    <x v="169"/>
    <s v="Paulo Souza"/>
    <x v="184"/>
    <s v=""/>
    <d v="2026-03-20T00:00:00"/>
    <n v="50"/>
    <s v="80"/>
    <s v="B2B"/>
    <s v="R$ 13.100"/>
    <s v="R$ 1.700"/>
    <n v="1"/>
  </r>
  <r>
    <x v="1"/>
    <n v="790"/>
    <m/>
    <n v="3071"/>
    <s v="em contato com Sr. Barbosa !_x000a_atualmente tem 02 lojas físicas e esta fora do nosso perfil de atendimento"/>
    <s v=""/>
    <x v="377"/>
    <m/>
    <s v=""/>
    <s v="Casa bom dia bricolagem ltda"/>
    <s v="16981830404"/>
    <s v=""/>
    <s v="casabomdiabricolagem@gmail.com"/>
    <s v=""/>
    <s v=""/>
    <s v=""/>
    <s v=""/>
    <s v=""/>
    <s v="Campanha"/>
    <s v=""/>
    <s v=""/>
    <s v="Fora Perfil;Instagram"/>
    <s v="Pipeline de Vendas"/>
    <s v="Qualificação de Vendas (SQL) (25%)"/>
    <s v=""/>
    <d v="2026-01-31T00:00:00"/>
    <m/>
    <m/>
    <n v="23"/>
    <s v="Paulo Souza"/>
    <d v="2026-01-13T00:00:00"/>
    <d v="1899-12-30T16:54:22"/>
    <s v=""/>
    <s v="Perdido"/>
    <d v="2026-02-05T00:00:00"/>
    <d v="1899-12-30T14:15:34"/>
    <s v="Fora do porte mínimo (sem fit estrutural)"/>
    <s v=""/>
    <s v=""/>
    <x v="0"/>
    <s v="Junior Lopes"/>
    <x v="0"/>
    <s v=""/>
    <d v="2026-01-16T00:00:00"/>
    <m/>
    <s v=""/>
    <s v=""/>
    <s v=""/>
    <s v=""/>
    <n v="1"/>
  </r>
  <r>
    <x v="2"/>
    <n v="792"/>
    <m/>
    <n v="3072"/>
    <s v="Boa tarde Rogério, como vai? _x000a_Meu nome é Rayssa, sou do setor comercial e relacionamento da Guarani Sistemas._x000a_Recebi seu contato interessado em nossas soluções, você prefere que eu te ligue ou quer tratar por aqui?_x000a_Aguardando retorno,liguei e não atendeu_x000a_13.02 novamente disse que não podia falar que era para entrar em contato em outro momento"/>
    <s v=""/>
    <x v="378"/>
    <n v="6037707000230"/>
    <s v=""/>
    <s v="WB Engenharia"/>
    <s v="67999299440"/>
    <s v=""/>
    <s v="rogerio@wbmanutencao.com.br"/>
    <s v=""/>
    <s v=""/>
    <s v=""/>
    <s v=""/>
    <s v=""/>
    <s v="Campanha"/>
    <s v=""/>
    <s v=""/>
    <s v="Fora Perfil;Instagram"/>
    <s v="Pipeline de Vendas"/>
    <s v="Qualificação de Vendas (SQL) (25%)"/>
    <s v=""/>
    <d v="2026-01-31T00:00:00"/>
    <m/>
    <m/>
    <n v="31"/>
    <s v="Paulo Souza"/>
    <d v="2026-01-13T00:00:00"/>
    <d v="1899-12-30T16:56:09"/>
    <s v=""/>
    <s v="Perdido"/>
    <d v="2026-02-13T00:00:00"/>
    <d v="1899-12-30T11:46:12"/>
    <s v="Fora do porte mínimo (sem fit estrutural)"/>
    <s v=""/>
    <s v=""/>
    <x v="0"/>
    <s v="Rayssa Karapeticov"/>
    <x v="0"/>
    <s v=""/>
    <d v="2026-02-12T00:00:00"/>
    <n v="30"/>
    <s v=""/>
    <s v=""/>
    <s v=""/>
    <s v=""/>
    <n v="1"/>
  </r>
  <r>
    <x v="0"/>
    <n v="793"/>
    <m/>
    <n v="3082"/>
    <s v="Fiz contato hoje mais o cliente já não estava na empresa, vamos falar amanha 14/01_x000a_23/01 Fiz FUp hoje com a Jessica, para buscar agenda na proxima semana._x000a_19/02 Fiz varias tentativa sem retorno e por isso declinei a proposta."/>
    <s v=""/>
    <x v="379"/>
    <m/>
    <s v=""/>
    <s v="JESSICA"/>
    <s v="(38) 99730-0736"/>
    <s v=""/>
    <s v="centraleletricasolar@gmail.com"/>
    <s v=""/>
    <s v=""/>
    <s v=""/>
    <s v="São Paulo"/>
    <s v=""/>
    <s v="Site"/>
    <s v=""/>
    <s v=""/>
    <s v="30%;Solicita demo"/>
    <s v="Pipeline de Vendas"/>
    <s v="Qualificação de Vendas (SQL) (25%)"/>
    <s v=""/>
    <d v="2026-01-31T00:00:00"/>
    <m/>
    <m/>
    <n v="37"/>
    <s v="Paulo Souza"/>
    <d v="2026-01-13T00:00:00"/>
    <d v="1899-12-30T16:59:23"/>
    <s v=""/>
    <s v="Perdido"/>
    <d v="2026-02-19T00:00:00"/>
    <d v="1899-12-30T17:51:50"/>
    <s v="Fora do porte mínimo (sem fit estrutural)"/>
    <s v=""/>
    <s v=""/>
    <x v="0"/>
    <s v="Paulo Souza"/>
    <x v="0"/>
    <s v=""/>
    <d v="2026-01-23T00:00:00"/>
    <n v="30"/>
    <s v=""/>
    <s v=""/>
    <s v=""/>
    <s v=""/>
    <n v="1"/>
  </r>
  <r>
    <x v="2"/>
    <n v="794"/>
    <m/>
    <n v="3086"/>
    <s v="Falei com o cliente ele possui uma loja de embalagens (estilo Plasticap), levantei as informações dele e agendamos uma demonstração para amanhã as 9h_x000a_19/01- Olá Ederaldo, tudo bem?_x000a_No dia 15/01 encaminhamos a proposta de investimento para o Guarani ERP, contemplando os serviços de ERP + PDV, com foco na evolução tecnológica e no crescimento da sua empresa._x000a_Para avançarmos, gostaria de entender como foi sua análise e qual o investimento previsto para o software, assim conseguimos alinhar expectativas e próximos passos._x000a_Quando seria um bom momento para conversarmos?_x000a_26/01 - Após envio e apresentação da proposta comercial cliente não deu retorno. _x000a_Encerrando contato_x000a_Oi Ederaldo, tudo bem?_x000a_No dia 15/01 te enviei uma proposta que poderia mudar os rumos do seu negócio. Como não tivemos retorno, estou encerrando nosso contato._x000a_Quero deixar claro: essa não era apenas mais uma oferta, mas uma oportunidade única que dificilmente vai se repetir. Ao não avançar, você está deixando escapar aquilo que poderia ser o divisor de águas para sua empresa._x000a_Desejo sucesso nos seus próximos passos!"/>
    <s v=""/>
    <x v="380"/>
    <m/>
    <s v=""/>
    <s v="Marques Embalagens"/>
    <s v="16992159372"/>
    <s v=""/>
    <s v="marquesembalagens@hotmail.com"/>
    <s v=""/>
    <s v=""/>
    <s v=""/>
    <s v=""/>
    <s v=""/>
    <s v="Campanha"/>
    <s v=""/>
    <s v=""/>
    <s v="Dentro Perfil;Instagram"/>
    <s v="Pipeline de Vendas"/>
    <s v="Apresentar Proposta (50%)"/>
    <s v=""/>
    <d v="2026-01-31T00:00:00"/>
    <n v="6168744"/>
    <n v="149828"/>
    <n v="13"/>
    <s v="Paulo Souza"/>
    <d v="2026-01-13T00:00:00"/>
    <d v="1899-12-30T17:42:00"/>
    <s v=""/>
    <s v="Perdido"/>
    <d v="2026-01-26T00:00:00"/>
    <d v="1899-12-30T09:26:12"/>
    <s v="Preço muito alto - fora do budget de investimento"/>
    <s v=""/>
    <s v=""/>
    <x v="170"/>
    <s v="Rayssa Karapeticov"/>
    <x v="180"/>
    <s v=""/>
    <d v="2026-01-26T00:00:00"/>
    <m/>
    <s v=""/>
    <s v=""/>
    <s v=""/>
    <s v=""/>
    <n v="1"/>
  </r>
  <r>
    <x v="0"/>
    <n v="795"/>
    <m/>
    <n v="3088"/>
    <s v="Falei com a Kelly hoje que me passou as informações que faltava para formular a proposta. Agora e falar com o Fernando e montar a proposta e apresentar._x000a_23/01 Falei com a Kelly em 19/01, e ela avisou que estava de férias e que retorno essa semana , e que só vai conseguir analisar a proposta na semana do dia 26/01, quando retornarei o contato._x000a_07/02 Fiz FUP com a Kelly e perguntei se ela vai ou não seguir com o projeto, não retornou ainda._x000a_12/03 12/03 Fiz FUP com a Kelly e a mesma esta analisando a proposta. Como esta semana ela tá fazendo compra de natal, vai conseguir parar e ver a proposta amanhã 13/03._x000a_20/03 Cobrei a Kelly a evolução da negociação."/>
    <s v=""/>
    <x v="381"/>
    <n v="3674537000125"/>
    <s v=""/>
    <s v="Kelly"/>
    <s v="12974030134"/>
    <s v=""/>
    <s v="MKT@VALPORT.COM.BR"/>
    <s v=""/>
    <s v=""/>
    <s v=""/>
    <s v=""/>
    <s v=""/>
    <s v=""/>
    <s v=""/>
    <s v=""/>
    <s v="50%"/>
    <s v="Pipeline de Vendas"/>
    <s v="Em negociação (75%)"/>
    <s v=""/>
    <d v="2026-03-31T00:00:00"/>
    <n v="1600"/>
    <n v="384454"/>
    <n v="87"/>
    <s v="Paulo Souza"/>
    <d v="2026-01-13T00:00:00"/>
    <d v="1899-12-30T22:55:41"/>
    <s v=""/>
    <s v="Perdido"/>
    <d v="2026-04-10T00:00:00"/>
    <d v="1899-12-30T15:55:43"/>
    <s v="Projeto adiado / sem prazo definido"/>
    <s v=""/>
    <s v=""/>
    <x v="0"/>
    <s v="Paulo Souza"/>
    <x v="0"/>
    <s v=""/>
    <d v="2026-03-20T00:00:00"/>
    <n v="30"/>
    <s v="7"/>
    <s v="CLOUD"/>
    <s v="R$ 1.600"/>
    <s v="R$ 3.844,54"/>
    <n v="1"/>
  </r>
  <r>
    <x v="0"/>
    <n v="796"/>
    <m/>
    <n v="3087"/>
    <s v="Feito contato com o Vinicius afim de qualificar o LEAD._x000a_23/01 Fiz FUp hoje com o Vinicius para saber se e possível a nossa agenda na semana que vem na quinta feira._x000a_07/02 Fiz FUP com o Vinicius e avise que por falta de contato estou declinando a oportunidade e em caso de interesse retornamos o contato."/>
    <s v=""/>
    <x v="382"/>
    <m/>
    <s v=""/>
    <s v="MVF Lavadoras"/>
    <s v="35998687836"/>
    <s v=""/>
    <s v="ti@mvflavadoras.com.br"/>
    <s v=""/>
    <s v=""/>
    <s v=""/>
    <s v=""/>
    <s v=""/>
    <s v="Campanha"/>
    <s v=""/>
    <s v=""/>
    <s v="Dentro Perfil;Instagram"/>
    <s v="Pipeline de Vendas"/>
    <s v="Qualificação de Vendas (SQL) (25%)"/>
    <s v=""/>
    <d v="2026-01-31T00:00:00"/>
    <m/>
    <m/>
    <n v="24"/>
    <s v="Paulo Souza"/>
    <d v="2026-01-14T00:00:00"/>
    <d v="1899-12-30T10:15:54"/>
    <s v=""/>
    <s v="Perdido"/>
    <d v="2026-02-07T00:00:00"/>
    <d v="1899-12-30T07:35:17"/>
    <s v="Fora do porte mínimo (sem fit estrutural)"/>
    <s v="07/02 Fiz FUP com o Vinicius e avise que por falta de contato estou declinando a oportunidade e em caso de interesse retornamos o contato."/>
    <s v=""/>
    <x v="0"/>
    <s v="Paulo Souza"/>
    <x v="0"/>
    <s v=""/>
    <d v="2026-02-07T00:00:00"/>
    <n v="30"/>
    <s v=""/>
    <s v=""/>
    <s v=""/>
    <s v=""/>
    <n v="1"/>
  </r>
  <r>
    <x v="0"/>
    <n v="799"/>
    <m/>
    <n v="3091"/>
    <s v="Visita amanha em São Paulo no cliente_x000a_23/01 - fechamos negocio."/>
    <s v=""/>
    <x v="383"/>
    <m/>
    <s v=""/>
    <s v="Tiago"/>
    <s v="11971597112"/>
    <s v=""/>
    <s v="null"/>
    <s v=""/>
    <s v=""/>
    <s v=""/>
    <s v=""/>
    <s v=""/>
    <s v=""/>
    <s v=""/>
    <s v=""/>
    <s v="90%;Fabio Indica"/>
    <s v="Pipeline de Vendas"/>
    <s v="Em Fechamento (100%)"/>
    <s v=""/>
    <d v="2026-01-15T00:00:00"/>
    <n v="1600"/>
    <n v="252471"/>
    <n v="9"/>
    <s v="Paulo Souza"/>
    <d v="2026-01-14T00:00:00"/>
    <d v="1899-12-30T18:55:04"/>
    <s v=""/>
    <s v="Ganho"/>
    <d v="2026-01-23T00:00:00"/>
    <d v="1899-12-30T11:04:46"/>
    <s v=""/>
    <s v=""/>
    <s v="14/01/2026 00:00"/>
    <x v="171"/>
    <s v="Paulo Souza"/>
    <x v="185"/>
    <s v=""/>
    <d v="2026-01-15T00:00:00"/>
    <m/>
    <s v=""/>
    <s v=""/>
    <s v=""/>
    <s v=""/>
    <n v="1"/>
  </r>
  <r>
    <x v="2"/>
    <n v="800"/>
    <m/>
    <n v="3092"/>
    <s v=""/>
    <s v=""/>
    <x v="384"/>
    <n v="9205460000120"/>
    <s v=""/>
    <s v="Panveiga"/>
    <s v="(83) 3343-3391 / (83) 3343-3391"/>
    <s v=""/>
    <s v="null"/>
    <s v=""/>
    <s v=""/>
    <s v=""/>
    <s v="CAMPINA GRANDE"/>
    <s v="PB"/>
    <s v="Campanha"/>
    <s v=""/>
    <s v=""/>
    <s v="Fora Perfil;Instagram"/>
    <s v="Pipeline de Vendas"/>
    <s v="Agendamento (0%)"/>
    <s v=""/>
    <d v="2026-01-31T00:00:00"/>
    <m/>
    <m/>
    <n v="7"/>
    <s v="Paulo Souza"/>
    <d v="2026-01-16T00:00:00"/>
    <d v="1899-12-30T09:31:20"/>
    <s v=""/>
    <s v="Perdido"/>
    <d v="2026-01-23T00:00:00"/>
    <d v="1899-12-30T17:12:19"/>
    <s v="Fora do porte mínimo (sem fit estrutural)"/>
    <s v=""/>
    <s v=""/>
    <x v="0"/>
    <s v="Rayssa Karapeticov"/>
    <x v="0"/>
    <s v=""/>
    <d v="2026-01-23T00:00:00"/>
    <m/>
    <s v=""/>
    <s v=""/>
    <s v=""/>
    <s v=""/>
    <n v="1"/>
  </r>
  <r>
    <x v="1"/>
    <n v="803"/>
    <m/>
    <n v="3094"/>
    <s v="(20/01/2026) efetuei tentativa de ligação e mensagem no WhatsApp a fim de alinhar em bate papo com Ismael e entender suas necessidades , porem cliente não responde aos contatos"/>
    <s v=""/>
    <x v="385"/>
    <m/>
    <s v=""/>
    <s v="Autônomo"/>
    <s v="27999362925"/>
    <s v=""/>
    <s v="continente.of@gmail.com"/>
    <s v=""/>
    <s v=""/>
    <s v=""/>
    <s v=""/>
    <s v=""/>
    <s v="Campanha"/>
    <s v=""/>
    <s v=""/>
    <s v="Fora Perfil;Instagram"/>
    <s v="Pipeline de Vendas"/>
    <s v="Qualificação de Vendas (SQL) (25%)"/>
    <s v=""/>
    <d v="2026-01-31T00:00:00"/>
    <m/>
    <m/>
    <n v="113"/>
    <s v="Paulo Souza"/>
    <d v="2026-01-16T00:00:00"/>
    <d v="1899-12-30T16:05:09"/>
    <s v=""/>
    <s v="Perdido"/>
    <d v="2026-05-09T00:00:00"/>
    <d v="1899-12-30T07:39:04"/>
    <s v="Fora do porte mínimo (sem fit estrutural)"/>
    <s v=""/>
    <s v=""/>
    <x v="0"/>
    <s v="Junior Lopes"/>
    <x v="0"/>
    <s v=""/>
    <d v="2026-01-20T00:00:00"/>
    <m/>
    <s v=""/>
    <s v=""/>
    <s v=""/>
    <s v=""/>
    <n v="1"/>
  </r>
  <r>
    <x v="2"/>
    <n v="804"/>
    <m/>
    <n v="3099"/>
    <s v=""/>
    <s v=""/>
    <x v="386"/>
    <n v="33036815000180"/>
    <s v=""/>
    <s v="Haller Farmacêutica"/>
    <s v="21994011336"/>
    <s v=""/>
    <s v="marcelo.uchoa@haller.ind.br"/>
    <s v=""/>
    <s v=""/>
    <s v=""/>
    <s v=""/>
    <s v=""/>
    <s v="Campanha"/>
    <s v=""/>
    <s v=""/>
    <s v="Fora Perfil;Instagram"/>
    <s v="Pipeline de Vendas"/>
    <s v="Agendamento (0%)"/>
    <s v=""/>
    <d v="2026-01-31T00:00:00"/>
    <m/>
    <m/>
    <n v="5"/>
    <s v="Paulo Souza"/>
    <d v="2026-01-16T00:00:00"/>
    <d v="1899-12-30T16:06:39"/>
    <s v=""/>
    <s v="Perdido"/>
    <d v="2026-01-21T00:00:00"/>
    <d v="1899-12-30T11:42:22"/>
    <s v="Fora do porte mínimo (sem fit estrutural)"/>
    <s v=""/>
    <s v=""/>
    <x v="0"/>
    <s v="Rayssa Karapeticov"/>
    <x v="0"/>
    <s v=""/>
    <d v="2026-01-21T00:00:00"/>
    <m/>
    <s v=""/>
    <s v=""/>
    <s v=""/>
    <s v=""/>
    <n v="1"/>
  </r>
  <r>
    <x v="1"/>
    <n v="805"/>
    <m/>
    <n v="3093"/>
    <s v="(20/01/2026)  09:04, 20/01/2026 Junior Lopes: Olá Cláudio ! Bom dia_x000a_17:23, 27/01/2026 Claudio Teixeira: Boa tarde essa semana estou fora da empresa_x000a_17:23, 27/01/2026 Claudio Teixeira: Semana que vem falamos_x000a_17:32, 27/01/2026 Junior Lopes: Perfeito Claudio ! abraço _x000a_09:06, 20/01/2026 Claudio Teixeira: Bom dia_x000a_09:07, 20/01/2026 Junior Lopes: Td bem ? Vc entrou em contato com a Guarani sistemas, gostaria de marcar um horário para batermos um papo e entender melhor suas necessidades_x000a_09:08, 20/01/2026 Junior Lopes: Qual melhor horário para você?_x000a_09:08, 20/01/2026 Claudio Teixeira: Pode ser às 11:30_x000a_09:10, 20/01/2026 Junior Lopes: Ótimo, vou Estar terminando uma apresentação! Pode ser que atrase uns 15 minutos para ligar_x000a_09:11, 20/01/2026 Claudio Teixeira: Ok_x000a_Perfeito Cláudio ! Abraço_x000a_Olá Cláudio! Como vai ?_x000a_Olá Cláudio Td bem ? _x000a_Como não recebi seu retorno nos últimos dias, entendo que talvez não seja o melhor momento para seguirmos com projeto Guarani _x000a_Para nao lotar seu WhatsApp de mensagens estou encerrando o contato! _x000a_Caso suas prioridades mudem sigo a disposição _x000a_Abraço"/>
    <s v=""/>
    <x v="387"/>
    <n v="53629067000156"/>
    <s v=""/>
    <s v="Claudio Teixeira"/>
    <s v="(43) 99669-3593"/>
    <s v=""/>
    <s v="claudioteixeirasap@hotmail.com"/>
    <s v=""/>
    <s v=""/>
    <s v=""/>
    <s v="CONSELHEIRO MAIRINCK"/>
    <s v="PR"/>
    <s v="Site"/>
    <s v=""/>
    <s v=""/>
    <s v="Solicita demo"/>
    <s v="Pipeline de Vendas"/>
    <s v="Apresentar Proposta (50%)"/>
    <s v=""/>
    <d v="2026-01-31T00:00:00"/>
    <n v="72080"/>
    <n v="18676"/>
    <n v="52"/>
    <s v="Paulo Souza"/>
    <d v="2026-01-16T00:00:00"/>
    <d v="1899-12-30T16:08:11"/>
    <s v=""/>
    <s v="Perdido"/>
    <d v="2026-03-09T00:00:00"/>
    <d v="1899-12-30T11:02:30"/>
    <s v="Projeto adiado / sem prazo definido"/>
    <s v="Perfeito Cláudio ! Abraço_x000a_Olá Cláudio! Como vai ?_x000a_Olá Cláudio Td bem ? _x000a_Como não recebi seu retorno nos últimos dias, entendo que talvez não seja o melhor momento para seguirmos com projeto Guarani _x000a_Para nao lotar seu WhatsApp de mensagens estou encerrando o contato! _x000a_Caso suas prioridades mudem sigo a disposição _x000a_Abraço"/>
    <s v=""/>
    <x v="172"/>
    <s v="Junior Lopes"/>
    <x v="186"/>
    <s v=""/>
    <d v="2026-02-09T00:00:00"/>
    <m/>
    <s v=""/>
    <s v=""/>
    <s v=""/>
    <s v=""/>
    <n v="1"/>
  </r>
  <r>
    <x v="2"/>
    <n v="818"/>
    <m/>
    <n v="3101"/>
    <s v="Apresentação agendada para 27/01/2026 - 15:00 horas_x000a_26/01 - reunião agendada para amanhã, aguardand confirmação_x000a_27/01 - cliente não confirmou nem entrou na reunião_x000a_28/01 - Oi Renato, tudo bem?_x000a_No dia 27/01 tinhamos uma agenda de apresentação que poderia mudar os rumos do seu negócio. Como não tivemos retorno, estou encerrando nosso contato._x000a_Quero deixar claro: essa não era apenas mais uma oferta, mas uma oportunidade única que dificilmente vai se repetir. Ao não avançar, você está deixando escapar aquilo que poderia ser o divisor de águas para sua empresa._x000a_Desejo sucesso nos seus próximos passos!"/>
    <s v=""/>
    <x v="388"/>
    <m/>
    <s v=""/>
    <s v="Recanto Agricola"/>
    <s v="17999791171"/>
    <s v=""/>
    <s v="recantoagricola@gmail.com"/>
    <s v=""/>
    <s v=""/>
    <s v=""/>
    <s v=""/>
    <s v=""/>
    <s v="Campanha"/>
    <s v=""/>
    <s v=""/>
    <s v="Dentro Perfil;Instagram"/>
    <s v="Pipeline de Vendas"/>
    <s v="Apresentar Solução (35%)"/>
    <s v=""/>
    <d v="2026-03-31T00:00:00"/>
    <m/>
    <m/>
    <n v="9"/>
    <s v="Paulo Souza"/>
    <d v="2026-01-19T00:00:00"/>
    <d v="1899-12-30T11:30:57"/>
    <s v=""/>
    <s v="Perdido"/>
    <d v="2026-01-28T00:00:00"/>
    <d v="1899-12-30T16:29:00"/>
    <s v="Não quer mudar a solução atual"/>
    <s v=""/>
    <s v=""/>
    <x v="0"/>
    <s v="Rayssa Karapeticov"/>
    <x v="0"/>
    <s v=""/>
    <d v="2026-01-28T00:00:00"/>
    <m/>
    <s v=""/>
    <s v=""/>
    <s v=""/>
    <s v=""/>
    <n v="1"/>
  </r>
  <r>
    <x v="1"/>
    <n v="819"/>
    <m/>
    <n v="3102"/>
    <s v="(19/01/2026) reunião de apresentação agendada para 20/01/2026_x000a_(26/01/2026) _x000a_Olá Mauricio ! tudo bem ?_x000a_Como não recebi o seu retorno sobre o questionário após nossa apresentação, imagino que as prioridades tenham mudado por aí ou que este não seja o momento ideal para avançarmos com a proposta da Guarani Sistemas._x000a_Para não sobrecarregar sua caixa de entrada, estou encerrando o seu processo aqui no meu sistema por enquanto._x000a_Caso seus planos mudem no futuro, meus contatos continuam os mesmos. Desejo sucesso em seus projetos._x000a_Após mensagem enviada Mauricio compartilhou áudio dizendo que achou investimento muito alto e que no futuro vamos voltar a falar"/>
    <s v=""/>
    <x v="389"/>
    <n v="49827202000109"/>
    <s v=""/>
    <s v="Maurício Jorge lima"/>
    <s v="(93) 8406-4995"/>
    <s v=""/>
    <s v="mauriciojlatm@gmail.com"/>
    <s v=""/>
    <s v=""/>
    <s v=""/>
    <s v="ITAITUBA"/>
    <s v="PA"/>
    <s v="Site"/>
    <s v=""/>
    <s v=""/>
    <s v="Contato;Dentro Perfil"/>
    <s v="Pipeline de Vendas"/>
    <s v="Apresentar Solução (35%)"/>
    <s v=""/>
    <d v="2026-01-31T00:00:00"/>
    <n v="72080"/>
    <n v="881079"/>
    <n v="17"/>
    <s v="Paulo Souza"/>
    <d v="2026-01-19T00:00:00"/>
    <d v="1899-12-30T11:33:47"/>
    <s v=""/>
    <s v="Perdido"/>
    <d v="2026-02-05T00:00:00"/>
    <d v="1899-12-30T14:12:46"/>
    <s v="Preço muito alto - fora do budget de investimento"/>
    <s v=": Preço muito alto"/>
    <s v=""/>
    <x v="172"/>
    <s v="Junior Lopes"/>
    <x v="183"/>
    <s v=""/>
    <d v="2026-01-26T00:00:00"/>
    <m/>
    <s v=""/>
    <s v=""/>
    <s v=""/>
    <s v=""/>
    <n v="1"/>
  </r>
  <r>
    <x v="2"/>
    <n v="820"/>
    <m/>
    <n v="3103"/>
    <s v=""/>
    <s v=""/>
    <x v="390"/>
    <m/>
    <s v=""/>
    <s v="Max club"/>
    <s v="3194371833"/>
    <s v=""/>
    <s v="willian.portodasilva8@gmail.com"/>
    <s v=""/>
    <s v=""/>
    <s v=""/>
    <s v=""/>
    <s v=""/>
    <s v="Campanha"/>
    <s v=""/>
    <s v=""/>
    <s v="Fora Perfil;Instagram"/>
    <s v="Pipeline de Vendas"/>
    <s v="Agendamento (0%)"/>
    <s v=""/>
    <d v="2026-01-31T00:00:00"/>
    <m/>
    <m/>
    <n v="19"/>
    <s v="Paulo Souza"/>
    <d v="2026-01-19T00:00:00"/>
    <d v="1899-12-30T11:34:55"/>
    <s v=""/>
    <s v="Perdido"/>
    <d v="2026-02-07T00:00:00"/>
    <d v="1899-12-30T07:45:07"/>
    <s v="Fora do porte mínimo (sem fit estrutural)"/>
    <s v=""/>
    <s v=""/>
    <x v="0"/>
    <s v="Rayssa Karapeticov"/>
    <x v="0"/>
    <s v=""/>
    <d v="2026-01-27T00:00:00"/>
    <m/>
    <s v=""/>
    <s v=""/>
    <s v=""/>
    <s v=""/>
    <n v="1"/>
  </r>
  <r>
    <x v="0"/>
    <n v="821"/>
    <m/>
    <n v="3119"/>
    <s v="Liguei para o Gerson o mesmo não atendeu deixei msg no whatsapp._x000a_23/01 Foi feito apresentação para o cliente do institucional e AFV.  em resumo, a apresentação foi direcionada para a importadora DINATALE (Diego). Porém entrou na reunião a CASAART (William) e também o Mauricio cuja a empresa ainda não conheço. O Gerson (consultor0 que esta conduzindo o projeto participou e informou que são 5 empresa no total, a ideia é conseguir colocar o sistema nas 5 empresas. _x000a_O próximo passo é fazer uma nova agenda para a semana do dia 26/01, para apresentar o sistema novamente para uma equipe maior e expandido com o módulo OCMEX, ERP, REP+ E CONTABIL._x000a_13/02 Esse negócio está sendo tratado nas proposta da Iracema, Dinatale, Casart e MCFlores."/>
    <s v=""/>
    <x v="391"/>
    <n v="7658378000126"/>
    <s v=""/>
    <s v="Gerson Baesso"/>
    <s v="(49) 98872-0298"/>
    <s v=""/>
    <s v="consultor01@visionway.com.br"/>
    <s v=""/>
    <s v=""/>
    <s v=""/>
    <s v="Nova Aurora"/>
    <s v=""/>
    <s v="Site"/>
    <s v=""/>
    <s v=""/>
    <s v="30%;Solicita demo"/>
    <s v="Pipeline de Vendas"/>
    <s v="Apresentar Solução (35%)"/>
    <s v=""/>
    <d v="2026-01-31T00:00:00"/>
    <m/>
    <m/>
    <n v="24"/>
    <s v="Paulo Souza"/>
    <d v="2026-01-20T00:00:00"/>
    <d v="1899-12-30T08:41:55"/>
    <s v=""/>
    <s v="Perdido"/>
    <d v="2026-02-13T00:00:00"/>
    <d v="1899-12-30T17:34:46"/>
    <s v="Projeto adiado / sem prazo definido"/>
    <s v=""/>
    <s v=""/>
    <x v="173"/>
    <s v="Paulo Souza"/>
    <x v="187"/>
    <s v=""/>
    <d v="2026-01-23T00:00:00"/>
    <n v="30"/>
    <s v=""/>
    <s v="ERP, AFV, BI"/>
    <s v=""/>
    <s v=""/>
    <n v="1"/>
  </r>
  <r>
    <x v="2"/>
    <n v="823"/>
    <m/>
    <n v="3118"/>
    <s v="29/01 - retornar após o carnaval_x000a_18.03 - agendando um contato para negociação, sugeri hoje as 16:30_x000a_30.03 Boa tarde, Helena. Espero que esteja bem._x000a_Conversamos anteriormente sobre o software de gestão da Guarani Sistemas, empresa consolidada e referência no mercado de utilidades e abastecimento de artigos para o lar._x000a_Acreditamos que, com o potencial da sua empresa aliado à experiência da Guarani, seria possível alcançar resultados ainda mais expressivos. No entanto, após diversas tentativas de contato, não obtivemos retorno para avançar com esse projeto._x000a_Diante disso, estamos encerrando nosso contato neste momento, entendendo que não há interesse da Purai Suvinirs em seguir com essa oportunidade de crescimento. Permaneço à disposição para retomar a conversa quando fizer sentido para vocês._x000a_Atenciosamente,"/>
    <s v=""/>
    <x v="392"/>
    <n v="44530589000105"/>
    <s v=""/>
    <s v="Helena reis"/>
    <s v="(47) 3344-3239"/>
    <s v=""/>
    <s v="vendas@diceart.com.br"/>
    <s v=""/>
    <s v=""/>
    <s v=""/>
    <s v="ITAJAI"/>
    <s v="SC"/>
    <s v="Site"/>
    <s v=""/>
    <s v=""/>
    <s v="30%;Dentro Perfil"/>
    <s v="Pipeline de Vendas"/>
    <s v="Em negociação (75%)"/>
    <s v=""/>
    <d v="2026-05-31T00:00:00"/>
    <n v="579843"/>
    <n v="28845"/>
    <n v="69"/>
    <s v="Paulo Souza"/>
    <d v="2026-01-20T00:00:00"/>
    <d v="1899-12-30T08:46:51"/>
    <s v=""/>
    <s v="Perdido"/>
    <d v="2026-03-30T00:00:00"/>
    <d v="1899-12-30T15:47:48"/>
    <s v="Projeto adiado / sem prazo definido"/>
    <s v=""/>
    <s v=""/>
    <x v="174"/>
    <s v="Rayssa Karapeticov"/>
    <x v="188"/>
    <s v="12/03/2026"/>
    <d v="2026-03-30T00:00:00"/>
    <n v="30"/>
    <s v=""/>
    <s v="ERP, AFV"/>
    <s v=""/>
    <s v=""/>
    <n v="1"/>
  </r>
  <r>
    <x v="2"/>
    <n v="847"/>
    <m/>
    <n v="3129"/>
    <s v="Telefone cadastrado eé de um mercado"/>
    <s v=""/>
    <x v="393"/>
    <m/>
    <s v=""/>
    <s v="Bem bom pescados"/>
    <s v="6233899200"/>
    <s v=""/>
    <s v="edinho@grupo3ebr.com.br"/>
    <s v=""/>
    <s v=""/>
    <s v=""/>
    <s v=""/>
    <s v=""/>
    <s v="Campanha"/>
    <s v=""/>
    <s v=""/>
    <s v="Fora Perfil;Instagram"/>
    <s v="Pipeline de Vendas"/>
    <s v="Agendamento (0%)"/>
    <s v=""/>
    <d v="2026-01-31T00:00:00"/>
    <m/>
    <m/>
    <n v="0"/>
    <s v="Paulo Souza"/>
    <d v="2026-01-21T00:00:00"/>
    <d v="1899-12-30T10:51:15"/>
    <s v=""/>
    <s v="Perdido"/>
    <d v="2026-01-21T00:00:00"/>
    <d v="1899-12-30T11:14:02"/>
    <s v="Fora do porte mínimo (sem fit estrutural)"/>
    <s v=""/>
    <s v=""/>
    <x v="0"/>
    <s v="Rayssa Karapeticov"/>
    <x v="0"/>
    <s v=""/>
    <m/>
    <m/>
    <s v=""/>
    <s v=""/>
    <s v=""/>
    <s v=""/>
    <n v="1"/>
  </r>
  <r>
    <x v="1"/>
    <n v="848"/>
    <m/>
    <n v="3148"/>
    <s v="(23/01/2026) Sérgio não respondeu as minhas mensagens ! estou descartando de falta de retorno do cliente"/>
    <s v=""/>
    <x v="394"/>
    <m/>
    <s v=""/>
    <s v="Possani mix"/>
    <s v="11971375421"/>
    <s v=""/>
    <s v="possanimix@gmail.com"/>
    <s v=""/>
    <s v=""/>
    <s v=""/>
    <s v=""/>
    <s v=""/>
    <s v="Campanha"/>
    <s v=""/>
    <s v=""/>
    <s v="Fora Perfil;Instagram"/>
    <s v="Pipeline de Vendas"/>
    <s v="Agendamento (0%)"/>
    <s v=""/>
    <d v="2026-01-31T00:00:00"/>
    <m/>
    <m/>
    <n v="108"/>
    <s v="Paulo Souza"/>
    <d v="2026-01-21T00:00:00"/>
    <d v="1899-12-30T10:54:34"/>
    <s v=""/>
    <s v="Perdido"/>
    <d v="2026-05-09T00:00:00"/>
    <d v="1899-12-30T08:48:17"/>
    <s v="Fora do segmento atendido"/>
    <s v=""/>
    <s v=""/>
    <x v="0"/>
    <s v="Junior Lopes"/>
    <x v="0"/>
    <s v=""/>
    <d v="2026-01-23T00:00:00"/>
    <m/>
    <s v=""/>
    <s v=""/>
    <s v=""/>
    <s v=""/>
    <n v="1"/>
  </r>
  <r>
    <x v="2"/>
    <n v="849"/>
    <m/>
    <n v="3149"/>
    <s v=""/>
    <s v=""/>
    <x v="395"/>
    <n v="27343071000143"/>
    <s v=""/>
    <s v="Bombemi"/>
    <s v="11959925385"/>
    <s v=""/>
    <s v="adminitrativo@bombemi.com.br"/>
    <s v=""/>
    <s v=""/>
    <s v=""/>
    <s v=""/>
    <s v=""/>
    <s v="Campanha"/>
    <s v=""/>
    <s v=""/>
    <s v="Fora Perfil;Instagram"/>
    <s v="Pipeline de Vendas"/>
    <s v="Agendamento (0%)"/>
    <s v=""/>
    <d v="2026-01-31T00:00:00"/>
    <m/>
    <m/>
    <n v="17"/>
    <s v="Paulo Souza"/>
    <d v="2026-01-21T00:00:00"/>
    <d v="1899-12-30T12:23:03"/>
    <s v=""/>
    <s v="Perdido"/>
    <d v="2026-02-07T00:00:00"/>
    <d v="1899-12-30T07:43:30"/>
    <s v="Fora do porte mínimo (sem fit estrutural)"/>
    <s v=""/>
    <s v=""/>
    <x v="0"/>
    <s v="Rayssa Karapeticov"/>
    <x v="0"/>
    <s v=""/>
    <m/>
    <m/>
    <s v=""/>
    <s v=""/>
    <s v=""/>
    <s v=""/>
    <n v="1"/>
  </r>
  <r>
    <x v="2"/>
    <n v="850"/>
    <m/>
    <n v="3150"/>
    <s v=""/>
    <s v=""/>
    <x v="395"/>
    <n v="27343071000143"/>
    <s v=""/>
    <s v="MILENE DIAS"/>
    <s v="(11) 95992-5385"/>
    <s v=""/>
    <s v="administrativo@bombemi.com.br"/>
    <s v=""/>
    <s v=""/>
    <s v=""/>
    <s v="São Paulo"/>
    <s v=""/>
    <s v="Site"/>
    <s v=""/>
    <s v=""/>
    <s v="Dentro Perfil;Solicita demo"/>
    <s v="Pipeline de Vendas"/>
    <s v="Qualificação de Vendas (SQL) (25%)"/>
    <s v=""/>
    <d v="2026-01-31T00:00:00"/>
    <m/>
    <m/>
    <n v="1"/>
    <s v="Paulo Souza"/>
    <d v="2026-01-21T00:00:00"/>
    <d v="1899-12-30T12:24:02"/>
    <s v=""/>
    <s v="Perdido"/>
    <d v="2026-01-22T00:00:00"/>
    <d v="1899-12-30T10:03:56"/>
    <s v="Preço muito alto - fora do budget de investimento"/>
    <s v=""/>
    <s v=""/>
    <x v="0"/>
    <s v="Rayssa Karapeticov"/>
    <x v="0"/>
    <s v=""/>
    <m/>
    <m/>
    <s v=""/>
    <s v=""/>
    <s v=""/>
    <s v=""/>
    <n v="1"/>
  </r>
  <r>
    <x v="1"/>
    <n v="851"/>
    <m/>
    <n v="3151"/>
    <s v="14:08, 21/01/2026 Junior Lopes: Olá Edmilson, boa tarde ! Aqui é Junior da Guarani sistemas, Td bem ?_x000a_(26/01/2026) Ola Edmilson, bom dia tudo bem ? _x000a_Sobre as soluções em software ERP e Força de vendas Guarani ! Tem interesse em conhecer? _x000a_21/01/2026 - envio de Aúdio me apresentando e solicitando data para falarmos _x000a_15:30, 23/01/2026 Junior Lopes: Olá Edmilson, boa tarde_x000a_17:08, 27/01/2026 Junior Lopes: Olá, Edmilson! Como não conseguimos evoluir nossa conversa nos últimos dias, entendo que talvez este não seja o momento ideal para focarmos na Solução ERP e Força de vendas. Estou encerrando o seu processo por aqui para não lotar sua caixa de entrada. Vou deixar seu contato salvo e, assim que suas prioridades mudarem, sinta-se à vontade para me chamar_x000a_(18/05/2026) Após varias tentativas de contato , sem sucesso ! estou declinando oportunidade"/>
    <s v=""/>
    <x v="396"/>
    <m/>
    <s v=""/>
    <s v="Édy Distribuidora de Alimentos"/>
    <s v="12997313349"/>
    <s v=""/>
    <s v="edmilson.goulart1@gmail.com"/>
    <s v=""/>
    <s v=""/>
    <s v=""/>
    <s v=""/>
    <s v=""/>
    <s v="Campanha"/>
    <s v=""/>
    <s v=""/>
    <s v="Dentro Perfil;Instagram"/>
    <s v="Pipeline de Vendas"/>
    <s v="Qualificação de Vendas (SQL) (25%)"/>
    <s v=""/>
    <d v="2026-01-31T00:00:00"/>
    <m/>
    <m/>
    <n v="117"/>
    <s v="Paulo Souza"/>
    <d v="2026-01-21T00:00:00"/>
    <d v="1899-12-30T12:30:13"/>
    <s v=""/>
    <s v="Perdido"/>
    <d v="2026-05-18T00:00:00"/>
    <d v="1899-12-30T14:43:41"/>
    <s v="Sem qualificação — contato não atende ligações nem responde msg"/>
    <s v="(18/05/2026) Após varias tentativas de contato , sem sucesso ! estou declinando oportunidade"/>
    <s v=""/>
    <x v="0"/>
    <s v="Junior Lopes"/>
    <x v="0"/>
    <s v=""/>
    <d v="2026-05-18T00:00:00"/>
    <m/>
    <s v=""/>
    <s v=""/>
    <s v=""/>
    <s v=""/>
    <n v="1"/>
  </r>
  <r>
    <x v="2"/>
    <n v="853"/>
    <m/>
    <n v="3154"/>
    <s v="22/01/2026 Rayssa Karapeticov - Comercial - Guarani Sistemas: Bom dia Roberto, como vai? _x000a_29/01 Ok, entendi o objeto. Vejo que não estaremos aptos a fazer o investimento com a sua empresa._x000a_Fica agradecido._x000a_Obrigado pela franqueza e informações._x000a_É a Rayssa da Guarani Sistemas _x000a_recebi seu contato para falar de nossas soluções, você prefere que eu te ligue ou trate por aqui?_x000a_12:34, 22/01/2026 +55 62 8181-2473: Bom dia!_x000a_Pode ser por aqui..._x000a_15:40, 22/01/2026 Rayssa Karapeticov - Comercial - Guarani Sistemas: Perfeito, me passa o que esta procurando de solução de software e como posso te ajudar?_x000a_26/01/2026 Rayssa Karapeticov - Comercial - Guarani Sistemas: Bom dia Roberto como vai?_x000a_Para que possamos avançar, preciso entende um pouco da sua empresa e como as soluções da Guarani Sistemas podem potencializar seus processos e faturamento. _x000a_Podemos conversar?_x000a_27-01 Bom dia Roberto, tudo bem?_x000a_Ainda tem interesse em seguir com uma solução técnologica para sua empresa?_x000a_28/01 Somos uma empresa distribuição de secos e molhados._x000a_Faturamento médio de 350 mil mês_x000a_Trabalhamos com venda direta e pré-venda._x000a_7 vendedores externos_x000a_5 usuário do ERP interno._x000a_Certo, quantos CNPJs?_x000a_2 CNPJ_x000a_vocês precisam controlar lote e validade?_x000a_É interessante, embora não estamos fazendo. Por isso a mudança de ERP..."/>
    <s v=""/>
    <x v="397"/>
    <n v="8439142000161"/>
    <s v=""/>
    <s v="MSRAC"/>
    <s v="62981812473"/>
    <s v=""/>
    <s v="roberto@msrac.com.br"/>
    <s v=""/>
    <s v=""/>
    <s v=""/>
    <s v=""/>
    <s v=""/>
    <s v="Campanha"/>
    <s v=""/>
    <s v=""/>
    <s v="Dentro Perfil;Instagram"/>
    <s v="Pipeline de Vendas"/>
    <s v="Apresentar Proposta (50%)"/>
    <s v=""/>
    <d v="2026-03-31T00:00:00"/>
    <n v="58800"/>
    <n v="873144"/>
    <n v="8"/>
    <s v="Paulo Souza"/>
    <d v="2026-01-21T00:00:00"/>
    <d v="1899-12-30T21:58:26"/>
    <s v=""/>
    <s v="Perdido"/>
    <d v="2026-01-29T00:00:00"/>
    <d v="1899-12-30T16:08:35"/>
    <s v="Preço muito alto - fora do budget de investimento"/>
    <s v=""/>
    <s v=""/>
    <x v="175"/>
    <s v="Rayssa Karapeticov"/>
    <x v="189"/>
    <s v="29/01/2026"/>
    <d v="2026-01-28T00:00:00"/>
    <m/>
    <s v=""/>
    <s v=""/>
    <s v=""/>
    <s v=""/>
    <n v="1"/>
  </r>
  <r>
    <x v="2"/>
    <n v="854"/>
    <m/>
    <n v="3155"/>
    <s v=""/>
    <s v=""/>
    <x v="398"/>
    <m/>
    <s v=""/>
    <s v="Mundo Das Águas Turismo"/>
    <s v="4599648080"/>
    <s v=""/>
    <s v="mundodasaguasturismo@gmail.com"/>
    <s v=""/>
    <s v=""/>
    <s v=""/>
    <s v=""/>
    <s v=""/>
    <s v="Campanha"/>
    <s v=""/>
    <s v=""/>
    <s v="Fora Perfil;Instagram"/>
    <s v="Pipeline de Vendas"/>
    <s v="Agendamento (0%)"/>
    <s v=""/>
    <d v="2026-01-22T00:00:00"/>
    <m/>
    <m/>
    <n v="0"/>
    <s v="Paulo Souza"/>
    <d v="2026-01-22T00:00:00"/>
    <d v="1899-12-30T15:01:30"/>
    <s v=""/>
    <s v="Perdido"/>
    <d v="2026-01-22T00:00:00"/>
    <d v="1899-12-30T15:42:36"/>
    <s v="Fora do porte mínimo (sem fit estrutural)"/>
    <s v=""/>
    <s v=""/>
    <x v="0"/>
    <s v="Rayssa Karapeticov"/>
    <x v="0"/>
    <s v=""/>
    <m/>
    <m/>
    <s v=""/>
    <s v=""/>
    <s v=""/>
    <s v=""/>
    <n v="1"/>
  </r>
  <r>
    <x v="1"/>
    <n v="860"/>
    <m/>
    <n v="3164"/>
    <s v="23/01/2026 Enviei mensagem para Adriano me apresentando, aguardando resposta para agendar um bate papo _x000a_(26/01/2026) buscando contato, enviei áudio buscando o melhor momento para falarmos sobre as soluções _x000a_(29/01/2026) Após tentativas de contato sem sucesso estou desacatando oportunidade !_x000a_Olá Adriano ! Td bem ? _x000a_Tentei contato com você sobre nossas soluções ! Porém não tivemos sucesso no contato, acredito que você esteja com outras prioridades nesse momento _x000a_Para não ficar incomodando vou descartar nosso contato por aqui ! Vou deixar seu contato salvo se suas prioridades mudarem me chame por favor _x000a_Abraço"/>
    <s v=""/>
    <x v="399"/>
    <n v="1399482000167"/>
    <s v=""/>
    <s v="Bral-Max Ind.Com.Plasticos Ltda"/>
    <s v="24999136531"/>
    <s v=""/>
    <s v="adriano@bral-max.com.br"/>
    <s v=""/>
    <s v=""/>
    <s v=""/>
    <s v=""/>
    <s v=""/>
    <s v="Campanha"/>
    <s v=""/>
    <s v=""/>
    <s v="Dentro Perfil;Instagram"/>
    <s v="Pipeline de Vendas"/>
    <s v="Qualificação de Vendas (SQL) (25%)"/>
    <s v=""/>
    <d v="2026-01-31T00:00:00"/>
    <m/>
    <m/>
    <n v="106"/>
    <s v="Paulo Souza"/>
    <d v="2026-01-23T00:00:00"/>
    <d v="1899-12-30T10:04:40"/>
    <s v=""/>
    <s v="Perdido"/>
    <d v="2026-05-09T00:00:00"/>
    <d v="1899-12-30T07:44:36"/>
    <s v="Sem qualificação — contato não atende ligações nem responde msg"/>
    <s v=""/>
    <s v=""/>
    <x v="0"/>
    <s v="Junior Lopes"/>
    <x v="0"/>
    <s v=""/>
    <d v="2026-01-29T00:00:00"/>
    <m/>
    <s v=""/>
    <s v=""/>
    <s v=""/>
    <s v=""/>
    <n v="1"/>
  </r>
  <r>
    <x v="2"/>
    <n v="861"/>
    <m/>
    <n v="3165"/>
    <s v="tentativa de contato_x000a_26/01 - Faz venda porta a porta e tem PDV _x000a_13.02 Tentei contato por ligação e não atendeu_x000a_É um cliente que eu já havia conversado e faz venda PAP, atualmente o Guarani não atende ao que procura _x000a_Fora do perfil"/>
    <s v=""/>
    <x v="400"/>
    <m/>
    <s v=""/>
    <s v="Multiple business service"/>
    <s v="19971619676"/>
    <s v=""/>
    <s v="thomazdistribuidora@gmail.com"/>
    <s v=""/>
    <s v=""/>
    <s v=""/>
    <s v=""/>
    <s v=""/>
    <s v="Campanha"/>
    <s v=""/>
    <s v=""/>
    <s v="Fora Perfil;Instagram"/>
    <s v="Pipeline de Vendas"/>
    <s v="Agendamento (0%)"/>
    <s v=""/>
    <d v="2026-01-31T00:00:00"/>
    <m/>
    <m/>
    <n v="21"/>
    <s v="Paulo Souza"/>
    <d v="2026-01-23T00:00:00"/>
    <d v="1899-12-30T10:37:23"/>
    <s v=""/>
    <s v="Perdido"/>
    <d v="2026-02-13T00:00:00"/>
    <d v="1899-12-30T17:25:09"/>
    <s v="Fora do porte mínimo (sem fit estrutural)"/>
    <s v=""/>
    <s v=""/>
    <x v="0"/>
    <s v="Rayssa Karapeticov"/>
    <x v="0"/>
    <s v=""/>
    <d v="2026-02-13T00:00:00"/>
    <m/>
    <s v=""/>
    <s v=""/>
    <s v=""/>
    <s v=""/>
    <n v="1"/>
  </r>
  <r>
    <x v="0"/>
    <n v="862"/>
    <m/>
    <n v="3166"/>
    <s v="23/01 Apresentar o sistema ERP + AFV hoje as 14h para o Gerson (consultor)_x000a_23/01 23/01 Foi feito apresentação para o cliente do institucional e AFV.  em resumo, a apresentação foi direcionada para a importadora DINATALE (Diego). Porém entrou na reunião a CASAART (William) e também o Mauricio cuja a empresa ainda não conheço. O Gerson (consultor0 que esta conduzindo o projeto participou e informou que são 5 empresa no total, a ideia é conseguir colocar o sistema nas 5 empresas. _x000a_O próximo passo é fazer uma nova agenda para a semana do dia 26/01, para apresentar o sistema novamente para uma equipe maior e expandido com o módulo OCMEX, ERP, REP+ E CONTABIL._x000a_06/02 Fiz FUP hoje com o Gerson consultor e apresentei a proposta.  Na sequência ele vai falar com o a diretoria para agendar uma nova reunião de discursão de valores."/>
    <s v=""/>
    <x v="401"/>
    <n v="82808122000173"/>
    <s v=""/>
    <s v="Gerson"/>
    <s v="(49) 9945-2608"/>
    <s v=""/>
    <s v="contabilizar.atendimento@gmail.com"/>
    <s v=""/>
    <s v=""/>
    <s v=""/>
    <s v="FLOR DO SERTAO"/>
    <s v="SC"/>
    <s v=""/>
    <s v=""/>
    <s v=""/>
    <s v="50%"/>
    <s v="Pipeline de Vendas"/>
    <s v="Em negociação (75%)"/>
    <s v=""/>
    <d v="2026-02-28T00:00:00"/>
    <n v="987029"/>
    <n v="1811884"/>
    <n v="34"/>
    <s v="Paulo Souza"/>
    <d v="2026-01-23T00:00:00"/>
    <d v="1899-12-30T11:23:43"/>
    <s v=""/>
    <s v="Ganho"/>
    <d v="2026-02-26T00:00:00"/>
    <d v="1899-12-30T21:52:56"/>
    <s v=""/>
    <s v=""/>
    <s v=""/>
    <x v="118"/>
    <s v="Paulo Souza"/>
    <x v="126"/>
    <s v=""/>
    <d v="2026-02-27T00:00:00"/>
    <n v="50"/>
    <s v="270"/>
    <s v="ERP, AFV, BI, WMS, COMEX, ADICIONAIS"/>
    <s v="R$ 65.502,90"/>
    <s v="R$ 17.071,80"/>
    <n v="1"/>
  </r>
  <r>
    <x v="0"/>
    <n v="864"/>
    <m/>
    <n v="3169"/>
    <s v="23/01 Fiz FUP hoje com o Junior e o mesmo mencionou que a diretoria achou o valor da mensalidade alta. falou que tem contrato fechado com a GETT com mensal de R$900,00._x000a_Falar com o Fábio e negociar melhor essa questão._x000a_20/03 Hoje foi aberto um ticket para acompanhar dar apoio nas configurações do comex para que o pessoal consiga usar."/>
    <s v=""/>
    <x v="402"/>
    <m/>
    <s v=""/>
    <s v="Junior"/>
    <s v="19987126669"/>
    <s v=""/>
    <s v="junior@tiinfra.com.br"/>
    <s v=""/>
    <s v=""/>
    <s v=""/>
    <s v=""/>
    <s v=""/>
    <s v="BaseGua"/>
    <s v=""/>
    <s v=""/>
    <s v="30%"/>
    <s v="Pipeline de Vendas"/>
    <s v="Em Fechamento (100%)"/>
    <s v=""/>
    <d v="2026-01-31T00:00:00"/>
    <n v="10000"/>
    <n v="2000"/>
    <n v="117"/>
    <s v="Paulo Souza"/>
    <d v="2026-01-23T00:00:00"/>
    <d v="1899-12-30T16:24:12"/>
    <s v=""/>
    <s v="Ativo"/>
    <m/>
    <m/>
    <s v=""/>
    <s v=""/>
    <s v=""/>
    <x v="176"/>
    <s v="Paulo Souza"/>
    <x v="190"/>
    <s v=""/>
    <d v="2026-03-20T00:00:00"/>
    <n v="30"/>
    <s v="20"/>
    <s v="COMEX"/>
    <s v="R$ 10.000"/>
    <s v="R$ 2.000"/>
    <n v="1"/>
  </r>
  <r>
    <x v="0"/>
    <n v="865"/>
    <m/>
    <n v="3170"/>
    <s v="23/01 Fiz FUP com a Simone e o próximo asso e fazer a proposta._x000a_A principal dor do cliente é centralizar a operação em um único sistema, garantindo maior fluidez nos processos, redução de falhas de integração e ganho de produtividade, principalmente nas áreas comercial, faturamento e backoffice._x000a_06/02 Foi apresentado a proposta, que esta sob-analsie da diretoria._x000a_26/02 Fiz FUP com a Simone para saber se vamos seguir ou não._x000a_20/03 Estou cobrando a Simone se vamos seguir ou não."/>
    <s v=""/>
    <x v="403"/>
    <n v="13303103000172"/>
    <s v=""/>
    <s v="Simone"/>
    <s v="(49) 3322-8576 / (49) 3644-0850"/>
    <s v=""/>
    <s v="toyehome@toyehome.com.br"/>
    <s v=""/>
    <s v=""/>
    <s v=""/>
    <s v="CHAPECO"/>
    <s v="SC"/>
    <s v="Inbound"/>
    <s v=""/>
    <s v=""/>
    <s v="50%"/>
    <s v="Pipeline de Vendas"/>
    <s v="Em negociação (75%)"/>
    <s v=""/>
    <d v="2026-03-31T00:00:00"/>
    <n v="59184"/>
    <n v="488139"/>
    <n v="77"/>
    <s v="Paulo Souza"/>
    <d v="2026-01-23T00:00:00"/>
    <d v="1899-12-30T16:52:07"/>
    <s v=""/>
    <s v="Perdido"/>
    <d v="2026-04-10T00:00:00"/>
    <d v="1899-12-30T17:22:13"/>
    <s v="Projeto adiado / sem prazo definido"/>
    <s v=""/>
    <s v=""/>
    <x v="176"/>
    <s v="Paulo Souza"/>
    <x v="190"/>
    <s v=""/>
    <d v="2026-03-20T00:00:00"/>
    <n v="50"/>
    <s v="320"/>
    <s v="ERP, AFV, ADICIONAIS"/>
    <s v="R$ 79.311,16"/>
    <s v="R$ 6.145,44"/>
    <n v="1"/>
  </r>
  <r>
    <x v="2"/>
    <n v="866"/>
    <m/>
    <n v="3177"/>
    <s v="26/01 - é uma industria e esta buscando software de gestão da empresa. _x000a_Estou tentando marcar reunião mas o cliente não atende_x000a_27/01 - Bom dia Micael, tudo bem?_x000a_Ainda tem interesse em seguir com uma solução técnologica para sua empresa?"/>
    <s v=""/>
    <x v="404"/>
    <m/>
    <s v=""/>
    <s v="Lcosmeticos"/>
    <s v="11957608058"/>
    <s v=""/>
    <s v="carriaomicael@gmail.com"/>
    <s v=""/>
    <s v=""/>
    <s v=""/>
    <s v=""/>
    <s v=""/>
    <s v="Campanha"/>
    <s v=""/>
    <s v=""/>
    <s v="Dentro Perfil;Instagram"/>
    <s v="Pipeline de Vendas"/>
    <s v="Agendamento (0%)"/>
    <s v=""/>
    <d v="2026-01-31T00:00:00"/>
    <m/>
    <m/>
    <n v="3"/>
    <s v="Paulo Souza"/>
    <d v="2026-01-26T00:00:00"/>
    <d v="1899-12-30T13:12:42"/>
    <s v=""/>
    <s v="Perdido"/>
    <d v="2026-01-29T00:00:00"/>
    <d v="1899-12-30T16:04:41"/>
    <s v="Não houve aprovação financeira"/>
    <s v=""/>
    <s v=""/>
    <x v="0"/>
    <s v="Rayssa Karapeticov"/>
    <x v="0"/>
    <s v=""/>
    <d v="2026-01-27T00:00:00"/>
    <m/>
    <s v=""/>
    <s v=""/>
    <s v=""/>
    <s v=""/>
    <n v="1"/>
  </r>
  <r>
    <x v="1"/>
    <n v="867"/>
    <m/>
    <n v="3176"/>
    <s v="(27/01/2026) em contato com Thales , ficamos de falar por telefone as 11;30 horas do dia 27/01_x000a_(27/01/2026) Reunião de apresentação primeira Etapa AFV em 28/01/2026 as 14 horas _x000a_(28/01/2026) apresentação do força de vendas na integra e vídeos do força de vendas _x000a_cliente pediu para seguirmos com proposta comercial para ver se está dentro do sua previsão de investimento _x000a_(19/02/2026) Thales achou valor acima para o momento"/>
    <s v=""/>
    <x v="405"/>
    <n v="16743404000105"/>
    <s v=""/>
    <s v="MINAS MIX"/>
    <s v="3194143043"/>
    <s v=""/>
    <s v="thales_david@hotmail.com"/>
    <s v=""/>
    <s v=""/>
    <s v=""/>
    <s v="BELO HORIZONTE"/>
    <s v="MG"/>
    <s v="Campanha"/>
    <s v=""/>
    <s v=""/>
    <s v="30%;Dentro Perfil;Instagram"/>
    <s v="Pipeline de Vendas"/>
    <s v="Apresentar Proposta (50%)"/>
    <s v=""/>
    <d v="2026-02-28T00:00:00"/>
    <n v="61904"/>
    <n v="10192"/>
    <n v="24"/>
    <s v="Paulo Souza"/>
    <d v="2026-01-26T00:00:00"/>
    <d v="1899-12-30T13:15:19"/>
    <s v=""/>
    <s v="Perdido"/>
    <d v="2026-02-19T00:00:00"/>
    <d v="1899-12-30T16:36:15"/>
    <s v="Não houve aprovação financeira"/>
    <s v="(19/02/2026) Thales achou valor acima para o momento"/>
    <s v=""/>
    <x v="175"/>
    <s v="Junior Lopes"/>
    <x v="191"/>
    <s v=""/>
    <d v="2026-02-19T00:00:00"/>
    <n v="30"/>
    <s v=""/>
    <s v=""/>
    <s v=""/>
    <s v=""/>
    <n v="1"/>
  </r>
  <r>
    <x v="2"/>
    <n v="868"/>
    <m/>
    <n v="3174"/>
    <s v="Usa o sistema da Linx, é um armazem de bebida e fazvendas por Zé delivery e Ifood."/>
    <s v=""/>
    <x v="406"/>
    <m/>
    <s v=""/>
    <s v="Brasa e Malte"/>
    <s v="31997703979"/>
    <s v=""/>
    <s v="jsamaurin@gmail.com"/>
    <s v=""/>
    <s v=""/>
    <s v=""/>
    <s v=""/>
    <s v=""/>
    <s v="Campanha"/>
    <s v=""/>
    <s v=""/>
    <s v="Fora Perfil;Instagram"/>
    <s v="Pipeline de Vendas"/>
    <s v="Agendamento (0%)"/>
    <s v=""/>
    <d v="2026-01-31T00:00:00"/>
    <m/>
    <m/>
    <n v="0"/>
    <s v="Paulo Souza"/>
    <d v="2026-01-26T00:00:00"/>
    <d v="1899-12-30T13:17:49"/>
    <s v=""/>
    <s v="Perdido"/>
    <d v="2026-01-26T00:00:00"/>
    <d v="1899-12-30T14:29:56"/>
    <s v="Fora do porte mínimo (sem fit estrutural)"/>
    <s v=""/>
    <s v=""/>
    <x v="0"/>
    <s v="Rayssa Karapeticov"/>
    <x v="0"/>
    <s v=""/>
    <m/>
    <m/>
    <s v=""/>
    <s v=""/>
    <s v=""/>
    <s v=""/>
    <n v="1"/>
  </r>
  <r>
    <x v="1"/>
    <n v="869"/>
    <m/>
    <n v="3175"/>
    <s v="17:09, 26/01/2026 Junior Lopes: Olá Leonan ! Boa tarde _x000a_Sou Junior Lopes da Guarani sistemas, Td bem ?_x000a_17:11, 26/01/2026 Leonan: opa boa tarde_x000a_09:05, 27/01/2026 Junior Lopes: Olá Leonan, bom dia tudo bem ?_x000a_09:06, 27/01/2026 Junior Lopes: podemos bater um papo por telefone hoje as 14 horas ? a ideia é entender suas necessidades e te apresentar uma solução para te ajudar_x000a_17:25, 27/01/2026 Junior Lopes: Olá, Leonan! Como não conseguimos evoluir nossa conversa nos últimos dias, entendo que talvez este não seja o momento ideal para focarmos na Solução ERP e Força de vendas. Estou encerrando o seu processo por aqui para não lotar sua caixa de entrada. Vou deixar seu contato salvo e, assim que suas prioridades mudarem, sinta-se à vontade para me chamar"/>
    <s v=""/>
    <x v="407"/>
    <m/>
    <s v=""/>
    <s v="Leme"/>
    <s v="11976239673"/>
    <s v=""/>
    <s v="leonamj@gmail.com"/>
    <s v=""/>
    <s v=""/>
    <s v=""/>
    <s v=""/>
    <s v=""/>
    <s v="Campanha"/>
    <s v=""/>
    <s v=""/>
    <s v="Dentro Perfil;Instagram"/>
    <s v="Pipeline de Vendas"/>
    <s v="Agendamento (0%)"/>
    <s v=""/>
    <d v="2026-01-31T00:00:00"/>
    <m/>
    <m/>
    <n v="103"/>
    <s v="Paulo Souza"/>
    <d v="2026-01-26T00:00:00"/>
    <d v="1899-12-30T13:19:44"/>
    <s v=""/>
    <s v="Perdido"/>
    <d v="2026-05-09T00:00:00"/>
    <d v="1899-12-30T08:11:38"/>
    <s v="Sem qualificação — contato não atende ligações nem responde msg"/>
    <s v=""/>
    <s v=""/>
    <x v="0"/>
    <s v="Junior Lopes"/>
    <x v="0"/>
    <s v=""/>
    <d v="2026-01-27T00:00:00"/>
    <m/>
    <s v=""/>
    <s v=""/>
    <s v=""/>
    <s v=""/>
    <n v="1"/>
  </r>
  <r>
    <x v="2"/>
    <n v="870"/>
    <m/>
    <n v="3173"/>
    <s v="14:32, 1/26/2026 Rayssa Karapeticov - Comercial - Guarani Sistemas: Boa tarde, Adriano, como vai? _x000a_É a Rayssa da Guarani Sistemas _x000a_recebi seu contato para falar de nossas soluções, você prefere que eu te ligue ou trate por aqui?_x000a_15:53, 1/26/2026 +55 16 99614-4458: AMANHÃ ENTRO EM CONTATO_x000a_15:54, 1/26/2026 Rayssa Karapeticov - Comercial - Guarani Sistemas: Perfeito, aguardo retorno_x000a_09:53, 1/27/2026 Rayssa Karapeticov - Comercial - Guarani Sistemas: Bom dia Adriano, tudo bem? _x000a_Conseguimos falar hoje?_x000a_05.02 - Sem retorno do cliente Sem retorno do cliente _x000a_17.02Usa um  sistema do Rio grande do Sul Nova gestor e tem duas dificuldades _x000a_Não comunica com o banco C6Bank _x000a_Ordem de produção _x000a_São uma indústria química por batelada _x000a_Várias tipos de embalagem _x000a_Adesivos industriais _x000a_Minas Gerais - _x000a_8 RCA _x000a_3 pessoas _x000a_Atualmente pagar R$290,00 por mes com todos esses acessos, então fica inviavel a contratação"/>
    <s v=""/>
    <x v="408"/>
    <m/>
    <s v=""/>
    <s v="Kicollaadesivos.com.br"/>
    <s v="16996144458"/>
    <s v=""/>
    <s v="adrianosoaresm@yahoo.com.br"/>
    <s v=""/>
    <s v=""/>
    <s v=""/>
    <s v=""/>
    <s v=""/>
    <s v="Campanha"/>
    <s v=""/>
    <s v=""/>
    <s v="30%;Dentro Perfil;Instagram"/>
    <s v="Pipeline de Vendas"/>
    <s v="Qualificação de Vendas (SQL) (25%)"/>
    <s v=""/>
    <d v="2026-01-31T00:00:00"/>
    <m/>
    <m/>
    <n v="22"/>
    <s v="Paulo Souza"/>
    <d v="2026-01-26T00:00:00"/>
    <d v="1899-12-30T13:21:08"/>
    <s v=""/>
    <s v="Perdido"/>
    <d v="2026-02-17T00:00:00"/>
    <d v="1899-12-30T16:11:30"/>
    <s v="Preço muito alto - fora do budget de investimento"/>
    <s v=""/>
    <s v=""/>
    <x v="0"/>
    <s v="Rayssa Karapeticov"/>
    <x v="0"/>
    <s v=""/>
    <d v="2026-02-17T00:00:00"/>
    <n v="30"/>
    <s v=""/>
    <s v=""/>
    <s v=""/>
    <s v=""/>
    <n v="1"/>
  </r>
  <r>
    <x v="0"/>
    <n v="871"/>
    <m/>
    <n v="3172"/>
    <s v="contato realizado com o Alexanre, sem sucesso. Deixei msg no zap para faalrmos amanha!_x000a_28/01 Fiz FUP hoje com o Alexandre, sem sucesso. Deixei novamente recado no whatsapp e e-mail!_x000a_12/03 Por falta de retorno e interesse estou declinando o lead foi feita diversas tentativa de comunicação sem sucesso."/>
    <s v=""/>
    <x v="409"/>
    <n v="19933187000104"/>
    <s v=""/>
    <s v="Giacom Distribuidora Ltda"/>
    <s v="11918764203"/>
    <s v=""/>
    <s v="alexandre@giacomdistribuidora.com.br"/>
    <s v=""/>
    <s v=""/>
    <s v=""/>
    <s v=""/>
    <s v=""/>
    <s v="Campanha"/>
    <s v=""/>
    <s v=""/>
    <s v="30%;Dentro Perfil;Instagram"/>
    <s v="Pipeline de Vendas"/>
    <s v="Qualificação de Vendas (SQL) (25%)"/>
    <s v=""/>
    <d v="2026-01-31T00:00:00"/>
    <m/>
    <m/>
    <n v="45"/>
    <s v="Paulo Souza"/>
    <d v="2026-01-26T00:00:00"/>
    <d v="1899-12-30T13:21:53"/>
    <s v=""/>
    <s v="Perdido"/>
    <d v="2026-03-12T00:00:00"/>
    <d v="1899-12-30T17:29:31"/>
    <s v="Fora do porte mínimo (sem fit estrutural)"/>
    <s v=""/>
    <s v=""/>
    <x v="0"/>
    <s v="Paulo Souza"/>
    <x v="0"/>
    <s v=""/>
    <d v="2026-03-12T00:00:00"/>
    <n v="30"/>
    <s v=""/>
    <s v=""/>
    <s v=""/>
    <s v=""/>
    <n v="1"/>
  </r>
  <r>
    <x v="0"/>
    <n v="872"/>
    <m/>
    <n v="3178"/>
    <s v="Fiz o primeiro contato com a Maria e agendamos amanhã às 14h._x000a_28/01 Fiz FUP hoje com a maria sem sucesso. Liguei não atendeu , deixei recado no whats app e estou aguardando retorno._x000a_28/01 Consegui fazer a apresentação institucional para a Maria. O próximo passo é enviar a proposta !_x000a_06/02 Fiz uma reunião onde apresentei a proposta. A Maria, foi bem objetiva e falou que o valor ficou bem acima dos demais concorrentes, mesmo assim ela vai ter uma reunião com a diretoria na próxima semana e me retorna se seguiremos ou não!_x000a_26/02 Fiz FUP com a Maria cobrando uma posição se seguiremos ou não._x000a_27/02 Por falta de interação e retorno do cliente estou declinando a proposta."/>
    <s v=""/>
    <x v="410"/>
    <m/>
    <s v=""/>
    <s v="Maria"/>
    <s v="(11) 97129-2472"/>
    <s v=""/>
    <s v="financeiro@autovolth.com.br"/>
    <s v=""/>
    <s v=""/>
    <s v=""/>
    <s v="São Paulo"/>
    <s v=""/>
    <s v="Site"/>
    <s v=""/>
    <s v=""/>
    <s v="50%;Solicita demo"/>
    <s v="Pipeline de Vendas"/>
    <s v="Em negociação (75%)"/>
    <s v=""/>
    <d v="2026-02-28T00:00:00"/>
    <n v="701343"/>
    <n v="17345"/>
    <n v="32"/>
    <s v="Paulo Souza"/>
    <d v="2026-01-26T00:00:00"/>
    <d v="1899-12-30T17:09:40"/>
    <s v=""/>
    <s v="Perdido"/>
    <d v="2026-02-27T00:00:00"/>
    <d v="1899-12-30T21:20:57"/>
    <s v="Projeto adiado / sem prazo definido"/>
    <s v=""/>
    <s v=""/>
    <x v="177"/>
    <s v="Paulo Souza"/>
    <x v="192"/>
    <s v=""/>
    <d v="2026-02-26T00:00:00"/>
    <n v="50"/>
    <s v="330"/>
    <s v="ERP, PCP, ADICIONAIS"/>
    <s v="R$ 66.000"/>
    <s v="R$ 5.868,80"/>
    <n v="1"/>
  </r>
  <r>
    <x v="1"/>
    <n v="873"/>
    <m/>
    <n v="3179"/>
    <s v="(27/01/2026) Olá Fábio ! Bom dia _x000a_Sou Junior Lopes da Guarani sistemas, Td bem ?_x000a_acrescentei um áudio me apresentando e sugerindo um bate papo hoje as 14 horas _x000a_(29/01/2026) tentativa de contato sem retorno do Fabio !_x000a_Olá Fábio ! Estou tentando contato para falarmos sobre as soluções Guarani ! _x000a_Porém devido a falta de retorno acredito que você está com outras prioridades _x000a_Vou deixar seu contato salvo caso em breve queira conversar _x000a_Um grande abraço"/>
    <s v=""/>
    <x v="411"/>
    <m/>
    <s v=""/>
    <s v="FB dis"/>
    <s v="11992758370"/>
    <s v=""/>
    <s v="fabiojb80@gmail.com"/>
    <s v=""/>
    <s v=""/>
    <s v=""/>
    <s v=""/>
    <s v=""/>
    <s v="Campanha"/>
    <s v=""/>
    <s v=""/>
    <s v="Dentro Perfil;Instagram"/>
    <s v="Pipeline de Vendas"/>
    <s v="Agendamento (0%)"/>
    <s v=""/>
    <m/>
    <m/>
    <m/>
    <n v="102"/>
    <s v="Paulo Souza"/>
    <d v="2026-01-27T00:00:00"/>
    <d v="1899-12-30T08:39:12"/>
    <s v=""/>
    <s v="Perdido"/>
    <d v="2026-05-09T00:00:00"/>
    <d v="1899-12-30T08:13:07"/>
    <s v="Sem qualificação — contato não atende ligações nem responde msg"/>
    <s v=""/>
    <s v=""/>
    <x v="0"/>
    <s v="Junior Lopes"/>
    <x v="0"/>
    <s v=""/>
    <d v="2026-01-29T00:00:00"/>
    <m/>
    <s v=""/>
    <s v=""/>
    <s v=""/>
    <s v=""/>
    <n v="1"/>
  </r>
  <r>
    <x v="2"/>
    <n v="874"/>
    <m/>
    <n v="3180"/>
    <s v=""/>
    <s v=""/>
    <x v="412"/>
    <m/>
    <s v=""/>
    <s v="Scientech Ambiental"/>
    <s v="11999733410"/>
    <s v=""/>
    <s v="luissscaro@hotmail.com"/>
    <s v=""/>
    <s v=""/>
    <s v=""/>
    <s v=""/>
    <s v=""/>
    <s v="Campanha"/>
    <s v=""/>
    <s v=""/>
    <s v="Fora Perfil;Instagram"/>
    <s v="Pipeline de Vendas"/>
    <s v="Agendamento (0%)"/>
    <s v=""/>
    <d v="2026-01-31T00:00:00"/>
    <m/>
    <m/>
    <n v="2"/>
    <s v="Paulo Souza"/>
    <d v="2026-01-27T00:00:00"/>
    <d v="1899-12-30T08:40:17"/>
    <s v=""/>
    <s v="Perdido"/>
    <d v="2026-01-29T00:00:00"/>
    <d v="1899-12-30T15:59:33"/>
    <s v="Fora do porte mínimo (sem fit estrutural)"/>
    <s v=""/>
    <s v=""/>
    <x v="0"/>
    <s v="Rayssa Karapeticov"/>
    <x v="0"/>
    <s v=""/>
    <m/>
    <m/>
    <s v=""/>
    <s v=""/>
    <s v=""/>
    <s v=""/>
    <n v="1"/>
  </r>
  <r>
    <x v="1"/>
    <n v="876"/>
    <m/>
    <n v="3182"/>
    <s v=""/>
    <s v="Orbhes Espumas E Colchoes Ltda"/>
    <x v="413"/>
    <n v="5937946000100"/>
    <s v=""/>
    <s v="Orbhes Espumas E Colchoes Ltda"/>
    <s v="(47) 3376-8400"/>
    <s v=""/>
    <s v="orbhes@orbhes.com.br"/>
    <s v=""/>
    <s v=""/>
    <s v=""/>
    <s v="JARAGUA DO SUL"/>
    <s v="SC"/>
    <s v="Base de empresas Leads2b"/>
    <s v=""/>
    <s v=""/>
    <s v="80%"/>
    <s v="Pipeline de Vendas"/>
    <s v="Em Fechamento (100%)"/>
    <s v=""/>
    <d v="2026-02-28T00:00:00"/>
    <n v="16960"/>
    <n v="32775"/>
    <n v="16"/>
    <s v="Junior Lopes"/>
    <d v="2026-01-28T00:00:00"/>
    <d v="1899-12-30T09:06:40"/>
    <s v=""/>
    <s v="Ganho"/>
    <d v="2026-02-13T00:00:00"/>
    <d v="1899-12-30T12:16:48"/>
    <s v=""/>
    <s v=""/>
    <s v=""/>
    <x v="178"/>
    <s v="Junior Lopes"/>
    <x v="193"/>
    <s v=""/>
    <m/>
    <n v="80"/>
    <s v=""/>
    <s v=""/>
    <s v=""/>
    <s v=""/>
    <n v="1"/>
  </r>
  <r>
    <x v="0"/>
    <n v="877"/>
    <m/>
    <n v="3187"/>
    <s v="28/01 Apresentar o sistema B2B para Clevis o responsável de TI e Alessandro gerente de loja. _x000a_05/02/2026 Fiz apresentação do produto e da proposta, agora negociado._x000a_26/02 Fiz FUP com o CLEVIS, hoje cobrando a reunião para negociar!_x000a_10/03 Fiz reunião ontem com o Clevis e expliquei que o que e possível em relação a isenção da mensalidade é : 4 meses da assinatura ou qdo sistema em produção._x000a_12/03 Negociando o fechamento reunião técnica para o dia 17/03 as 15h._x000a_12/03 Fiz FUP hoje com o Clevis para firmar uma agenda de uma conversa técnica para terça feira dia 17/03 as 15h. Será feito nessa reunião um alinhamento de integração do nosso B2B com o JJsistema  . _x000a_A proposta ficou em 13k e a mensalidade iniciar com com 4 meses da assinatura do contrato ou sistema em produção._x000a_20/03 Esta na fase de coleta de documentação para assinar o contrato."/>
    <s v=""/>
    <x v="414"/>
    <m/>
    <s v=""/>
    <s v="Clevis"/>
    <s v="47992119052"/>
    <s v=""/>
    <s v="null"/>
    <s v=""/>
    <s v=""/>
    <s v=""/>
    <s v=""/>
    <s v=""/>
    <s v="BaseGua"/>
    <s v=""/>
    <s v=""/>
    <s v="90%"/>
    <s v="Pipeline de Vendas"/>
    <s v="Em Fechamento (100%)"/>
    <s v=""/>
    <d v="2026-03-31T00:00:00"/>
    <n v="12000"/>
    <n v="1700"/>
    <n v="110"/>
    <s v="Paulo Souza"/>
    <d v="2026-01-28T00:00:00"/>
    <d v="1899-12-30T15:54:53"/>
    <s v=""/>
    <s v="Perdido"/>
    <d v="2026-05-18T00:00:00"/>
    <d v="1899-12-30T17:08:31"/>
    <s v="Não houve aprovação financeira"/>
    <s v=""/>
    <s v=""/>
    <x v="118"/>
    <s v="Paulo Souza"/>
    <x v="194"/>
    <s v=""/>
    <d v="2026-03-20T00:00:00"/>
    <n v="80"/>
    <s v="24"/>
    <s v="B2B"/>
    <s v="R$ 0,00"/>
    <s v="R$ 0,00"/>
    <n v="1"/>
  </r>
  <r>
    <x v="1"/>
    <n v="879"/>
    <m/>
    <n v="3192"/>
    <s v="(29/01/2026) feito ligação para Marcelo para explicar valores da proposta comercial"/>
    <s v="Portal Importacao E Exportacao De Equipamentos De Informatica Ltda"/>
    <x v="415"/>
    <n v="42371959000183"/>
    <s v=""/>
    <s v="Portal Importacao E Exportacao De Equipamentos De Informatica Ltda"/>
    <s v="(11) 8444-8642"/>
    <s v=""/>
    <s v="portal@gmail.com"/>
    <s v=""/>
    <s v=""/>
    <s v=""/>
    <s v="GUARULHOS"/>
    <s v="SP"/>
    <s v="Base de empresas Leads2b"/>
    <s v=""/>
    <s v=""/>
    <s v="30%"/>
    <s v="Pipeline de Vendas"/>
    <s v="Apresentar Proposta (50%)"/>
    <s v=""/>
    <d v="2026-02-28T00:00:00"/>
    <n v="79958"/>
    <n v="45432"/>
    <n v="25"/>
    <s v="Junior Lopes"/>
    <d v="2026-01-29T00:00:00"/>
    <d v="1899-12-30T09:56:25"/>
    <s v=""/>
    <s v="Perdido"/>
    <d v="2026-02-23T00:00:00"/>
    <d v="1899-12-30T15:07:05"/>
    <s v="Não houve aprovação financeira"/>
    <s v="cliente declinou após recebimento da proposta comercial"/>
    <s v=""/>
    <x v="175"/>
    <s v="Junior Lopes"/>
    <x v="189"/>
    <s v=""/>
    <m/>
    <n v="30"/>
    <s v=""/>
    <s v=""/>
    <s v=""/>
    <s v=""/>
    <n v="1"/>
  </r>
  <r>
    <x v="1"/>
    <n v="882"/>
    <m/>
    <n v="3199"/>
    <s v="em contato na feira Abcasa , vai seguir com AFV"/>
    <s v=""/>
    <x v="416"/>
    <m/>
    <s v=""/>
    <s v="Plasberg - ERP"/>
    <s v="75981412000"/>
    <s v=""/>
    <s v="null"/>
    <s v=""/>
    <s v=""/>
    <s v=""/>
    <s v=""/>
    <s v=""/>
    <s v=""/>
    <s v=""/>
    <s v=""/>
    <s v="50%"/>
    <s v="Pipeline de Vendas"/>
    <s v="Em negociação (75%)"/>
    <s v=""/>
    <d v="2026-02-28T00:00:00"/>
    <n v="90000"/>
    <n v="921279"/>
    <n v="15"/>
    <s v="Junior Lopes"/>
    <d v="2026-01-29T00:00:00"/>
    <d v="1899-12-30T16:10:26"/>
    <s v=""/>
    <s v="Perdido"/>
    <d v="2026-02-13T00:00:00"/>
    <d v="1899-12-30T12:24:12"/>
    <s v="Não quer mudar a solução atual"/>
    <s v="em contato na feira Abcasa , vai seguir com AFV"/>
    <s v=""/>
    <x v="179"/>
    <s v="Junior Lopes"/>
    <x v="175"/>
    <s v=""/>
    <d v="2026-02-13T00:00:00"/>
    <n v="50"/>
    <s v=""/>
    <s v=""/>
    <s v=""/>
    <s v=""/>
    <n v="1"/>
  </r>
  <r>
    <x v="1"/>
    <n v="883"/>
    <m/>
    <n v="3200"/>
    <s v="em contato na feira Abcasa , vai seguir com AFV"/>
    <s v=""/>
    <x v="113"/>
    <m/>
    <s v=""/>
    <s v="Plasberg - AFV"/>
    <s v="75981412000"/>
    <s v=""/>
    <s v="null"/>
    <s v=""/>
    <s v=""/>
    <s v=""/>
    <s v=""/>
    <s v=""/>
    <s v=""/>
    <s v=""/>
    <s v=""/>
    <s v="50%"/>
    <s v="Pipeline de Vendas"/>
    <s v="Em negociação (75%)"/>
    <s v=""/>
    <d v="2026-02-28T00:00:00"/>
    <n v="1600"/>
    <n v="599515"/>
    <n v="15"/>
    <s v="Junior Lopes"/>
    <d v="2026-01-29T00:00:00"/>
    <d v="1899-12-30T16:20:50"/>
    <s v=""/>
    <s v="Perdido"/>
    <d v="2026-02-13T00:00:00"/>
    <d v="1899-12-30T12:25:47"/>
    <s v="Não quer mudar a solução atual"/>
    <s v="em contato na feira Abcasa , vai seguir com AFV"/>
    <s v=""/>
    <x v="179"/>
    <s v="Junior Lopes"/>
    <x v="175"/>
    <s v=""/>
    <d v="2026-02-13T00:00:00"/>
    <n v="50"/>
    <s v=""/>
    <s v=""/>
    <s v=""/>
    <s v=""/>
    <n v="1"/>
  </r>
  <r>
    <x v="1"/>
    <n v="884"/>
    <m/>
    <n v="3202"/>
    <s v="10:21, 09/03/2026 Junior Lopes: Olá Breno ! Como vai ?_x000a_11:06, 09/03/2026 Breno Plasberg: Bom dia_x000a_11:07, 09/03/2026 Junior Lopes: tudo bem meu amigo ! sobre a sequencia do projeto, alguma novidade ?"/>
    <s v=""/>
    <x v="417"/>
    <m/>
    <s v=""/>
    <s v="Plasberg - AFV"/>
    <s v="75981412000"/>
    <s v=""/>
    <s v="null"/>
    <s v=""/>
    <s v=""/>
    <s v=""/>
    <s v=""/>
    <s v=""/>
    <s v=""/>
    <s v=""/>
    <s v=""/>
    <s v="50%"/>
    <s v="Pipeline de Vendas"/>
    <s v="Em Fechamento (100%)"/>
    <s v=""/>
    <d v="2026-03-31T00:00:00"/>
    <n v="149248"/>
    <n v="29499"/>
    <n v="62"/>
    <s v="Junior Lopes"/>
    <d v="2026-01-29T00:00:00"/>
    <d v="1899-12-30T16:37:42"/>
    <s v=""/>
    <s v="Ganho"/>
    <d v="2026-04-01T00:00:00"/>
    <d v="1899-12-30T15:31:20"/>
    <s v=""/>
    <s v=""/>
    <s v=""/>
    <x v="175"/>
    <s v="Junior Lopes"/>
    <x v="175"/>
    <s v="11/02/2026"/>
    <d v="2026-02-09T00:00:00"/>
    <n v="50"/>
    <s v=""/>
    <s v=""/>
    <s v=""/>
    <s v=""/>
    <n v="1"/>
  </r>
  <r>
    <x v="1"/>
    <n v="885"/>
    <m/>
    <n v="3205"/>
    <s v="(29/01/2026) em contato com Artur, esta em analise interna"/>
    <s v=""/>
    <x v="418"/>
    <n v="4312818000109"/>
    <s v=""/>
    <s v="Pino lar"/>
    <s v=""/>
    <s v=""/>
    <s v=""/>
    <s v=""/>
    <s v=""/>
    <s v=""/>
    <s v="SAO PAULO"/>
    <s v="SP"/>
    <s v=""/>
    <s v=""/>
    <s v=""/>
    <s v="30%"/>
    <s v="Pipeline de Vendas"/>
    <s v="Em negociação (75%)"/>
    <s v=""/>
    <d v="2026-02-28T00:00:00"/>
    <n v="1600"/>
    <n v="384454"/>
    <n v="20"/>
    <s v="Junior Lopes"/>
    <d v="2026-01-30T00:00:00"/>
    <d v="1899-12-30T14:50:39"/>
    <s v=""/>
    <s v="Perdido"/>
    <d v="2026-02-19T00:00:00"/>
    <d v="1899-12-30T16:32:59"/>
    <s v="Não quer mudar a solução atual"/>
    <s v="11:13, 13/02/2026 Artur Pino Pino Lar: Bom dia_x000a_11:13, 13/02/2026 Artur Pino Pino Lar: Tudo bem ?_x000a_11:13, 13/02/2026 Artur Pino Pino Lar: Optei em fechar com a Penso_x000a_11:13, 13/02/2026 Artur Pino Pino Lar: Nossa empresa de TI_x000a_11:14, 13/02/2026 Artur Pino Pino Lar: O valor , pelo pacote que temos ficou muito atrativo_x000a_11:14, 13/02/2026 Artur Pino Pino Lar: Próxima semana já vamos iniciar a carga de dados_x000a_11:14, 13/02/2026 Artur Pino Pino Lar: Mas …… obrigado !_x000a_11:16, 13/02/2026 Junior Lopes: Olá Artur , perfeito!  Vou comunicar o Fernando por aqui"/>
    <s v=""/>
    <x v="172"/>
    <s v="Junior Lopes"/>
    <x v="0"/>
    <s v=""/>
    <d v="2026-02-19T00:00:00"/>
    <n v="30"/>
    <s v=""/>
    <s v=""/>
    <s v=""/>
    <s v=""/>
    <n v="1"/>
  </r>
  <r>
    <x v="1"/>
    <n v="886"/>
    <m/>
    <n v="3207"/>
    <s v="Perfeito Cláudio ! Abraço_x000a_Olá Cláudio! Como vai ?_x000a_Olá Cláudio Td bem ? _x000a_Como não recebi seu retorno nos últimos dias, entendo que talvez não seja o melhor momento para seguirmos com projeto Guarani _x000a_Para nao lotar seu WhatsApp de mensagens estou encerrando o contato! _x000a_Caso suas prioridades mudem sigo a disposição _x000a_Abraço"/>
    <s v=""/>
    <x v="419"/>
    <m/>
    <s v=""/>
    <s v="Claudio Teixeira"/>
    <s v="43996693593"/>
    <s v=""/>
    <s v="claudioteixeirasap@hotmail.com"/>
    <s v=""/>
    <s v=""/>
    <s v=""/>
    <s v=""/>
    <s v=""/>
    <s v=""/>
    <s v=""/>
    <s v=""/>
    <s v="Dentro Perfil;Instagram"/>
    <s v="Pipeline de Vendas"/>
    <s v="Apresentar Proposta (50%)"/>
    <s v=""/>
    <m/>
    <n v="1600"/>
    <n v="252471"/>
    <n v="38"/>
    <s v="Junior Lopes"/>
    <d v="2026-01-30T00:00:00"/>
    <d v="1899-12-30T15:24:23"/>
    <s v=""/>
    <s v="Perdido"/>
    <d v="2026-03-09T00:00:00"/>
    <d v="1899-12-30T11:03:54"/>
    <s v="Projeto adiado / sem prazo definido"/>
    <s v="Perfeito Cláudio ! Abraço_x000a_Olá Cláudio! Como vai ?_x000a_Olá Cláudio Td bem ? _x000a_Como não recebi seu retorno nos últimos dias, entendo que talvez não seja o melhor momento para seguirmos com projeto Guarani _x000a_Para nao lotar seu WhatsApp de mensagens estou encerrando o contato! _x000a_Caso suas prioridades mudem sigo a disposição _x000a_Abraço"/>
    <s v=""/>
    <x v="172"/>
    <s v=""/>
    <x v="0"/>
    <s v=""/>
    <d v="2026-02-09T00:00:00"/>
    <m/>
    <s v=""/>
    <s v=""/>
    <s v=""/>
    <s v=""/>
    <n v="1"/>
  </r>
  <r>
    <x v="1"/>
    <n v="887"/>
    <m/>
    <n v="3208"/>
    <s v=""/>
    <s v=""/>
    <x v="420"/>
    <m/>
    <s v=""/>
    <s v="Mauricio Jorge Lima - Cloud"/>
    <s v="9384064995"/>
    <s v=""/>
    <s v="mauriciojlatm@gmail.com"/>
    <s v=""/>
    <s v=""/>
    <s v=""/>
    <s v=""/>
    <s v=""/>
    <s v=""/>
    <s v=""/>
    <s v=""/>
    <s v="Dentro Perfil"/>
    <s v="Pipeline de Vendas"/>
    <s v="Apresentar Solução (35%)"/>
    <s v=""/>
    <m/>
    <n v="1600"/>
    <n v="254271"/>
    <n v="6"/>
    <s v="Junior Lopes"/>
    <d v="2026-01-30T00:00:00"/>
    <d v="1899-12-30T15:57:59"/>
    <s v=""/>
    <s v="Perdido"/>
    <d v="2026-02-05T00:00:00"/>
    <d v="1899-12-30T14:13:46"/>
    <s v="Preço muito alto - fora do budget de investimento"/>
    <s v=": Preço muito alto"/>
    <s v=""/>
    <x v="172"/>
    <s v=""/>
    <x v="183"/>
    <s v=""/>
    <d v="2026-01-26T00:00:00"/>
    <m/>
    <s v=""/>
    <s v=""/>
    <s v=""/>
    <s v=""/>
    <n v="1"/>
  </r>
  <r>
    <x v="1"/>
    <n v="888"/>
    <m/>
    <n v="3209"/>
    <s v=""/>
    <s v=""/>
    <x v="421"/>
    <m/>
    <s v=""/>
    <s v="Folha dourada tabacos - Cloud"/>
    <s v="3284083586"/>
    <s v=""/>
    <s v="atacabaco@gmail.com"/>
    <s v=""/>
    <s v=""/>
    <s v=""/>
    <s v=""/>
    <s v=""/>
    <s v=""/>
    <s v=""/>
    <s v=""/>
    <s v="Dentro Perfil;Instagram"/>
    <s v="Pipeline de Vendas"/>
    <s v="Apresentar Solução (35%)"/>
    <s v=""/>
    <m/>
    <n v="1600"/>
    <n v="252471"/>
    <n v="6"/>
    <s v="Junior Lopes"/>
    <d v="2026-01-30T00:00:00"/>
    <d v="1899-12-30T16:09:17"/>
    <s v=""/>
    <s v="Perdido"/>
    <d v="2026-02-05T00:00:00"/>
    <d v="1899-12-30T12:21:51"/>
    <s v="Não houve aprovação financeira"/>
    <s v="valor acima da expectativa"/>
    <s v=""/>
    <x v="166"/>
    <s v=""/>
    <x v="176"/>
    <s v=""/>
    <d v="2026-01-29T00:00:00"/>
    <m/>
    <s v=""/>
    <s v=""/>
    <s v=""/>
    <s v=""/>
    <n v="1"/>
  </r>
  <r>
    <x v="1"/>
    <n v="889"/>
    <m/>
    <n v="3210"/>
    <s v="(19/02/2026) Thales achou valor acima para o momento"/>
    <s v=""/>
    <x v="422"/>
    <m/>
    <s v=""/>
    <s v="Minas Mix - Cloud"/>
    <s v="3194143043"/>
    <s v=""/>
    <s v="thales_david@hotmail.com"/>
    <s v=""/>
    <s v=""/>
    <s v=""/>
    <s v=""/>
    <s v=""/>
    <s v=""/>
    <s v=""/>
    <s v=""/>
    <s v="30%;Dentro Perfil;Instagram"/>
    <s v="Pipeline de Vendas"/>
    <s v="Apresentar Proposta (50%)"/>
    <s v=""/>
    <m/>
    <n v="1600"/>
    <n v="252471"/>
    <n v="20"/>
    <s v="Junior Lopes"/>
    <d v="2026-01-30T00:00:00"/>
    <d v="1899-12-30T16:40:37"/>
    <s v=""/>
    <s v="Perdido"/>
    <d v="2026-02-19T00:00:00"/>
    <d v="1899-12-30T16:37:47"/>
    <s v="Não houve aprovação financeira"/>
    <s v="(19/02/2026) Thales achou valor acima para o momento"/>
    <s v=""/>
    <x v="175"/>
    <s v="Junior Lopes"/>
    <x v="191"/>
    <s v=""/>
    <d v="2026-02-19T00:00:00"/>
    <n v="30"/>
    <s v=""/>
    <s v=""/>
    <s v=""/>
    <s v=""/>
    <n v="1"/>
  </r>
  <r>
    <x v="1"/>
    <n v="890"/>
    <m/>
    <n v="3190"/>
    <s v="16:53, 30/01/2026 Junior Lopes: ani sistemas, Td bem ?_x000a_17:35, 30/01/2026 Leonardo Form: Boa tarde tudo e vc ?_x000a_16:53, 02/02/2026 Junior Lopes: Olá Leonardo, boa tarde  ! tem interesse em conhecer nossas soluções ?"/>
    <s v=""/>
    <x v="423"/>
    <n v="747901000222"/>
    <s v=""/>
    <s v="Tenneco"/>
    <s v="19995356201"/>
    <s v=""/>
    <s v="ltavares@tenneco.com"/>
    <s v=""/>
    <s v=""/>
    <s v=""/>
    <s v=""/>
    <s v=""/>
    <s v="Campanha"/>
    <s v=""/>
    <s v=""/>
    <s v="30%;Dentro Perfil;Instagram"/>
    <s v="Pipeline de Vendas"/>
    <s v="Apresentar Solução (35%)"/>
    <s v=""/>
    <d v="2026-02-28T00:00:00"/>
    <m/>
    <m/>
    <n v="99"/>
    <s v="Paulo Souza"/>
    <d v="2026-01-30T00:00:00"/>
    <d v="1899-12-30T16:49:56"/>
    <s v=""/>
    <s v="Perdido"/>
    <d v="2026-05-09T00:00:00"/>
    <d v="1899-12-30T08:34:33"/>
    <s v="Sem qualificação — contato não atende ligações nem responde msg"/>
    <s v=""/>
    <s v=""/>
    <x v="0"/>
    <s v="Junior Lopes"/>
    <x v="0"/>
    <s v=""/>
    <d v="2026-03-09T00:00:00"/>
    <n v="30"/>
    <s v=""/>
    <s v=""/>
    <s v=""/>
    <s v=""/>
    <n v="1"/>
  </r>
  <r>
    <x v="2"/>
    <n v="891"/>
    <m/>
    <n v="3191"/>
    <s v="18.02 - Tentativa de contato realizado por telefone e-mail"/>
    <s v=""/>
    <x v="424"/>
    <m/>
    <s v=""/>
    <s v="Certo"/>
    <s v="3335294949"/>
    <s v=""/>
    <s v="ti@grupocerto.com.br"/>
    <s v=""/>
    <s v=""/>
    <s v=""/>
    <s v=""/>
    <s v=""/>
    <s v="Campanha"/>
    <s v=""/>
    <s v=""/>
    <s v="30%;Dentro Perfil;Instagram"/>
    <s v="Pipeline de Vendas"/>
    <s v="Apresentar Proposta (50%)"/>
    <s v=""/>
    <d v="2026-02-28T00:00:00"/>
    <m/>
    <m/>
    <n v="26"/>
    <s v="Paulo Souza"/>
    <d v="2026-01-30T00:00:00"/>
    <d v="1899-12-30T16:51:49"/>
    <s v=""/>
    <s v="Perdido"/>
    <d v="2026-02-25T00:00:00"/>
    <d v="1899-12-30T10:30:05"/>
    <s v="Cliente não quer contato LGPD"/>
    <s v=""/>
    <s v=""/>
    <x v="0"/>
    <s v="Rayssa Karapeticov"/>
    <x v="0"/>
    <s v=""/>
    <d v="2026-02-18T00:00:00"/>
    <n v="30"/>
    <s v=""/>
    <s v=""/>
    <s v=""/>
    <s v=""/>
    <n v="1"/>
  </r>
  <r>
    <x v="1"/>
    <n v="892"/>
    <m/>
    <n v="3196"/>
    <s v="(30/01/2026) Sou Junior Lopes da Guarani sistemas_x000a_16:56, 30/01/2026 Junior Lopes: Td bem ?_x000a_17:01, 30/01/2026 Orlando: Tudo_x000a_17:08, 30/01/2026 Orlando: Descreve alguma coisa do seu sistema_x000a_17:29, 30/01/2026 Orlando: Qual o valor mensal?_x000a_Este valor mensal posso incluir quantas empresas?_x000a_16:49, 02/02/2026 Junior Lopes: Olá Orlando , tem interesse em dar continuidade no contato ?_x000a_Hj um investimento em um ERP Guarani controlando sua empresa de ponta a ponta desde a produção passando pelos módulos financeiro a pagar e receber, comercial, compras, Fiscal, logística/expedicao (WMS) e Força de vendas ! Fica dentro de uma expectativa entre (60 mil a 90 mil) de investimento em implantação e treinamentos !_x000a_A mensalidade é por usuário sendo R$ 280,00 do ERP e R$ 115,00 do AFV_x000a_Caso queira um orçamento mais preciso, podemos nos reunir para entender melhor suas necessidades_x000a_O que seria AFV?  (enviei =áudio explicando)_x000a_(11/02/2026) retornei contato com Orlando buscando continuidade no atendimento _x000a_10:07, 19/02/2026 Orlando: Falamos mais tarde_x000a_10:08, 19/02/2026 Orlando: Estou viajando, melhor poderia me chamar na segunda feira?_x000a_10:17, 19/02/2026 Junior Lopes: Estou viajando, melhor poderia me chamar na segunda feira?_x000a_Sim ! Te chamo segunda-feira_x000a_(16/03/2026) em contato com Orlando ! acredito que não esta no momento certo ! Orlando um pouco confuso"/>
    <s v=""/>
    <x v="425"/>
    <n v="54888350000165"/>
    <s v=""/>
    <s v="Plastilando Ind e Com"/>
    <s v="21999778181"/>
    <s v=""/>
    <s v="orlando@plastianna.com.br"/>
    <s v=""/>
    <s v=""/>
    <s v=""/>
    <s v=""/>
    <s v=""/>
    <s v="Campanha"/>
    <s v=""/>
    <s v=""/>
    <s v="30%;Dentro Perfil;Instagram"/>
    <s v="Pipeline de Vendas"/>
    <s v="Em negociação (75%)"/>
    <s v=""/>
    <d v="2026-03-31T00:00:00"/>
    <n v="1148572"/>
    <n v="71924"/>
    <n v="99"/>
    <s v="Paulo Souza"/>
    <d v="2026-01-30T00:00:00"/>
    <d v="1899-12-30T16:53:38"/>
    <s v=""/>
    <s v="Perdido"/>
    <d v="2026-05-09T00:00:00"/>
    <d v="1899-12-30T08:30:36"/>
    <s v="Não houve aprovação financeira"/>
    <s v=""/>
    <s v=""/>
    <x v="180"/>
    <s v="Junior Lopes"/>
    <x v="195"/>
    <s v=""/>
    <d v="2026-03-16T00:00:00"/>
    <n v="30"/>
    <s v=""/>
    <s v=""/>
    <s v=""/>
    <s v=""/>
    <n v="1"/>
  </r>
  <r>
    <x v="0"/>
    <n v="893"/>
    <m/>
    <n v="3203"/>
    <s v="17/02 Feito apresentação institucional e vídeos do ERP . _x000a_10/03 Fiz FUP com o Henrique e ele recebeu a proposta e esta sobre analise. Temos um reunião de apresentação de WMS na sexta-feira proxima para ele conhecer este módulo e seguirmos._x000a_20/03 Aguardando o Henrique se reunir com o time de ERP atual para decidir se vai trocar ou não o sistema."/>
    <s v=""/>
    <x v="426"/>
    <n v="10258712000169"/>
    <s v=""/>
    <s v="HENRIQUE CARVALHO SANTOS"/>
    <s v="(31) 99987-1034"/>
    <s v=""/>
    <s v="henrique@armandonacionais.com.br"/>
    <s v=""/>
    <s v=""/>
    <s v=""/>
    <s v="São Paulo"/>
    <s v=""/>
    <s v="Site"/>
    <s v=""/>
    <s v=""/>
    <s v="90%;Dentro Perfil;Solicita demo"/>
    <s v="Pipeline de Vendas"/>
    <s v="Em Fechamento (100%)"/>
    <s v=""/>
    <d v="2026-03-31T00:00:00"/>
    <n v="1301786"/>
    <n v="2713706"/>
    <n v="70"/>
    <s v="Paulo Souza"/>
    <d v="2026-01-30T00:00:00"/>
    <d v="1899-12-30T17:03:26"/>
    <s v=""/>
    <s v="Perdido"/>
    <d v="2026-04-10T00:00:00"/>
    <d v="1899-12-30T15:57:04"/>
    <s v="Não quer mudar a solução atual"/>
    <s v=""/>
    <s v=""/>
    <x v="168"/>
    <s v="Paulo Souza"/>
    <x v="182"/>
    <s v=""/>
    <d v="2026-03-20T00:00:00"/>
    <n v="30"/>
    <s v=""/>
    <s v="ERP, AFV, PDV, TREINAMENTO"/>
    <s v=""/>
    <s v=""/>
    <n v="1"/>
  </r>
  <r>
    <x v="0"/>
    <n v="894"/>
    <m/>
    <n v="3204"/>
    <s v="26/02 Foi feito FUP com o Wilson e ele optou pela concorrência devido a valor."/>
    <s v=""/>
    <x v="427"/>
    <m/>
    <s v=""/>
    <s v="Mobal"/>
    <s v="13997072312"/>
    <s v=""/>
    <s v="alumiglass.peruibe@gmail.com"/>
    <s v=""/>
    <s v=""/>
    <s v=""/>
    <s v=""/>
    <s v=""/>
    <s v="Campanha"/>
    <s v=""/>
    <s v=""/>
    <s v="30%;Dentro Perfil;Instagram"/>
    <s v="Pipeline de Vendas"/>
    <s v="Agendamento (0%)"/>
    <s v=""/>
    <d v="2026-02-28T00:00:00"/>
    <m/>
    <m/>
    <n v="27"/>
    <s v="Paulo Souza"/>
    <d v="2026-01-30T00:00:00"/>
    <d v="1899-12-30T17:06:43"/>
    <s v=""/>
    <s v="Perdido"/>
    <d v="2026-02-26T00:00:00"/>
    <d v="1899-12-30T18:31:38"/>
    <s v="Fechou com o concorrente - preço"/>
    <s v="26/02 Foi feito FUP com o Wilson e ele optou pela concorrência devido a valor."/>
    <s v=""/>
    <x v="0"/>
    <s v="Paulo Souza"/>
    <x v="0"/>
    <s v=""/>
    <d v="2026-02-26T00:00:00"/>
    <n v="30"/>
    <s v=""/>
    <s v="ERP"/>
    <s v=""/>
    <s v=""/>
    <n v="1"/>
  </r>
  <r>
    <x v="2"/>
    <n v="895"/>
    <m/>
    <n v="3201"/>
    <s v="07.04 cliente ainda imaturo para os processos"/>
    <s v="Fabiano Aparecido Vaine"/>
    <x v="428"/>
    <n v="28229707000193"/>
    <s v=""/>
    <s v="Fabiano Aparecido Vaine"/>
    <s v="(16) 9701-3510"/>
    <s v=""/>
    <s v="fabianovaine@terra.com.br"/>
    <s v=""/>
    <s v=""/>
    <s v=""/>
    <s v="SAO CARLOS"/>
    <s v="SP"/>
    <s v="Base de empresas Leads2b"/>
    <s v=""/>
    <s v=""/>
    <s v="30%;Dentro Perfil"/>
    <s v="Pipeline de Vendas"/>
    <s v="Apresentar Solução (35%)"/>
    <s v=""/>
    <d v="2026-04-30T00:00:00"/>
    <m/>
    <m/>
    <n v="64"/>
    <s v="Rayssa Karapeticov"/>
    <d v="2026-02-02T00:00:00"/>
    <d v="1899-12-30T09:47:17"/>
    <s v=""/>
    <s v="Perdido"/>
    <d v="2026-04-07T00:00:00"/>
    <d v="1899-12-30T10:56:50"/>
    <s v="Não quer mudar a solução atual"/>
    <s v=""/>
    <s v=""/>
    <x v="0"/>
    <s v="Rayssa Karapeticov"/>
    <x v="196"/>
    <s v=""/>
    <d v="2026-02-17T00:00:00"/>
    <n v="30"/>
    <s v=""/>
    <s v="ERP, AFV, PCP, WMS"/>
    <s v=""/>
    <s v=""/>
    <n v="1"/>
  </r>
  <r>
    <x v="2"/>
    <n v="901"/>
    <m/>
    <n v="3218"/>
    <s v="05/02 - Possui uma loja de peças de moto, onde presta serviço de conserto também. _x000a_Fora do perfil"/>
    <s v=""/>
    <x v="429"/>
    <m/>
    <s v=""/>
    <s v="RG moto peças"/>
    <s v="87988082642"/>
    <s v=""/>
    <s v="regisandes10@outlook.com"/>
    <s v=""/>
    <s v=""/>
    <s v=""/>
    <s v=""/>
    <s v=""/>
    <s v="Campanha"/>
    <s v=""/>
    <s v=""/>
    <s v="30%;Fora Perfil;Instagram"/>
    <s v="Pipeline de Vendas"/>
    <s v="Qualificação de Vendas (SQL) (25%)"/>
    <s v=""/>
    <d v="2026-02-28T00:00:00"/>
    <m/>
    <m/>
    <n v="2"/>
    <s v="Paulo Souza"/>
    <d v="2026-02-05T00:00:00"/>
    <d v="1899-12-30T08:33:37"/>
    <s v=""/>
    <s v="Perdido"/>
    <d v="2026-02-07T00:00:00"/>
    <d v="1899-12-30T21:31:00"/>
    <s v="Fora do porte mínimo (sem fit estrutural)"/>
    <s v=""/>
    <s v=""/>
    <x v="0"/>
    <s v="Rayssa Karapeticov"/>
    <x v="0"/>
    <s v=""/>
    <m/>
    <n v="30"/>
    <s v=""/>
    <s v=""/>
    <s v=""/>
    <s v=""/>
    <n v="1"/>
  </r>
  <r>
    <x v="1"/>
    <n v="902"/>
    <m/>
    <n v="3211"/>
    <s v=""/>
    <s v=""/>
    <x v="430"/>
    <n v="7324070000144"/>
    <s v=""/>
    <s v="SOLIMP"/>
    <s v="8391128022"/>
    <s v=""/>
    <s v="oliveiraeulalio@yahoo.com.br"/>
    <s v=""/>
    <s v=""/>
    <s v=""/>
    <s v="CAMPINA GRANDE"/>
    <s v="PB"/>
    <s v="Campanha"/>
    <s v=""/>
    <s v=""/>
    <s v="30%;Dentro Perfil;Instagram"/>
    <s v="Pipeline de Vendas"/>
    <s v="Qualificação de Vendas (SQL) (25%)"/>
    <s v=""/>
    <d v="2026-02-28T00:00:00"/>
    <m/>
    <m/>
    <n v="93"/>
    <s v="Paulo Souza"/>
    <d v="2026-02-05T00:00:00"/>
    <d v="1899-12-30T08:35:26"/>
    <s v=""/>
    <s v="Perdido"/>
    <d v="2026-05-09T00:00:00"/>
    <d v="1899-12-30T07:45:34"/>
    <s v="Sem qualificação — contato não atende ligações nem responde msg"/>
    <s v=""/>
    <s v=""/>
    <x v="0"/>
    <s v="Junior Lopes"/>
    <x v="0"/>
    <s v=""/>
    <d v="2026-02-19T00:00:00"/>
    <n v="30"/>
    <s v=""/>
    <s v=""/>
    <s v=""/>
    <s v=""/>
    <n v="1"/>
  </r>
  <r>
    <x v="0"/>
    <n v="903"/>
    <m/>
    <n v="3217"/>
    <s v="17/02 Após vários FUPs não obtive retorno do cliente sobre a sequência do projeto. Encerrei por falta de interesse."/>
    <s v=""/>
    <x v="431"/>
    <m/>
    <s v=""/>
    <s v="Monteiro"/>
    <s v="6184085792"/>
    <s v=""/>
    <s v="saff71@hotmail.com"/>
    <s v=""/>
    <s v=""/>
    <s v=""/>
    <s v=""/>
    <s v=""/>
    <s v="Campanha"/>
    <s v=""/>
    <s v=""/>
    <s v="30%;Dentro Perfil;Instagram"/>
    <s v="Pipeline de Vendas"/>
    <s v="Qualificação de Vendas (SQL) (25%)"/>
    <s v=""/>
    <d v="2026-02-28T00:00:00"/>
    <m/>
    <m/>
    <n v="93"/>
    <s v="Paulo Souza"/>
    <d v="2026-02-05T00:00:00"/>
    <d v="1899-12-30T08:40:25"/>
    <s v=""/>
    <s v="Perdido"/>
    <d v="2026-05-09T00:00:00"/>
    <d v="1899-12-30T07:46:56"/>
    <s v="Sem qualificação — contato não atende ligações nem responde msg"/>
    <s v=""/>
    <s v=""/>
    <x v="0"/>
    <s v="Paulo Souza"/>
    <x v="0"/>
    <s v=""/>
    <m/>
    <n v="30"/>
    <s v=""/>
    <s v=""/>
    <s v=""/>
    <s v=""/>
    <n v="1"/>
  </r>
  <r>
    <x v="0"/>
    <n v="906"/>
    <m/>
    <n v="3226"/>
    <s v="03/03 Após diversas tentativa de FUP não tive retorno e por falta de interação estou declinando o lead."/>
    <s v=""/>
    <x v="432"/>
    <m/>
    <s v=""/>
    <s v="2VO"/>
    <s v="11985858558"/>
    <s v=""/>
    <s v="wasques@uol.com.br"/>
    <s v=""/>
    <s v=""/>
    <s v=""/>
    <s v=""/>
    <s v=""/>
    <s v="Campanha"/>
    <s v=""/>
    <s v=""/>
    <s v="30%;Dentro Perfil;Instagram"/>
    <s v="Pipeline de Vendas"/>
    <s v="Apresentar Solução (35%)"/>
    <s v=""/>
    <d v="2026-02-28T00:00:00"/>
    <m/>
    <m/>
    <n v="24"/>
    <s v="Paulo Souza"/>
    <d v="2026-02-07T00:00:00"/>
    <d v="1899-12-30T07:04:06"/>
    <s v=""/>
    <s v="Perdido"/>
    <d v="2026-03-03T00:00:00"/>
    <d v="1899-12-30T21:33:22"/>
    <s v="Fora do porte mínimo (sem fit estrutural)"/>
    <s v=""/>
    <s v=""/>
    <x v="0"/>
    <s v="Paulo Souza"/>
    <x v="0"/>
    <s v=""/>
    <m/>
    <n v="30"/>
    <s v=""/>
    <s v="ERP, AFV"/>
    <s v=""/>
    <s v=""/>
    <n v="1"/>
  </r>
  <r>
    <x v="0"/>
    <n v="907"/>
    <m/>
    <n v="3222"/>
    <s v="13/02 Fiz FUP hoje com a Andressa, mas não atendeu deixei recado."/>
    <s v=""/>
    <x v="433"/>
    <m/>
    <s v=""/>
    <s v="Andresa Aparecida Carvalho"/>
    <s v="(11) 94468-8676"/>
    <s v=""/>
    <s v="andresacarvalho55@gmail.com"/>
    <s v=""/>
    <s v=""/>
    <s v=""/>
    <s v="São Paulo"/>
    <s v=""/>
    <s v="Site"/>
    <s v=""/>
    <s v=""/>
    <s v="30%;Solicita demo"/>
    <s v="Pipeline de Vendas"/>
    <s v="Apresentar Solução (35%)"/>
    <s v=""/>
    <d v="2026-02-28T00:00:00"/>
    <m/>
    <m/>
    <n v="12"/>
    <s v="Paulo Souza"/>
    <d v="2026-02-07T00:00:00"/>
    <d v="1899-12-30T07:13:56"/>
    <s v=""/>
    <s v="Perdido"/>
    <d v="2026-02-19T00:00:00"/>
    <d v="1899-12-30T17:31:05"/>
    <s v="Projeto adiado / sem prazo definido"/>
    <s v="Rayssa, atendendo"/>
    <s v=""/>
    <x v="0"/>
    <s v="Paulo Souza"/>
    <x v="187"/>
    <s v=""/>
    <m/>
    <n v="30"/>
    <s v=""/>
    <s v=""/>
    <s v=""/>
    <s v=""/>
    <n v="1"/>
  </r>
  <r>
    <x v="0"/>
    <n v="908"/>
    <m/>
    <n v="3228"/>
    <s v="06/02 Feito a apresentação da proposta em fase de negociação._x000a_13/02 Foi feito uma visita em São Paulo no Grupo Iracema, onde falamos com os sócios , e o cabeça o Mauricio. A proposta foi reformulada e ajustada e estamos na faze de negociação. Próximo passo, quarta-feira apresentar o WMS."/>
    <s v=""/>
    <x v="434"/>
    <m/>
    <s v=""/>
    <s v="Gerson"/>
    <s v="49988720298"/>
    <s v=""/>
    <s v="null"/>
    <s v=""/>
    <s v=""/>
    <s v=""/>
    <s v=""/>
    <s v=""/>
    <s v="Indicação"/>
    <s v=""/>
    <s v=""/>
    <s v="50%"/>
    <s v="Pipeline de Vendas"/>
    <s v="Em negociação (75%)"/>
    <s v=""/>
    <d v="2026-02-28T00:00:00"/>
    <n v="987029"/>
    <n v="1228454"/>
    <n v="19"/>
    <s v="Paulo Souza"/>
    <d v="2026-02-07T00:00:00"/>
    <d v="1899-12-30T09:59:21"/>
    <s v=""/>
    <s v="Ganho"/>
    <d v="2026-02-26T00:00:00"/>
    <d v="1899-12-30T21:55:21"/>
    <s v=""/>
    <s v=""/>
    <s v=""/>
    <x v="118"/>
    <s v="Paulo Souza"/>
    <x v="126"/>
    <s v=""/>
    <d v="2026-02-26T00:00:00"/>
    <n v="50"/>
    <s v="270"/>
    <s v="ERP, AFV, BI, WMS, COMEX, ADICIONAIS"/>
    <s v="R$ 89.502,90"/>
    <s v="R$ 12.883,50"/>
    <n v="1"/>
  </r>
  <r>
    <x v="0"/>
    <n v="909"/>
    <m/>
    <n v="3229"/>
    <s v="06/02 Feito a apresentação da proposta em fase de negociação._x000a_13/02 Foi feito uma visita em São Paulo no Grupo Iracema, onde falamos com os sócios , e o cabeça o Mauricio. A proposta foi reformulada e ajustada e estamos na faze de negociação. Próximo passo, quarta-feira apresentar o WMS._x000a_13/02 Foi feito uma visita em São Paulo no Grupo Iracema, onde falamos com os sócios , e o cabeça o Mauricio. A proposta foi reformulada e ajustada e estamos na faze de negociação. Próximo passo, quarta-feira apresentar o WMS."/>
    <s v=""/>
    <x v="435"/>
    <m/>
    <s v=""/>
    <s v="Willaim"/>
    <s v="49998015654"/>
    <s v=""/>
    <s v="null"/>
    <s v=""/>
    <s v=""/>
    <s v=""/>
    <s v=""/>
    <s v=""/>
    <s v=""/>
    <s v=""/>
    <s v=""/>
    <s v="50%"/>
    <s v="Pipeline de Vendas"/>
    <s v="Em Fechamento (100%)"/>
    <s v=""/>
    <d v="2026-02-28T00:00:00"/>
    <n v="7470289"/>
    <n v="1038848"/>
    <n v="19"/>
    <s v="Paulo Souza"/>
    <d v="2026-02-07T00:00:00"/>
    <d v="1899-12-30T10:00:29"/>
    <s v=""/>
    <s v="Ganho"/>
    <d v="2026-02-26T00:00:00"/>
    <d v="1899-12-30T21:48:31"/>
    <s v=""/>
    <s v=""/>
    <s v=""/>
    <x v="181"/>
    <s v="Paulo Souza"/>
    <x v="197"/>
    <s v=""/>
    <d v="2026-02-26T00:00:00"/>
    <n v="50"/>
    <s v="150"/>
    <s v="ERP, AFV, BI, WMS, COMEX, ADICIONAIS"/>
    <s v="R$ 65.502,90"/>
    <s v="R$ 11.334,84"/>
    <n v="1"/>
  </r>
  <r>
    <x v="1"/>
    <n v="912"/>
    <m/>
    <n v="3248"/>
    <s v="(11/02/2026) Contato feira ABcasa ! agendamos apresentação para sexta feira dia 20/02_x000a_10:05, 20/02/2026 Junior Lopes: Entendo ! Vamos organizar nova data_x000a_10:06, 20/02/2026 Junior Lopes: Segunda feira , é possível?_x000a_10:13, 20/02/2026 Fabio Oliveira Nina Enc: eu consigo te atender, mas vamos precisar remarcar um pouco mais para frente, eu quero muito te atender e realmente preciso, porem nesse momento ta dificil_x000a_(09/03/2026) buscando data para apresentação _x000a_(14/04/2026) em contato com Fabio a fim de agendarmos apresentação _x000a_09:58, 14/04/2026 Junior Lopes: Olá Fábio, bom dia_x000a_10:01, 14/04/2026 Fabio Oliveira Nina Enc: Bom dia meu amigo, tudo certo ?_x000a_10:02, 14/04/2026 Junior Lopes: Opa td certo 🙏_x000a_Vamos programar apresentação?_x000a_10:04, 14/04/2026 Fabio Oliveira Nina Enc: o meu amigo, esta semana nao vou ter como te atender, estamos organizando muita coisa na empresa, na quarta feira meu pai vai para china, mas acho que na outra semana a gente consegue, na quinta ou sexta da semana que vem_x000a_10:05, 14/04/2026 Junior Lopes: Perfeito Fábio ! Aí te chamo no começo da semana para alinharmos_x000a_10:05, 14/04/2026 Fabio Oliveira Nina Enc: combinado"/>
    <s v="Sebastiao Cardoso Comercio Atacadista De Ferramentas Ltda"/>
    <x v="436"/>
    <n v="12391174000101"/>
    <s v=""/>
    <s v="Sebastiao Cardoso Comercio Atacadista De Ferramentas Ltda"/>
    <s v="(47) 3368-3065"/>
    <s v=""/>
    <s v="ninaencartelados@gmail.com"/>
    <s v=""/>
    <s v=""/>
    <s v=""/>
    <s v="ITAPEMA"/>
    <s v="SC"/>
    <s v="Base de empresas Leads2b"/>
    <s v=""/>
    <s v=""/>
    <s v=""/>
    <s v="Pipeline de Vendas"/>
    <s v="Apresentar Proposta (50%)"/>
    <s v=""/>
    <d v="2026-05-31T00:00:00"/>
    <n v="748805"/>
    <n v="53071"/>
    <n v="92"/>
    <s v="Junior Lopes"/>
    <d v="2026-02-11T00:00:00"/>
    <d v="1899-12-30T09:59:48"/>
    <s v=""/>
    <s v="Perdido"/>
    <d v="2026-05-14T00:00:00"/>
    <d v="1899-12-30T14:48:33"/>
    <s v="Não houve aprovação financeira"/>
    <s v="14/05/2026 : _x000a_09:02, 13/05/2026 Fabio Oliveira Nina Enc: Consegui sim, teu sistema é maravilhoso, muito bom mesmo _x000a_porem eu passei pro pessoal aqui, e no momento, nosso faturamaento nao condiz com o investimento a ser feito_x000a_09:03, 13/05/2026 Fabio Oliveira Nina Enc: espero que logo possamos mudar isso_x000a_09:05, 13/05/2026 Junior Lopes: Entendo Fábio ! _x000a_ O que está pegando mais na proposta ? O projeto ou as mensalidades?_x000a_09:08, 13/05/2026 Fabio Oliveira Nina Enc: na verdade é um pouco dos dois, hj nosso sistema nos custa 6 mil por ano, claro que ele nao tem a mesma eficiencia do seu, mas para a quantidade de vendas nossa, no atual momento ele nos atende bem_x000a_09:21, 13/05/2026 Junior Lopes: Entendo ! Gostaria de pensar aí e nos fazer uma contra proposta ?_x000a_09:22, 13/05/2026 Fabio Oliveira Nina Enc: no momento vamos deixar em off_x000a_09:22, 13/05/2026 Fabio Oliveira Nina Enc: obrigado pela atençao_x000a_09:28, 13/05/2026 Junior Lopes: Ta joia meu amigo_x000a_09:29, 13/05/2026 Junior Lopes: Ficamos a disposição! Tenho certeza que podemos ajudar muito no crescimento da Nina encartelados _x000a_Um abraço_x000a_09:29, 13/05/2026 Fabio Oliveira Nina Enc: abraço"/>
    <s v=""/>
    <x v="182"/>
    <s v=""/>
    <x v="198"/>
    <s v="05/05/2026"/>
    <d v="2026-05-14T00:00:00"/>
    <n v="50"/>
    <s v=""/>
    <s v=""/>
    <s v=""/>
    <s v=""/>
    <n v="1"/>
  </r>
  <r>
    <x v="1"/>
    <n v="915"/>
    <m/>
    <n v="3253"/>
    <s v="(11/02/2026) Vídeo demonstrativo enviado para analise   _x000a_(11/02/2026) Proposta enviada"/>
    <s v=""/>
    <x v="437"/>
    <m/>
    <s v=""/>
    <s v="Ad &amp; Ad (Comex)"/>
    <s v="14996930353"/>
    <s v=""/>
    <s v="daniel@adimportacao.com.br"/>
    <s v=""/>
    <s v=""/>
    <s v=""/>
    <s v=""/>
    <s v=""/>
    <s v=""/>
    <s v=""/>
    <s v=""/>
    <s v="30%"/>
    <s v="Pipeline de Vendas"/>
    <s v="Apresentar Proposta (50%)"/>
    <s v=""/>
    <d v="2026-04-30T00:00:00"/>
    <n v="10240"/>
    <n v="2000"/>
    <n v="82"/>
    <s v="Junior Lopes"/>
    <d v="2026-02-11T00:00:00"/>
    <d v="1899-12-30T10:27:04"/>
    <s v=""/>
    <s v="Perdido"/>
    <d v="2026-05-04T00:00:00"/>
    <d v="1899-12-30T08:59:14"/>
    <s v="Projeto adiado / sem prazo definido"/>
    <s v="vai aguardar um pouco mais"/>
    <s v=""/>
    <x v="183"/>
    <s v=""/>
    <x v="196"/>
    <s v=""/>
    <d v="2026-05-04T00:00:00"/>
    <n v="30"/>
    <s v=""/>
    <s v=""/>
    <s v=""/>
    <s v=""/>
    <n v="1"/>
  </r>
  <r>
    <x v="0"/>
    <n v="919"/>
    <m/>
    <n v="3227"/>
    <s v="26/02 Fiz FUP com o Jader e ele tem uma ferramentaria. Entendi o processo e agora preciso falar com o Fernando, para ver se conseguirmos atender ele ou não. na sequência vou passar uma proposta. _x000a_12/03 - Encerrei o lead por falta de retorno, futuramente se ele demonstrar interesse falamos."/>
    <s v=""/>
    <x v="438"/>
    <m/>
    <s v=""/>
    <s v="Jader Silva"/>
    <s v="17996751231"/>
    <s v=""/>
    <s v="jader.reobote@outlook.com"/>
    <s v=""/>
    <s v=""/>
    <s v=""/>
    <s v=""/>
    <s v=""/>
    <s v="Campanha"/>
    <s v=""/>
    <s v=""/>
    <s v="Dentro Perfil;Instagram"/>
    <s v="Pipeline de Vendas"/>
    <s v="Apresentar Solução (35%)"/>
    <s v=""/>
    <m/>
    <m/>
    <m/>
    <n v="29"/>
    <s v="Paulo Souza"/>
    <d v="2026-02-11T00:00:00"/>
    <d v="1899-12-30T11:21:33"/>
    <s v=""/>
    <s v="Perdido"/>
    <d v="2026-03-12T00:00:00"/>
    <d v="1899-12-30T17:24:16"/>
    <s v="Fora do porte mínimo (sem fit estrutural)"/>
    <s v=""/>
    <s v=""/>
    <x v="168"/>
    <s v="Paulo Souza"/>
    <x v="182"/>
    <s v=""/>
    <d v="2026-03-31T00:00:00"/>
    <n v="30"/>
    <s v=""/>
    <s v="ERP"/>
    <s v=""/>
    <s v=""/>
    <n v="1"/>
  </r>
  <r>
    <x v="2"/>
    <n v="920"/>
    <m/>
    <n v="3230"/>
    <s v="12.02 - cliente agendou hoje as 9h não entrou na reunião, estou tentando contato para reagendar"/>
    <s v=""/>
    <x v="439"/>
    <n v="36377920000170"/>
    <s v=""/>
    <s v="RG distribuidora de bebidas ltda"/>
    <s v="(37) 3213-0306"/>
    <s v=""/>
    <s v="rgdistribuidoraltda@hotmail.com"/>
    <s v=""/>
    <s v=""/>
    <s v=""/>
    <s v="DIVINOPOLIS"/>
    <s v="MG"/>
    <s v="Campanha"/>
    <s v=""/>
    <s v=""/>
    <s v="Dentro Perfil;Instagram"/>
    <s v="Pipeline de Vendas"/>
    <s v="Apresentar Proposta (50%)"/>
    <s v=""/>
    <d v="2026-04-30T00:00:00"/>
    <n v="7784244"/>
    <n v="144748"/>
    <n v="14"/>
    <s v="Paulo Souza"/>
    <d v="2026-02-11T00:00:00"/>
    <d v="1899-12-30T11:22:26"/>
    <s v=""/>
    <s v="Perdido"/>
    <d v="2026-02-25T00:00:00"/>
    <d v="1899-12-30T10:28:11"/>
    <s v="Preço muito alto - fora do budget de investimento"/>
    <s v=""/>
    <s v=""/>
    <x v="184"/>
    <s v="Rayssa Karapeticov"/>
    <x v="199"/>
    <s v=""/>
    <d v="2026-02-24T00:00:00"/>
    <n v="30"/>
    <s v=""/>
    <s v="ERP, AFV"/>
    <s v=""/>
    <s v=""/>
    <n v="1"/>
  </r>
  <r>
    <x v="0"/>
    <n v="921"/>
    <m/>
    <n v="3231"/>
    <s v="26/02 Fiz FUP hoje com o Antônio, sem sucesso. Após minhas ligações ele não atendeu , deixei recado no Whatsapp. _x000a_27/02 Após diversas FUps sem sucesso e sem retorno do lead, estou declinando a oportunidade."/>
    <s v=""/>
    <x v="440"/>
    <m/>
    <s v=""/>
    <s v="Loja da construção"/>
    <s v="85996031544"/>
    <s v=""/>
    <s v="ajs.antoniojose@hotmail.com"/>
    <s v=""/>
    <s v=""/>
    <s v=""/>
    <s v=""/>
    <s v=""/>
    <s v="Campanha"/>
    <s v=""/>
    <s v=""/>
    <s v="Fora Perfil;Instagram"/>
    <s v="Pipeline de Vendas"/>
    <s v="Qualificação de Vendas (SQL) (25%)"/>
    <s v=""/>
    <d v="2026-02-28T00:00:00"/>
    <m/>
    <m/>
    <n v="16"/>
    <s v="Paulo Souza"/>
    <d v="2026-02-11T00:00:00"/>
    <d v="1899-12-30T11:23:49"/>
    <s v=""/>
    <s v="Perdido"/>
    <d v="2026-02-27T00:00:00"/>
    <d v="1899-12-30T21:32:33"/>
    <s v="Fora do porte mínimo (sem fit estrutural)"/>
    <s v=""/>
    <s v=""/>
    <x v="0"/>
    <s v="Paulo Souza"/>
    <x v="0"/>
    <s v=""/>
    <d v="2026-02-26T00:00:00"/>
    <n v="30"/>
    <s v=""/>
    <s v=""/>
    <s v=""/>
    <s v=""/>
    <n v="1"/>
  </r>
  <r>
    <x v="0"/>
    <n v="922"/>
    <m/>
    <n v="3232"/>
    <s v="27/02 Fiz diversos FUP sem retorno, por isso estou declinando o contato."/>
    <s v=""/>
    <x v="441"/>
    <m/>
    <s v=""/>
    <s v="Zzzz"/>
    <s v="41987097843"/>
    <s v=""/>
    <s v="gipatelini@hotmail.com"/>
    <s v=""/>
    <s v=""/>
    <s v=""/>
    <s v=""/>
    <s v=""/>
    <s v="Campanha"/>
    <s v=""/>
    <s v=""/>
    <s v="Dentro Perfil;Instagram"/>
    <s v="Pipeline de Vendas"/>
    <s v="Apresentar Solução (35%)"/>
    <s v=""/>
    <d v="2026-02-27T00:00:00"/>
    <m/>
    <m/>
    <n v="16"/>
    <s v="Paulo Souza"/>
    <d v="2026-02-11T00:00:00"/>
    <d v="1899-12-30T11:24:41"/>
    <s v=""/>
    <s v="Perdido"/>
    <d v="2026-02-27T00:00:00"/>
    <d v="1899-12-30T21:27:11"/>
    <s v="Fora do porte mínimo (sem fit estrutural)"/>
    <s v=""/>
    <s v=""/>
    <x v="0"/>
    <s v="Paulo Souza"/>
    <x v="0"/>
    <s v=""/>
    <m/>
    <n v="30"/>
    <s v=""/>
    <s v=""/>
    <s v=""/>
    <s v=""/>
    <n v="1"/>
  </r>
  <r>
    <x v="2"/>
    <n v="923"/>
    <m/>
    <n v="3236"/>
    <s v=""/>
    <s v=""/>
    <x v="442"/>
    <m/>
    <s v=""/>
    <s v="Gs atacado"/>
    <s v="61984251198"/>
    <s v=""/>
    <s v="gsatacado69@gmail.com"/>
    <s v=""/>
    <s v=""/>
    <s v=""/>
    <s v=""/>
    <s v=""/>
    <s v="Campanha"/>
    <s v=""/>
    <s v=""/>
    <s v="Dentro Perfil;Instagram"/>
    <s v="Pipeline de Vendas"/>
    <s v="Qualificação de Vendas (SQL) (25%)"/>
    <s v=""/>
    <d v="2026-04-30T00:00:00"/>
    <m/>
    <m/>
    <n v="16"/>
    <s v="Paulo Souza"/>
    <d v="2026-02-11T00:00:00"/>
    <d v="1899-12-30T11:27:12"/>
    <s v=""/>
    <s v="Perdido"/>
    <d v="2026-02-27T00:00:00"/>
    <d v="1899-12-30T17:23:25"/>
    <s v="Preço muito alto - fora do budget de investimento"/>
    <s v=""/>
    <s v=""/>
    <x v="0"/>
    <s v="Rayssa Karapeticov"/>
    <x v="200"/>
    <s v=""/>
    <d v="2026-02-25T00:00:00"/>
    <n v="30"/>
    <s v=""/>
    <s v="ERP, PDV, AFV"/>
    <s v=""/>
    <s v=""/>
    <n v="1"/>
  </r>
  <r>
    <x v="1"/>
    <n v="924"/>
    <m/>
    <n v="3238"/>
    <s v="(11/02/2026) tentativa de ligação nao atendida _x000a_17:03, 11/02/2026 Junior Lopes: Olá Gabriel , boa tarde_x000a_17:03, 11/02/2026 Junior Lopes: sou Junior Lopes da Guarani sistemas ! td bem ?_x000a_(19/02/2026) apresar de não ter resposta do cliente ! em pesquise verifiquei que LM é um deposito de bebidas que acaba fugindo do perfil"/>
    <s v=""/>
    <x v="443"/>
    <m/>
    <s v=""/>
    <s v="lm bebidas"/>
    <s v="11910369959"/>
    <s v=""/>
    <s v="gelucinaro@hotmail.com"/>
    <s v=""/>
    <s v=""/>
    <s v=""/>
    <s v=""/>
    <s v=""/>
    <s v="Campanha"/>
    <s v=""/>
    <s v=""/>
    <s v="Fora Perfil;Instagram"/>
    <s v="Pipeline de Vendas"/>
    <s v="Qualificação de Vendas (SQL) (25%)"/>
    <s v=""/>
    <m/>
    <m/>
    <m/>
    <n v="15"/>
    <s v="Paulo Souza"/>
    <d v="2026-02-11T00:00:00"/>
    <d v="1899-12-30T11:29:47"/>
    <s v=""/>
    <s v="Perdido"/>
    <d v="2026-02-26T00:00:00"/>
    <d v="1899-12-30T23:08:40"/>
    <s v="Fora do porte mínimo (sem fit estrutural)"/>
    <s v=""/>
    <s v=""/>
    <x v="0"/>
    <s v=""/>
    <x v="0"/>
    <s v=""/>
    <d v="2026-02-19T00:00:00"/>
    <n v="30"/>
    <s v=""/>
    <s v=""/>
    <s v=""/>
    <s v=""/>
    <n v="1"/>
  </r>
  <r>
    <x v="1"/>
    <n v="925"/>
    <m/>
    <n v="3244"/>
    <s v="(11/02/2026) tentativa de ligação não atendida _x000a_16:48, 11/02/2026 Junior Lopes: Olá Kariello, boa tarde !_x000a_16:48, 11/02/2026 Junior Lopes: sou Junior Lopes da Guarani sistemas, tudo bem ?_x000a_(19/02/2026) buscando data para apresentação _x000a_(23/02/2026) Vamos Agendar apresentação do força de vendas para amanhã ?_x000a_10 ou 14 horas ! O que fica melhor?_x000a_Vamos marca na primeira semana de março_x000a_Fechamento do mês é complicado_x000a_Sim ! Vamos deixar uma agenda para dia 4/03 quarta feira! Se sim já te envio um link do Meet_x000a_Ok_x000a_Apresentação Guarani (AFV) _x000a_Quarta-feira, 4 de março · 10:00 – 11:30_x000a_Fuso horário: America/Sao_Paulo_x000a_Como participar do Google Meet_x000a_Link da videochamada: https://meet.google.com/dsp-gfgz-nyv_x000a_09:54, 04/03/2026 KARIELLO COELHO: Tive um imprevisto_x000a_09:54, 04/03/2026 KARIELLO COELHO: Teremos que remarcar_x000a_09:55, 04/03/2026 Junior Lopes: Td bem meu amigo , sem problemas_x000a_12:41, 04/03/2026 KARIELLO COELHO: Até sexta agora_x000a_12:42, 04/03/2026 Junior Lopes: 10 horas é um bom horário?_x000a_12:45, 04/03/2026 KARIELLO COELHO: 11h_x000a_12:46, 04/03/2026 Junior Lopes: Joia! Vou gerar um link_x000a_12:50, 04/03/2026 Junior Lopes: Apresentação Guarani AFV - CK Hospitalar_x000a_Sexta-feira, 6 de março · 11:00 – 12:15_x000a_Fuso horário: America/Sao_Paulo_x000a_Como participar do Google Meet_x000a_Link da videochamada: https://meet.google.com/zum-xcty-mab_x000a_(09/03/2026) Após Kariello desmarcar a reunião de apresentação , não respondeu mais aos contatos"/>
    <s v=""/>
    <x v="444"/>
    <n v="32534969000139"/>
    <s v=""/>
    <s v="CK HOSPITALAR"/>
    <s v="6392247104"/>
    <s v=""/>
    <s v="diretoria@ckhospitalar.com.br"/>
    <s v=""/>
    <s v=""/>
    <s v=""/>
    <s v=""/>
    <s v="Palmas"/>
    <s v="Inbound"/>
    <s v=""/>
    <s v=""/>
    <s v="Dentro Perfil;Instagram"/>
    <s v="Pipeline de Vendas"/>
    <s v="Apresentar Proposta (50%)"/>
    <s v=""/>
    <d v="2026-04-30T00:00:00"/>
    <n v="16960"/>
    <n v="32775"/>
    <n v="41"/>
    <s v="Paulo Souza"/>
    <d v="2026-02-11T00:00:00"/>
    <d v="1899-12-30T11:30:31"/>
    <s v=""/>
    <s v="Perdido"/>
    <d v="2026-03-24T00:00:00"/>
    <d v="1899-12-30T16:03:55"/>
    <s v="Projeto adiado / sem prazo definido"/>
    <s v="(09/03/2026) Após Kariello desmarcar a reunião de apresentação , não respondeu mais aos contatos"/>
    <s v=""/>
    <x v="185"/>
    <s v=""/>
    <x v="196"/>
    <s v="04/03/2026"/>
    <d v="2026-03-09T00:00:00"/>
    <n v="30"/>
    <s v=""/>
    <s v=""/>
    <s v=""/>
    <s v=""/>
    <n v="1"/>
  </r>
  <r>
    <x v="1"/>
    <n v="926"/>
    <m/>
    <n v="3237"/>
    <s v="(11/02/2026) tentativa de ligação não atendida ! mensagem em seguida _x000a_16:43, 11/02/2026 Junior Lopes: Olá Renato ! boa tarde_x000a_16:43, 11/02/2026 Junior Lopes: sou Junior Lopes da Guarani sistemas ! tudo bem ?"/>
    <s v=""/>
    <x v="445"/>
    <m/>
    <s v=""/>
    <s v="Rp pisos"/>
    <s v="81996498759"/>
    <s v=""/>
    <s v="renatosouzarp2018@gmail.com"/>
    <s v=""/>
    <s v=""/>
    <s v=""/>
    <s v=""/>
    <s v=""/>
    <s v="Campanha"/>
    <s v=""/>
    <s v=""/>
    <s v="Fora Perfil;Instagram"/>
    <s v="Pipeline de Vendas"/>
    <s v="Qualificação de Vendas (SQL) (25%)"/>
    <s v=""/>
    <m/>
    <m/>
    <m/>
    <n v="87"/>
    <s v="Paulo Souza"/>
    <d v="2026-02-11T00:00:00"/>
    <d v="1899-12-30T11:42:17"/>
    <s v=""/>
    <s v="Perdido"/>
    <d v="2026-05-09T00:00:00"/>
    <d v="1899-12-30T07:47:47"/>
    <s v="Sem qualificação — contato não atende ligações nem responde msg"/>
    <s v=""/>
    <s v=""/>
    <x v="0"/>
    <s v=""/>
    <x v="0"/>
    <s v=""/>
    <d v="2026-02-19T00:00:00"/>
    <n v="30"/>
    <s v=""/>
    <s v=""/>
    <s v=""/>
    <s v=""/>
    <n v="1"/>
  </r>
  <r>
    <x v="2"/>
    <n v="927"/>
    <m/>
    <n v="3239"/>
    <s v="13.02 é uma loja de auto peças, prouca PDV, fora do perfil"/>
    <s v=""/>
    <x v="446"/>
    <m/>
    <s v=""/>
    <s v="Dede Acessorios"/>
    <s v="6596196462"/>
    <s v=""/>
    <s v="lu_kawakami@msn.com"/>
    <s v=""/>
    <s v=""/>
    <s v=""/>
    <s v=""/>
    <s v=""/>
    <s v="Campanha"/>
    <s v=""/>
    <s v=""/>
    <s v="Fora Perfil;Instagram"/>
    <s v="Pipeline de Vendas"/>
    <s v="Agendamento (0%)"/>
    <s v=""/>
    <m/>
    <m/>
    <m/>
    <n v="2"/>
    <s v="Paulo Souza"/>
    <d v="2026-02-11T00:00:00"/>
    <d v="1899-12-30T11:44:32"/>
    <s v=""/>
    <s v="Perdido"/>
    <d v="2026-02-13T00:00:00"/>
    <d v="1899-12-30T17:27:41"/>
    <s v="Fora do porte mínimo (sem fit estrutural)"/>
    <s v=""/>
    <s v=""/>
    <x v="0"/>
    <s v="Rayssa Karapeticov"/>
    <x v="0"/>
    <s v=""/>
    <d v="2026-02-13T00:00:00"/>
    <n v="30"/>
    <s v=""/>
    <s v=""/>
    <s v=""/>
    <s v=""/>
    <n v="1"/>
  </r>
  <r>
    <x v="1"/>
    <n v="928"/>
    <m/>
    <n v="3242"/>
    <s v="(11/02/2026) ligação efetuada - Anderson pediu para retornar ! vamos dar sequencia no whatsapp_x000a_(18/02/2026) buscando contato com Anderson ! sem resposta até o momento"/>
    <s v=""/>
    <x v="384"/>
    <n v="9205460000120"/>
    <s v=""/>
    <s v="Panveiga"/>
    <s v="(83) 3343-3391 / (83) 3343-3391"/>
    <s v=""/>
    <s v=""/>
    <s v=""/>
    <s v=""/>
    <s v=""/>
    <s v="CAMPINA GRANDE"/>
    <s v="PB"/>
    <s v="Inbound"/>
    <s v=""/>
    <s v=""/>
    <s v="Dentro Perfil;Instagram"/>
    <s v="Pipeline de Vendas"/>
    <s v="Qualificação de Vendas (SQL) (25%)"/>
    <s v=""/>
    <m/>
    <m/>
    <m/>
    <n v="8"/>
    <s v="Paulo Souza"/>
    <d v="2026-02-11T00:00:00"/>
    <d v="1899-12-30T11:51:24"/>
    <s v=""/>
    <s v="Perdido"/>
    <d v="2026-02-19T00:00:00"/>
    <d v="1899-12-30T09:53:04"/>
    <s v="Nossa solução não atende - falta funcionalidade"/>
    <s v="cliente precisa que o força de vendas atenda em pronta entrega"/>
    <s v=""/>
    <x v="0"/>
    <s v=""/>
    <x v="0"/>
    <s v=""/>
    <d v="2026-02-18T00:00:00"/>
    <n v="30"/>
    <s v=""/>
    <s v=""/>
    <s v=""/>
    <s v=""/>
    <n v="1"/>
  </r>
  <r>
    <x v="1"/>
    <n v="929"/>
    <m/>
    <n v="3235"/>
    <s v="Conversa extraida do áudio enviado em 12/03/2026_x000a_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
    <s v=""/>
    <x v="447"/>
    <m/>
    <s v=""/>
    <s v="kayo calil marques"/>
    <s v="(14) 99854-9863"/>
    <s v=""/>
    <s v="kayocalil@hotmail.com"/>
    <s v=""/>
    <s v=""/>
    <s v=""/>
    <s v="Tupã"/>
    <s v=""/>
    <s v="Site"/>
    <s v=""/>
    <s v=""/>
    <s v="Solicita demo"/>
    <s v="Pipeline de Vendas"/>
    <s v="Em negociação (75%)"/>
    <s v=""/>
    <m/>
    <n v="41040"/>
    <n v="384858"/>
    <n v="29"/>
    <s v="Paulo Souza"/>
    <d v="2026-02-11T00:00:00"/>
    <d v="1899-12-30T11:53:14"/>
    <s v=""/>
    <s v="Perdido"/>
    <d v="2026-03-12T00:00:00"/>
    <d v="1899-12-30T14:14:05"/>
    <s v="Não quer mudar a solução atual"/>
    <s v="Conversa extraida do áudio enviado em 12/03/2026_x000a_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
    <s v=""/>
    <x v="186"/>
    <s v=""/>
    <x v="201"/>
    <s v="19/02/2026"/>
    <d v="2026-03-12T00:00:00"/>
    <n v="30"/>
    <s v=""/>
    <s v=""/>
    <s v=""/>
    <s v=""/>
    <n v="1"/>
  </r>
  <r>
    <x v="2"/>
    <n v="930"/>
    <m/>
    <n v="3243"/>
    <s v="12.02 - é uma importadora de Ribeirão Preto e veio por indicação da Simone (QFestas) são do mesmo seguimento_x000a_Disse que já havia feito contato um tempo atrás mas na época achou muito caro, então não avançou_x000a_Esta retomando o contato agora e gostaria de receber uma proposta comercial antes, já que já conhece o sistema, já recebeu várias indicações de importadores, e representantes. _x000a_18.03 - estou tentando contato, mas esta em feira _x000a_30.03 Achou que não é o momento certo para avançar"/>
    <s v=""/>
    <x v="448"/>
    <n v="14590342000113"/>
    <s v=""/>
    <s v="Leandro"/>
    <s v="(16) 98237-0011"/>
    <s v=""/>
    <s v="leandro@bazarimportadora.com.br"/>
    <s v=""/>
    <s v=""/>
    <s v=""/>
    <s v="Ribeirão Preto"/>
    <s v=""/>
    <s v="Site"/>
    <s v=""/>
    <s v=""/>
    <s v="Contato;Dentro Perfil"/>
    <s v="Pipeline de Vendas"/>
    <s v="Apresentar Proposta (50%)"/>
    <s v=""/>
    <m/>
    <m/>
    <m/>
    <n v="47"/>
    <s v="Paulo Souza"/>
    <d v="2026-02-11T00:00:00"/>
    <d v="1899-12-30T11:54:00"/>
    <s v=""/>
    <s v="Perdido"/>
    <d v="2026-03-30T00:00:00"/>
    <d v="1899-12-30T15:50:03"/>
    <s v="Projeto adiado / sem prazo definido"/>
    <s v=""/>
    <s v=""/>
    <x v="0"/>
    <s v="Rayssa Karapeticov"/>
    <x v="202"/>
    <s v=""/>
    <d v="2026-03-30T00:00:00"/>
    <n v="30"/>
    <s v=""/>
    <s v="AFV, ERP"/>
    <s v=""/>
    <s v=""/>
    <n v="1"/>
  </r>
  <r>
    <x v="1"/>
    <n v="931"/>
    <m/>
    <n v="3233"/>
    <s v="11/02/2026) cliente com necessidades especificas _x000a_Rastreabilidade avançada de coletas e devoluções (fluxo de logística reversa e conferência de avarias);_x000a_Gestão flexível de Kits (desmembramento dinâmico de itens no ato da manutenção);"/>
    <s v=""/>
    <x v="449"/>
    <n v="36096287000142"/>
    <s v=""/>
    <s v="Fernando Ramalho"/>
    <s v="(21) 98655-6912"/>
    <s v=""/>
    <s v="fernando.ramalho@superzinca.com.br"/>
    <s v=""/>
    <s v=""/>
    <s v=""/>
    <s v="Ibirité"/>
    <s v=""/>
    <s v="Site"/>
    <s v=""/>
    <s v=""/>
    <s v="Fora Perfil;Solicita demo"/>
    <s v="Pipeline de Vendas"/>
    <s v="Qualificação de Vendas (SQL) (25%)"/>
    <s v=""/>
    <m/>
    <m/>
    <m/>
    <n v="0"/>
    <s v="Paulo Souza"/>
    <d v="2026-02-11T00:00:00"/>
    <d v="1899-12-30T11:55:55"/>
    <s v=""/>
    <s v="Perdido"/>
    <d v="2026-02-11T00:00:00"/>
    <d v="1899-12-30T15:28:53"/>
    <s v="Fora do porte mínimo (sem fit estrutural)"/>
    <s v="cliente fora do perfil"/>
    <s v=""/>
    <x v="0"/>
    <s v=""/>
    <x v="0"/>
    <s v=""/>
    <m/>
    <n v="30"/>
    <s v=""/>
    <s v=""/>
    <s v=""/>
    <s v=""/>
    <n v="1"/>
  </r>
  <r>
    <x v="2"/>
    <n v="932"/>
    <m/>
    <n v="3234"/>
    <s v="12.02 ligação realizada no dia 12.02 as 11:13, não atendeu. Enviei mensagem no whatsapp, para tentar um novo horario para ligação_x000a_13.02 Cliente é uma industria de copos de liquidificador estão sempre na ABUP e vieram por indicação da Arthi _x000a_Usam um sistema interno - mas futuramente querem trocar o sistema, explicou que a principio querem conhecer nosso AFV, porque foi uma indicação e o sistema atual possui esse módulo mas libera muitas informações que eles não querem disponibilizar para os RCAs, porém não podem editar ou bloquear_x000a_Não enviar estoque _x000a_Tabelas de preço - Explicou que possuem várias tabelas de preço por faixa de valor, informei que o sistema atende essa necessidade e quem podem ter uma unica tabela com uma regra comercial de desconto por faixar de valor amarrada ao pedido_x000a_Imagens de produtos - quer que o cliente tenha acesso a imagem do produto, expliquei que sim, e que pode gerar o catalogo em PDF para o cliente_x000a_Descrição - ficha técnica do produto e descrição do item_x000a_Uso de sistemas na feira - usar leitor de código de produto_x000a_Envio de orçamento - envio de cópia de orçamentos por PDF, link ou excel, e explicar funções em feira _x000a_Isis vai verificar com a gerente uma data para apresentação do AFV_x000a_18.02 - apresentação agendada para amanhã _x000a_18.03 Negociação finalizada, aguardando documentação para seguir com contrato_x000a_15.04 09:24, 15/04/2026 Rayssa Karapeticov - Comercial - Guarani Sistemas: Oi Isis, como você está.?_x000a_Na última troca, você comentou que eles devem manter o sistema atual por mais tempo, e eu fiquei de marcar uma reunião presencial para detalharmos a integração e forma de trabalho._x000a_Queria entender contigo se ainda faz sentido seguirmos com esse alinhamento agora. Se sim, me indica por favor dois horários que funcionem para você."/>
    <s v=""/>
    <x v="450"/>
    <n v="1498495000193"/>
    <s v=""/>
    <s v="Isis Miguelette"/>
    <s v="(11) 91290-8574"/>
    <s v=""/>
    <s v="isismiguelette@micromaxindustria.com.br"/>
    <s v=""/>
    <s v=""/>
    <s v=""/>
    <s v="Itatiba"/>
    <s v=""/>
    <s v="Site"/>
    <s v=""/>
    <s v=""/>
    <s v="Dentro Perfil;Solicita demo"/>
    <s v="Pipeline de Vendas"/>
    <s v="Em negociação (75%)"/>
    <s v=""/>
    <d v="2026-04-30T00:00:00"/>
    <n v="16143"/>
    <n v="690"/>
    <n v="70"/>
    <s v="Paulo Souza"/>
    <d v="2026-02-11T00:00:00"/>
    <d v="1899-12-30T11:56:36"/>
    <s v=""/>
    <s v="Perdido"/>
    <d v="2026-04-22T00:00:00"/>
    <d v="1899-12-30T17:19:39"/>
    <s v="Preço muito alto - fora do budget de investimento"/>
    <s v=""/>
    <s v=""/>
    <x v="185"/>
    <s v="Rayssa Karapeticov"/>
    <x v="203"/>
    <s v=""/>
    <d v="2026-04-15T00:00:00"/>
    <n v="30"/>
    <s v=""/>
    <s v="AFV"/>
    <s v=""/>
    <s v=""/>
    <n v="1"/>
  </r>
  <r>
    <x v="1"/>
    <n v="933"/>
    <m/>
    <n v="3262"/>
    <s v=""/>
    <s v="Startools Ferramentas, Comercio, Importacao E Exportacao Ltda"/>
    <x v="451"/>
    <n v="35754976000215"/>
    <s v=""/>
    <s v="Startools Ferramentas, Comercio, Importacao E Exportacao Ltda"/>
    <s v="(11) 8472-4282"/>
    <s v=""/>
    <s v="controladoria@startoolsferramentas.com.br"/>
    <s v=""/>
    <s v=""/>
    <s v=""/>
    <s v="ARAQUARI"/>
    <s v="SC"/>
    <s v="Base de empresas Leads2b"/>
    <s v=""/>
    <s v=""/>
    <s v=""/>
    <s v="Pipeline de Vendas"/>
    <s v="Apresentar Solução (35%)"/>
    <s v=""/>
    <m/>
    <n v="0"/>
    <n v="0"/>
    <n v="98"/>
    <s v="Junior Lopes"/>
    <d v="2026-02-11T00:00:00"/>
    <d v="1899-12-30T18:07:55"/>
    <s v=""/>
    <s v="Ativo"/>
    <m/>
    <m/>
    <s v=""/>
    <s v=""/>
    <s v=""/>
    <x v="0"/>
    <s v=""/>
    <x v="204"/>
    <s v=""/>
    <d v="2026-05-08T00:00:00"/>
    <n v="50"/>
    <s v=""/>
    <s v=""/>
    <s v=""/>
    <s v=""/>
    <n v="1"/>
  </r>
  <r>
    <x v="1"/>
    <n v="934"/>
    <m/>
    <n v="3263"/>
    <s v="(03/03/2026) Visita apresentação _x000a_(05/03/2026)  buscando fechamento"/>
    <s v="Cleantech Solucoes Industria, Distribuidora, Comercio, Importacao E Exportacao De Produtos Quimicos Ltda"/>
    <x v="452"/>
    <n v="51540058000169"/>
    <s v=""/>
    <s v="Cleantech Solucoes Industria, Distribuidora, Comercio, Importacao E Exportacao De Produtos Quimicos Ltda"/>
    <s v="(11) 91564-2482"/>
    <s v=""/>
    <s v=""/>
    <s v=""/>
    <s v=""/>
    <s v=""/>
    <s v="SAO PAULO"/>
    <s v="SP"/>
    <s v="Base de empresas Leads2b"/>
    <s v=""/>
    <s v=""/>
    <s v=""/>
    <s v="Pipeline de Vendas"/>
    <s v="Em Fechamento (100%)"/>
    <s v=""/>
    <m/>
    <n v="68400"/>
    <n v="114607"/>
    <n v="49"/>
    <s v="Junior Lopes"/>
    <d v="2026-02-11T00:00:00"/>
    <d v="1899-12-30T18:19:45"/>
    <s v=""/>
    <s v="Ganho"/>
    <d v="2026-04-01T00:00:00"/>
    <d v="1899-12-30T10:36:11"/>
    <s v=""/>
    <s v=""/>
    <s v=""/>
    <x v="183"/>
    <s v=""/>
    <x v="196"/>
    <s v="03/03/2026"/>
    <d v="2026-03-05T00:00:00"/>
    <n v="70"/>
    <s v=""/>
    <s v=""/>
    <s v=""/>
    <s v=""/>
    <n v="1"/>
  </r>
  <r>
    <x v="0"/>
    <n v="935"/>
    <m/>
    <n v="3259"/>
    <s v="13/02 Fiz FUP hoje com a Pamela e o perfil identificado é de cliente emergente para investir no momento. E por isso foi declinado."/>
    <s v=""/>
    <x v="453"/>
    <m/>
    <s v=""/>
    <s v="PAMELA CRISTINA DA FONSECA"/>
    <s v="(46) 99984-1338"/>
    <s v=""/>
    <s v="importacao.azul@hotmail.com"/>
    <s v=""/>
    <s v=""/>
    <s v=""/>
    <s v="Fazenda Rio Grande"/>
    <s v=""/>
    <s v="Site"/>
    <s v=""/>
    <s v=""/>
    <s v="Solicita demo"/>
    <s v="Pipeline de Vendas"/>
    <s v="Qualificação de Vendas (SQL) (25%)"/>
    <s v=""/>
    <d v="2026-02-28T00:00:00"/>
    <m/>
    <m/>
    <n v="1"/>
    <s v="Paulo Souza"/>
    <d v="2026-02-12T00:00:00"/>
    <d v="1899-12-30T02:29:04"/>
    <s v=""/>
    <s v="Perdido"/>
    <d v="2026-02-13T00:00:00"/>
    <d v="1899-12-30T17:22:46"/>
    <s v="Preço muito alto - fora do budget de investimento"/>
    <s v=""/>
    <s v=""/>
    <x v="0"/>
    <s v="Paulo Souza"/>
    <x v="187"/>
    <s v=""/>
    <m/>
    <n v="30"/>
    <s v=""/>
    <s v="ERP, AFV"/>
    <s v=""/>
    <s v=""/>
    <n v="1"/>
  </r>
  <r>
    <x v="1"/>
    <n v="936"/>
    <m/>
    <n v="3268"/>
    <s v="(20/02/2026) Buscando fechamento _x000a_Conversa extraida do áudio enviado em 12/03/2026_x000a_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
    <s v=""/>
    <x v="454"/>
    <m/>
    <s v=""/>
    <s v="Atacadão das Tripas"/>
    <s v="14998549863"/>
    <s v=""/>
    <s v="kayocalil@hotmail.com"/>
    <s v=""/>
    <s v=""/>
    <s v=""/>
    <s v=""/>
    <s v=""/>
    <s v=""/>
    <s v=""/>
    <s v=""/>
    <s v=""/>
    <s v="Pipeline de Vendas"/>
    <s v="Em negociação (75%)"/>
    <s v=""/>
    <m/>
    <m/>
    <m/>
    <n v="27"/>
    <s v="Junior Lopes"/>
    <d v="2026-02-13T00:00:00"/>
    <d v="1899-12-30T14:52:42"/>
    <s v=""/>
    <s v="Perdido"/>
    <d v="2026-03-12T00:00:00"/>
    <d v="1899-12-30T14:12:42"/>
    <s v="Não quer mudar a solução atual"/>
    <s v="Conversa extraida do áudio enviado em 12/03/2026_x000a_ 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
    <s v=""/>
    <x v="0"/>
    <s v=""/>
    <x v="187"/>
    <s v=""/>
    <d v="2026-03-12T00:00:00"/>
    <n v="50"/>
    <s v=""/>
    <s v=""/>
    <s v=""/>
    <s v=""/>
    <n v="1"/>
  </r>
  <r>
    <x v="1"/>
    <n v="937"/>
    <m/>
    <n v="3267"/>
    <s v="(19/02/2026) descartando por falta de interação _x000a_09:44, 19/02/2026 Junior Lopes: Oi, Edenilson Tentei contato algumas vezes, mas não consegui falar com você. Imagino que sua rotina esteja corrida. Vou encerrar seu atendimento por aqui para não lotar sua caixa de entrada, mas sigo à disposição caso queira retomar o assunto no futuro"/>
    <s v=""/>
    <x v="455"/>
    <n v="3318893000106"/>
    <s v=""/>
    <s v="Eletro Fort Poste Padrão"/>
    <s v="19974151604"/>
    <s v=""/>
    <s v="compras@eletrofortlimeira.com.br"/>
    <s v=""/>
    <s v=""/>
    <s v=""/>
    <s v=""/>
    <s v=""/>
    <s v="Campanha"/>
    <s v=""/>
    <s v=""/>
    <s v="Dentro Perfil;Instagram"/>
    <s v="Pipeline de Vendas"/>
    <s v="Qualificação de Vendas (SQL) (25%)"/>
    <s v=""/>
    <d v="2026-02-28T00:00:00"/>
    <m/>
    <m/>
    <n v="13"/>
    <s v="Paulo Souza"/>
    <d v="2026-02-13T00:00:00"/>
    <d v="1899-12-30T21:58:18"/>
    <s v=""/>
    <s v="Perdido"/>
    <d v="2026-02-26T00:00:00"/>
    <d v="1899-12-30T23:10:17"/>
    <s v="Fora do porte mínimo (sem fit estrutural)"/>
    <s v=""/>
    <s v=""/>
    <x v="0"/>
    <s v="Junior Lopes"/>
    <x v="0"/>
    <s v=""/>
    <d v="2026-02-19T00:00:00"/>
    <n v="30"/>
    <s v=""/>
    <s v=""/>
    <s v=""/>
    <s v=""/>
    <n v="1"/>
  </r>
  <r>
    <x v="0"/>
    <n v="938"/>
    <m/>
    <n v="3266"/>
    <s v="19/02 Fiz FUP com o cliente e liguei para o Luis e ao entender o processo dele verifique que não atendemos. Pois ele quer que o vendedor no momento do pedido já emita a NF."/>
    <s v=""/>
    <x v="456"/>
    <n v="11994847000155"/>
    <s v=""/>
    <s v="Luís Fernando"/>
    <s v="(15) 99839-1786"/>
    <s v=""/>
    <s v="luismendesjr@cafecarneiro.com.br"/>
    <s v=""/>
    <s v=""/>
    <s v=""/>
    <s v="Itapeva"/>
    <s v=""/>
    <s v="Site"/>
    <s v=""/>
    <s v=""/>
    <s v="Contato"/>
    <s v="Pipeline de Vendas"/>
    <s v="Apresentar Solução (35%)"/>
    <s v=""/>
    <d v="2026-02-28T00:00:00"/>
    <m/>
    <m/>
    <n v="6"/>
    <s v="Paulo Souza"/>
    <d v="2026-02-13T00:00:00"/>
    <d v="1899-12-30T22:00:55"/>
    <s v=""/>
    <s v="Perdido"/>
    <d v="2026-02-19T00:00:00"/>
    <d v="1899-12-30T17:25:13"/>
    <s v="Nossa solução não atende - falta funcionalidade"/>
    <s v="19/02 Fiz FUP com o cliente e liguei para o Luis e ao entender o processo dele verifique que não atendemos. Pois ele quer que o vendedor no momento do pedido já emita a NF."/>
    <s v=""/>
    <x v="0"/>
    <s v="Paulo Souza"/>
    <x v="0"/>
    <s v=""/>
    <m/>
    <n v="30"/>
    <s v=""/>
    <s v=""/>
    <s v=""/>
    <s v=""/>
    <n v="1"/>
  </r>
  <r>
    <x v="2"/>
    <n v="945"/>
    <m/>
    <n v="3271"/>
    <s v=""/>
    <s v=""/>
    <x v="457"/>
    <m/>
    <s v=""/>
    <s v="Angel"/>
    <s v="(45) 99828-7178"/>
    <s v=""/>
    <s v="lucaangel20@hotmail.com"/>
    <s v=""/>
    <s v=""/>
    <s v=""/>
    <s v="Toledo"/>
    <s v=""/>
    <s v="Site"/>
    <s v=""/>
    <s v=""/>
    <s v="Solicita demo"/>
    <s v="Pipeline de Vendas"/>
    <s v="Agendamento (0%)"/>
    <s v=""/>
    <m/>
    <m/>
    <m/>
    <n v="2"/>
    <s v="Paulo Souza"/>
    <d v="2026-02-17T00:00:00"/>
    <d v="1899-12-30T17:47:51"/>
    <s v=""/>
    <s v="Perdido"/>
    <d v="2026-02-19T00:00:00"/>
    <d v="1899-12-30T09:05:02"/>
    <s v="Cliente não quer contato LGPD"/>
    <s v=""/>
    <s v=""/>
    <x v="0"/>
    <s v="Rayssa Karapeticov"/>
    <x v="0"/>
    <s v=""/>
    <d v="2026-02-18T00:00:00"/>
    <n v="30"/>
    <s v=""/>
    <s v="ERP"/>
    <s v=""/>
    <s v=""/>
    <n v="1"/>
  </r>
  <r>
    <x v="0"/>
    <n v="946"/>
    <m/>
    <n v="3270"/>
    <s v="26/02 Fiz FUP hoje com o Diego após varias tentativas de ligação ele não atendeu, envie e-mail para ver se consigo outro canal de conversa._x000a_12/03 Diego optou por uma solução local e se não der certo retorna o contato."/>
    <s v=""/>
    <x v="458"/>
    <m/>
    <s v=""/>
    <s v="Cia atacadista"/>
    <s v="71982084451"/>
    <s v=""/>
    <s v="ailtonsrocha@hotmail.com"/>
    <s v=""/>
    <s v=""/>
    <s v=""/>
    <s v=""/>
    <s v=""/>
    <s v="Campanha"/>
    <s v=""/>
    <s v=""/>
    <s v="Dentro Perfil;Instagram"/>
    <s v="Pipeline de Vendas"/>
    <s v="Qualificação de Vendas (SQL) (25%)"/>
    <s v=""/>
    <d v="2026-03-31T00:00:00"/>
    <m/>
    <m/>
    <n v="82"/>
    <s v="Paulo Souza"/>
    <d v="2026-02-18T00:00:00"/>
    <d v="1899-12-30T08:51:33"/>
    <s v=""/>
    <s v="Perdido"/>
    <d v="2026-05-11T00:00:00"/>
    <d v="1899-12-30T11:54:40"/>
    <s v="Fechou com o concorrente - preço"/>
    <s v="optou por uma solução local, senão atende-lo volta o contato."/>
    <s v=""/>
    <x v="0"/>
    <s v="Paulo Souza"/>
    <x v="0"/>
    <s v=""/>
    <d v="2026-03-12T00:00:00"/>
    <n v="30"/>
    <s v=""/>
    <s v="ERP, AFV"/>
    <s v=""/>
    <s v=""/>
    <n v="1"/>
  </r>
  <r>
    <x v="1"/>
    <n v="948"/>
    <m/>
    <n v="3278"/>
    <s v="(19/02/2026) em contato com Andreia ! atualmente usa ERP Linx e busca ferramenta de força de vendas _x000a_estamos alinhando data de apresentação _x000a_(09/03/2026) Após envio da proposta comercial Andréa não respondeu mais ! dois pontos de atenção com relacçao ao seu ramo de atividade , por ser um fabrica de roupas e ERP Linx"/>
    <s v=""/>
    <x v="459"/>
    <m/>
    <s v=""/>
    <s v="Ama"/>
    <s v="21995112577"/>
    <s v=""/>
    <s v="andreiamattosaeb@mail.com"/>
    <s v=""/>
    <s v=""/>
    <s v=""/>
    <s v=""/>
    <s v=""/>
    <s v="Campanha"/>
    <s v=""/>
    <s v=""/>
    <s v="Dentro Perfil;Instagram"/>
    <s v="Pipeline de Vendas"/>
    <s v="Apresentar Proposta (50%)"/>
    <s v=""/>
    <d v="2026-02-28T00:00:00"/>
    <n v="16960"/>
    <n v="575"/>
    <n v="21"/>
    <s v="Paulo Souza"/>
    <d v="2026-02-19T00:00:00"/>
    <d v="1899-12-30T08:14:29"/>
    <s v=""/>
    <s v="Perdido"/>
    <d v="2026-03-12T00:00:00"/>
    <d v="1899-12-30T15:22:14"/>
    <s v="Não houve aprovação financeira"/>
    <s v="investimento alto"/>
    <s v=""/>
    <x v="184"/>
    <s v="Junior Lopes"/>
    <x v="205"/>
    <s v=""/>
    <d v="2026-03-09T00:00:00"/>
    <n v="31"/>
    <s v=""/>
    <s v=""/>
    <s v=""/>
    <s v=""/>
    <n v="1"/>
  </r>
  <r>
    <x v="2"/>
    <n v="949"/>
    <m/>
    <n v="3279"/>
    <s v=""/>
    <s v=""/>
    <x v="363"/>
    <m/>
    <s v=""/>
    <s v="Fisiohosp"/>
    <s v="06596658787"/>
    <s v=""/>
    <s v="cmag2017@gmail.com"/>
    <s v=""/>
    <s v=""/>
    <s v=""/>
    <s v=""/>
    <s v="Cuiabá mt"/>
    <s v="Inbound"/>
    <s v=""/>
    <s v=""/>
    <s v="Fora Perfil;Instagram"/>
    <s v="Pipeline de Vendas"/>
    <s v="Agendamento (0%)"/>
    <s v=""/>
    <d v="2026-02-28T00:00:00"/>
    <m/>
    <m/>
    <n v="4"/>
    <s v="Paulo Souza"/>
    <d v="2026-02-19T00:00:00"/>
    <d v="1899-12-30T08:15:39"/>
    <s v=""/>
    <s v="Perdido"/>
    <d v="2026-02-23T00:00:00"/>
    <d v="1899-12-30T16:11:43"/>
    <s v="Fora do porte mínimo (sem fit estrutural)"/>
    <s v=""/>
    <s v=""/>
    <x v="0"/>
    <s v="Rayssa Karapeticov"/>
    <x v="0"/>
    <s v=""/>
    <m/>
    <n v="30"/>
    <s v=""/>
    <s v=""/>
    <s v=""/>
    <s v=""/>
    <n v="1"/>
  </r>
  <r>
    <x v="2"/>
    <n v="950"/>
    <m/>
    <n v="3280"/>
    <s v="19.02 devido o feriado de carnaval estã retornando hoje._x000a_Combinamos de falar amanhã 20/02 as 09h"/>
    <s v=""/>
    <x v="460"/>
    <n v="3459449000100"/>
    <s v=""/>
    <s v="San marcus industrial"/>
    <s v="75998542317"/>
    <s v=""/>
    <s v="marcos@sanmarcus.com.br"/>
    <s v=""/>
    <s v=""/>
    <s v=""/>
    <s v=""/>
    <s v=""/>
    <s v="Campanha"/>
    <s v=""/>
    <s v=""/>
    <s v="Dentro Perfil;Instagram"/>
    <s v="Pipeline de Vendas"/>
    <s v="Apresentar Solução (35%)"/>
    <s v=""/>
    <d v="2026-04-30T00:00:00"/>
    <m/>
    <m/>
    <n v="22"/>
    <s v="Paulo Souza"/>
    <d v="2026-02-19T00:00:00"/>
    <d v="1899-12-30T08:17:18"/>
    <s v=""/>
    <s v="Perdido"/>
    <d v="2026-03-13T00:00:00"/>
    <d v="1899-12-30T10:35:07"/>
    <s v="Não quer mudar a solução atual"/>
    <s v=""/>
    <s v=""/>
    <x v="0"/>
    <s v="Rayssa Karapeticov"/>
    <x v="0"/>
    <s v=""/>
    <d v="2026-03-13T00:00:00"/>
    <n v="31"/>
    <s v=""/>
    <s v="ERP, PCP, AFV"/>
    <s v=""/>
    <s v=""/>
    <n v="1"/>
  </r>
  <r>
    <x v="1"/>
    <n v="951"/>
    <m/>
    <n v="3282"/>
    <s v="(19/02/2026) ligação não atendida ! na sequencia envio de mensagem _x000a_(19/02/2026) em contato com Carolla , a empresa é uma loja de doces , fora do perfil _x000a_08:56, 19/02/2026 Junior Lopes: OLá Carolla, bom dia !_x000a_08:56, 19/02/2026 Junior Lopes: sou Junior Lopes da Guarani sistemas td bem ?_x000a_08:57, 19/02/2026 Junior Lopes: estou retornando um contato que você fez conosco"/>
    <s v=""/>
    <x v="461"/>
    <m/>
    <s v=""/>
    <s v="Fa de doces"/>
    <s v="16993027000"/>
    <s v=""/>
    <s v="carollafinancas@gmail.com"/>
    <s v=""/>
    <s v=""/>
    <s v=""/>
    <s v=""/>
    <s v=""/>
    <s v="Campanha"/>
    <s v=""/>
    <s v=""/>
    <s v="Fora Perfil;Instagram"/>
    <s v="Pipeline de Vendas"/>
    <s v="Qualificação de Vendas (SQL) (25%)"/>
    <s v=""/>
    <d v="2026-02-19T00:00:00"/>
    <m/>
    <m/>
    <n v="7"/>
    <s v="Paulo Souza"/>
    <d v="2026-02-19T00:00:00"/>
    <d v="1899-12-30T08:18:43"/>
    <s v=""/>
    <s v="Perdido"/>
    <d v="2026-02-26T00:00:00"/>
    <d v="1899-12-30T23:09:28"/>
    <s v="Fora do porte mínimo (sem fit estrutural)"/>
    <s v=""/>
    <s v=""/>
    <x v="0"/>
    <s v="Junior Lopes"/>
    <x v="0"/>
    <s v=""/>
    <m/>
    <n v="30"/>
    <s v=""/>
    <s v=""/>
    <s v=""/>
    <s v=""/>
    <n v="1"/>
  </r>
  <r>
    <x v="0"/>
    <n v="952"/>
    <m/>
    <n v="3283"/>
    <s v="26/02 Fiz FUP com Alessandro e combinamos de falar na segunda-feira as 9h_x000a_12/03 Fiz FUP com o Alessandro e combinamos uma apresentação amanhã as 8h _x000a_20/03 Fiz FUP com o Alessandro para saber se ele vai seguir ou não._x000a_20/03 Cliente achou o preço muito alto para investir agora."/>
    <s v=""/>
    <x v="462"/>
    <m/>
    <s v=""/>
    <s v="Alessandro"/>
    <s v="49999890528"/>
    <s v=""/>
    <s v="ale@metaladm.com.br"/>
    <s v=""/>
    <s v=""/>
    <s v=""/>
    <s v=""/>
    <s v=""/>
    <s v="Campanha"/>
    <s v=""/>
    <s v=""/>
    <s v="Dentro Perfil;Instagram"/>
    <s v="Pipeline de Vendas"/>
    <s v="Em negociação (75%)"/>
    <s v=""/>
    <d v="2026-03-31T00:00:00"/>
    <n v="862043"/>
    <n v="34937"/>
    <n v="40"/>
    <s v="Paulo Souza"/>
    <d v="2026-02-19T00:00:00"/>
    <d v="1899-12-30T08:19:46"/>
    <s v=""/>
    <s v="Perdido"/>
    <d v="2026-03-31T00:00:00"/>
    <d v="1899-12-30T16:31:50"/>
    <s v="Preço muito alto - fora do budget de investimento"/>
    <s v=""/>
    <s v=""/>
    <x v="187"/>
    <s v="Paulo Souza"/>
    <x v="0"/>
    <s v=""/>
    <d v="2026-03-20T00:00:00"/>
    <n v="30"/>
    <s v=""/>
    <s v="ERP, AFV"/>
    <s v=""/>
    <s v=""/>
    <n v="1"/>
  </r>
  <r>
    <x v="0"/>
    <n v="953"/>
    <m/>
    <n v="3284"/>
    <s v="26/02 Fiz FUP com a Fernanda e ela não atendeu, deixei recado para falarmos._x000a_02/02 Fiz FUP e cliente falou que vai analisar"/>
    <s v=""/>
    <x v="463"/>
    <m/>
    <s v=""/>
    <s v="NEW"/>
    <s v="1140227929"/>
    <s v=""/>
    <s v="ferramentarianws@gmail.com"/>
    <s v=""/>
    <s v=""/>
    <s v=""/>
    <s v=""/>
    <s v=""/>
    <s v="Campanha"/>
    <s v=""/>
    <s v=""/>
    <s v="Fora Perfil;Instagram"/>
    <s v="Pipeline de Vendas"/>
    <s v="Qualificação de Vendas (SQL) (25%)"/>
    <s v=""/>
    <d v="2026-02-28T00:00:00"/>
    <m/>
    <m/>
    <n v="12"/>
    <s v="Paulo Souza"/>
    <d v="2026-02-19T00:00:00"/>
    <d v="1899-12-30T08:20:37"/>
    <s v=""/>
    <s v="Perdido"/>
    <d v="2026-03-03T00:00:00"/>
    <d v="1899-12-30T21:25:01"/>
    <s v="Fora do porte mínimo (sem fit estrutural)"/>
    <s v=""/>
    <s v=""/>
    <x v="0"/>
    <s v="Paulo Souza"/>
    <x v="0"/>
    <s v=""/>
    <m/>
    <n v="32"/>
    <s v=""/>
    <s v=""/>
    <s v=""/>
    <s v=""/>
    <n v="1"/>
  </r>
  <r>
    <x v="2"/>
    <n v="956"/>
    <m/>
    <n v="3286"/>
    <s v="esta atrás de parceiria para revenda do sistema"/>
    <s v=""/>
    <x v="464"/>
    <m/>
    <s v=""/>
    <s v="Grupo Alves Consultoria Empresarial"/>
    <s v="92992307944"/>
    <s v=""/>
    <s v="tayanxpmartins@hotmail.com"/>
    <s v=""/>
    <s v=""/>
    <s v=""/>
    <s v=""/>
    <s v=""/>
    <s v="Campanha"/>
    <s v=""/>
    <s v=""/>
    <s v="Fora Perfil;Instagram"/>
    <s v="Pipeline de Vendas"/>
    <s v="Agendamento (0%)"/>
    <s v=""/>
    <d v="2026-02-28T00:00:00"/>
    <m/>
    <m/>
    <n v="3"/>
    <s v="Paulo Souza"/>
    <d v="2026-02-20T00:00:00"/>
    <d v="1899-12-30T13:53:53"/>
    <s v=""/>
    <s v="Perdido"/>
    <d v="2026-02-23T00:00:00"/>
    <d v="1899-12-30T16:07:54"/>
    <s v="Fora do porte mínimo (sem fit estrutural)"/>
    <s v=""/>
    <s v=""/>
    <x v="0"/>
    <s v="Rayssa Karapeticov"/>
    <x v="0"/>
    <s v=""/>
    <d v="2026-02-23T00:00:00"/>
    <n v="30"/>
    <s v=""/>
    <s v=""/>
    <s v=""/>
    <s v=""/>
    <n v="1"/>
  </r>
  <r>
    <x v="2"/>
    <n v="959"/>
    <m/>
    <n v="3298"/>
    <s v="Cliente é um representante da Oster e outras marcas, a ideia de negociação é do AFV, mas no dia sexta-feira, 20 de fevereiro de 2026_x000a_11:00 - 12:00 (BRT) - realizamos uma apresentação do AFv, durante a reunião pediu uma proposta do ERP também para avaliar uma possivel troca. _x000a_Após a reunião fizemos uma segunda ruenião de apresentação da proposta comercial no dia 24/02_x000a_Após isso cliente ficou de me passar uma contra proposta para negociação, porém ele esta em feria no EUA, e ainda não retornoul_x000a_Falei com ele hoje 18/03 e ainda esta em feira e pediu para retornar na sexta oferecendo um login e senha. _x000a_Vou retornar o contato na sexta para entender(provavelemente é do AFV) mas dar sequencia no atendimento_x000a_24.03 Estou marcando uma reunião presencial, porém essa semana esta em SC"/>
    <s v=""/>
    <x v="465"/>
    <m/>
    <s v=""/>
    <s v="André Feldman"/>
    <s v="11988461881"/>
    <s v=""/>
    <s v="andre@homebrands.com.br"/>
    <s v=""/>
    <s v=""/>
    <s v=""/>
    <s v=""/>
    <s v=""/>
    <s v=""/>
    <s v=""/>
    <s v=""/>
    <s v=""/>
    <s v="Pipeline de Vendas"/>
    <s v="Em negociação (75%)"/>
    <s v=""/>
    <d v="2026-05-31T00:00:00"/>
    <n v="963186"/>
    <n v="62062"/>
    <n v="79"/>
    <s v="Rayssa Karapeticov"/>
    <d v="2026-02-23T00:00:00"/>
    <d v="1899-12-30T11:51:24"/>
    <s v=""/>
    <s v="Perdido"/>
    <d v="2026-05-13T00:00:00"/>
    <d v="1899-12-30T10:42:53"/>
    <s v="Projeto adiado / sem prazo definido"/>
    <s v=""/>
    <s v=""/>
    <x v="188"/>
    <s v="Rayssa Karapeticov"/>
    <x v="206"/>
    <s v=""/>
    <d v="2026-05-13T00:00:00"/>
    <n v="30"/>
    <s v=""/>
    <s v="ERP"/>
    <s v=""/>
    <s v=""/>
    <n v="1"/>
  </r>
  <r>
    <x v="2"/>
    <n v="960"/>
    <m/>
    <n v="3299"/>
    <s v="Cliente é um representante da Oster e outras marcas, a ideia de negociação é do AFV, mas no dia sexta-feira, 20 de fevereiro de 2026_x000a_11:00 - 12:00 (BRT) - realizamos uma apresentação do AFv, durante a reunião pediu uma proposta do ERP também para avaliar uma possivel troca. _x000a_Após a reunião fizemos uma segunda ruenião de apresentação da proposta comercial no dia 24/02_x000a_Após isso cliente ficou de me passar uma contra proposta para negociação, porém ele esta em feria no EUA, e ainda não retornoul_x000a_Falei com ele hoje 18/03 e ainda esta em feira e pediu para retornar na sexta oferecendo um login e senha. _x000a_Vou retornar o contato na sexta para entender(provavelemente é do AFV) mas dar sequencia no atendimento_x000a_24.03 Estou marcando uma reunião presencial, porém essa semana esta em SC."/>
    <s v=""/>
    <x v="466"/>
    <m/>
    <s v=""/>
    <s v="Andre"/>
    <s v="11988461881"/>
    <s v=""/>
    <s v="andre@homebrands.com.br"/>
    <s v=""/>
    <s v=""/>
    <s v=""/>
    <s v=""/>
    <s v=""/>
    <s v=""/>
    <s v=""/>
    <s v=""/>
    <s v=""/>
    <s v="Pipeline de Vendas"/>
    <s v="Em negociação (75%)"/>
    <s v=""/>
    <d v="2026-04-30T00:00:00"/>
    <n v="27150"/>
    <n v="3450"/>
    <n v="79"/>
    <s v="Rayssa Karapeticov"/>
    <d v="2026-02-23T00:00:00"/>
    <d v="1899-12-30T12:12:37"/>
    <s v=""/>
    <s v="Perdido"/>
    <d v="2026-05-13T00:00:00"/>
    <d v="1899-12-30T10:53:23"/>
    <s v="Não quer mudar a solução atual"/>
    <s v=""/>
    <s v=""/>
    <x v="188"/>
    <s v="Rayssa Karapeticov"/>
    <x v="206"/>
    <s v=""/>
    <d v="2026-05-13T00:00:00"/>
    <n v="30"/>
    <s v=""/>
    <s v="AFV"/>
    <s v=""/>
    <s v=""/>
    <n v="1"/>
  </r>
  <r>
    <x v="1"/>
    <n v="961"/>
    <m/>
    <n v="3287"/>
    <s v="12:26, 24/02/2026 Junior Lopes: lá Valdir, bom dia_x000a_12:26, 24/02/2026 Junior Lopes: aqui é Junior Lopes da Guarani sistemas tudo bem ?_x000a_12:39, 24/02/2026 +55 19 99218-9262: Boa tarde._x000a_Tudo bem e você?_x000a_Estou em um pregão eletrônico,  assim que acabar te chamo_x000a_13:02, 25/02/2026 +55 19 99218-9262: Preciso de um erp que controle 2 cnpj._x000a_Tenha:_x000a_Controle de O.S. com emissão de produto junto._x000a_Atualização com marketplace hoje, ML, Amazon, Shopee e Magazine Luiza._x000a_Controle de contratos _x000a_Ecomerce._x000a_Vendas por WhatsApp, Instagram, etc._x000a_Quando fazer venda na loja física, podendo colocar produtos das duas empresas e depois fazer as nfe de acordo com os produtos adequados._x000a_13:02, 25/02/2026 Junior Lopes: Olá Valdir , boa tarde_x000a_13:03, 25/02/2026 Junior Lopes: Assim que finalizar meu almoço , verifico sua mensagem e te respondo_x000a_13:03, 25/02/2026 Junior Lopes: Um abraço_x000a_13:03, 25/02/2026 +55 19 99218-9262: Estou no médico tambem agora, kkkk_x000a_13:03, 25/02/2026 +55 19 99218-9262: No aguardo_x000a_14:02, 25/02/2026 Junior Lopes: Olá Valdir, td bem ? fiz uma analise sobre as necessidades que você solicitou_x000a_14:02, 25/02/2026 Junior Lopes: Para o cenário da Compuleme, que exige uma frente de caixa (PDV) para loja física e integração direta com redes sociais e marketplaces, informamos que a Guarani não é a solução ideal._x000a_Embora sejamos fortes no controle de múltiplos CNPJs, O.S. e contratos, nosso sistema não opera com vendas de varejo físico ou integração de canais de atendimento (WhatsApp/Instagram). Preferimos ser transparentes para que vocês possam focar em uma ferramenta que já possua esse ecossistema de vendas integrado nativamente"/>
    <s v=""/>
    <x v="467"/>
    <n v="56556830000154"/>
    <s v=""/>
    <s v="Compuleme"/>
    <s v="19992189262"/>
    <s v=""/>
    <s v="valdir@compuleme.com.br"/>
    <s v=""/>
    <s v=""/>
    <s v=""/>
    <s v=""/>
    <s v=""/>
    <s v="Campanha"/>
    <s v=""/>
    <s v=""/>
    <s v="Fora Perfil;Instagram"/>
    <s v="Pipeline de Vendas"/>
    <s v="Qualificação de Vendas (SQL) (25%)"/>
    <s v=""/>
    <d v="2026-02-28T00:00:00"/>
    <m/>
    <m/>
    <n v="2"/>
    <s v="Paulo Souza"/>
    <d v="2026-02-24T00:00:00"/>
    <d v="1899-12-30T09:39:07"/>
    <s v=""/>
    <s v="Perdido"/>
    <d v="2026-02-26T00:00:00"/>
    <d v="1899-12-30T23:10:53"/>
    <s v="Fora do porte mínimo (sem fit estrutural)"/>
    <s v=""/>
    <s v=""/>
    <x v="0"/>
    <s v="Junior Lopes"/>
    <x v="0"/>
    <s v=""/>
    <d v="2026-02-25T00:00:00"/>
    <n v="30"/>
    <s v=""/>
    <s v=""/>
    <s v=""/>
    <s v=""/>
    <n v="1"/>
  </r>
  <r>
    <x v="2"/>
    <n v="962"/>
    <m/>
    <n v="3290"/>
    <s v="Perfil da Empresa_x000a_Setor: Tecnologia e segurança_x000a_Atuação: Distribuidora e empresa de tecnologia_x000a_Marcas representadas: Motorola, 3M_x000a_Produtos e Serviços_x000a_Vendas de produtos:_x000a_Via rádio de segurança_x000a_Formato de vendas para clientes recorrentes_x000a_Indicação pelo próprio representante_x000a_Equipe interna de vendas com 10 pessoas_x000a_Locação de produtos_x000a_Serviços complementares (não especificados, mas mencionados)_x000a_Estrutura Comercial_x000a_Equipe de vendas: 10 pessoas_x000a_Canais de vendas:_x000a_Representantes_x000a_Indicações_x000a_Equipe interna_x000a_Necessidade Atual_x000a_Implementar uma solução que:_x000a_Crie indicadores de desempenho para a equipe de vendas_x000a_Disponibilize um CRM para gestão de clientes e processos"/>
    <s v=""/>
    <x v="468"/>
    <m/>
    <s v=""/>
    <s v="São Paulo"/>
    <s v="11991241336"/>
    <s v=""/>
    <s v="dario@trivaletecnologia.com.br"/>
    <s v=""/>
    <s v=""/>
    <s v=""/>
    <s v=""/>
    <s v=""/>
    <s v="Campanha"/>
    <s v=""/>
    <s v=""/>
    <s v="Dentro Perfil;Instagram"/>
    <s v="Pipeline de Vendas"/>
    <s v="Agendamento (0%)"/>
    <s v=""/>
    <d v="2026-02-28T00:00:00"/>
    <m/>
    <m/>
    <n v="74"/>
    <s v="Paulo Souza"/>
    <d v="2026-02-24T00:00:00"/>
    <d v="1899-12-30T09:42:24"/>
    <s v=""/>
    <s v="Perdido"/>
    <d v="2026-05-09T00:00:00"/>
    <d v="1899-12-30T08:49:05"/>
    <s v="Fora do segmento atendido"/>
    <s v=""/>
    <s v=""/>
    <x v="0"/>
    <s v="Rayssa Karapeticov"/>
    <x v="0"/>
    <s v=""/>
    <d v="2026-02-26T00:00:00"/>
    <n v="30"/>
    <s v=""/>
    <s v=""/>
    <s v=""/>
    <s v=""/>
    <n v="1"/>
  </r>
  <r>
    <x v="0"/>
    <n v="963"/>
    <m/>
    <n v="3293"/>
    <s v="26/02 Fiz FUP com o Anderson e ele possui 3 lojas de roupa e esta fora do perfil."/>
    <s v=""/>
    <x v="469"/>
    <m/>
    <s v=""/>
    <s v="Anderson Brandão"/>
    <s v="13981286699"/>
    <s v=""/>
    <s v="anderson.melro@hotmail.com"/>
    <s v=""/>
    <s v=""/>
    <s v=""/>
    <s v=""/>
    <s v=""/>
    <s v="Campanha"/>
    <s v=""/>
    <s v=""/>
    <s v="Fora Perfil;Instagram"/>
    <s v="Pipeline de Vendas"/>
    <s v="Agendamento (0%)"/>
    <s v=""/>
    <d v="2026-02-28T00:00:00"/>
    <m/>
    <m/>
    <n v="2"/>
    <s v="Paulo Souza"/>
    <d v="2026-02-24T00:00:00"/>
    <d v="1899-12-30T09:46:02"/>
    <s v=""/>
    <s v="Perdido"/>
    <d v="2026-02-26T00:00:00"/>
    <d v="1899-12-30T17:30:38"/>
    <s v="Fora do porte mínimo (sem fit estrutural)"/>
    <s v="26/02 Fiz FUP com o Anderson e ele possui 3 lojas de roupa e esta fora do perfil."/>
    <s v=""/>
    <x v="0"/>
    <s v="Paulo Souza"/>
    <x v="0"/>
    <s v=""/>
    <m/>
    <n v="30"/>
    <s v=""/>
    <s v="PDV"/>
    <s v=""/>
    <s v=""/>
    <n v="1"/>
  </r>
  <r>
    <x v="0"/>
    <n v="964"/>
    <m/>
    <n v="3294"/>
    <s v="26/02 Fiz FUP com a Leticia ela não pode atender pois estava saindo para buscar o filho na escola, ficamos de falar amanha._x000a_12/03 Apos ligar e não ser atendido estou declinando a aliança."/>
    <s v=""/>
    <x v="470"/>
    <m/>
    <s v=""/>
    <s v="Leticia"/>
    <s v="(62) 99953-7500"/>
    <s v=""/>
    <s v="leticiarsouza1@gmail.com"/>
    <s v=""/>
    <s v=""/>
    <s v=""/>
    <s v="Goiânia"/>
    <s v=""/>
    <s v="Site"/>
    <s v=""/>
    <s v=""/>
    <s v="Dentro Perfil;Fora Perfil;Solicita demo"/>
    <s v="Pipeline de Vendas"/>
    <s v="Qualificação de Vendas (SQL) (25%)"/>
    <s v=""/>
    <d v="2026-02-28T00:00:00"/>
    <m/>
    <m/>
    <n v="16"/>
    <s v="Paulo Souza"/>
    <d v="2026-02-24T00:00:00"/>
    <d v="1899-12-30T09:48:17"/>
    <s v=""/>
    <s v="Perdido"/>
    <d v="2026-03-12T00:00:00"/>
    <d v="1899-12-30T17:30:42"/>
    <s v="Fora do porte mínimo (sem fit estrutural)"/>
    <s v=""/>
    <s v=""/>
    <x v="0"/>
    <s v="Paulo Souza"/>
    <x v="200"/>
    <s v=""/>
    <d v="2026-03-12T00:00:00"/>
    <n v="30"/>
    <s v=""/>
    <s v=""/>
    <s v=""/>
    <s v=""/>
    <n v="1"/>
  </r>
  <r>
    <x v="1"/>
    <n v="965"/>
    <m/>
    <n v="3295"/>
    <s v="(24/02/20260 Tentativa de ligação não atendia ! enviei mensagem a fim de contato com Geaze ! _x000a_em busca sobre a empresa usando IA do Google :_x000a_A Infraloc é uma empresa especializada na locação e venda de móveis corporativos e equipamentos, com forte atuação no setor de construção civil, canteiros de obras e eventos. _x000a_Informações de Contato e Localização_x000a_Endereço: R. José Miranda, 143 - Afogados, Recife - PE._x000a_WhatsApp: (81) 98297-2897._x000a_Site Oficial: infraloc.com.br. _x000a_Principais Produtos e Serviços_x000a_A empresa oferece soluções completas para canteiros, escritórios e refeitórios, incluindo:_x000a_Móveis Corporativos: Mesas de reunião, mesas e cadeiras de escritório, armários roupeiros e estações de trabalho._x000a_Equipamentos: Bebedouros industriais, cafeteiras expressas, impressoras a laser e máquinas para construção._x000a_Estruturas para Eventos: Locação de toldos, mesas e cadeiras de PVC para festas e eventos em gera_x000a_(25/02/2026) cliente trabalha com locação de equipamento , é necessário controle e contrato de locação manutenção (Fora do perfil )"/>
    <s v=""/>
    <x v="471"/>
    <m/>
    <s v=""/>
    <s v="Infraloc"/>
    <s v="81986574539"/>
    <s v=""/>
    <s v="geazemiranda@yahoo.com.br"/>
    <s v=""/>
    <s v=""/>
    <s v=""/>
    <s v=""/>
    <s v=""/>
    <s v="Campanha"/>
    <s v=""/>
    <s v=""/>
    <s v="Fora Perfil;Instagram"/>
    <s v="Pipeline de Vendas"/>
    <s v="Qualificação de Vendas (SQL) (25%)"/>
    <s v=""/>
    <d v="2026-02-28T00:00:00"/>
    <m/>
    <m/>
    <n v="1"/>
    <s v="Paulo Souza"/>
    <d v="2026-02-24T00:00:00"/>
    <d v="1899-12-30T09:49:20"/>
    <s v=""/>
    <s v="Perdido"/>
    <d v="2026-02-25T00:00:00"/>
    <d v="1899-12-30T10:58:00"/>
    <s v="Fora do porte mínimo (sem fit estrutural)"/>
    <s v="(25/02/2026) cliente trabalha com locação de equipamento , é necessário controle e contrato de locação manutenção (Fora do perfil )"/>
    <s v=""/>
    <x v="0"/>
    <s v="Junior Lopes"/>
    <x v="0"/>
    <s v=""/>
    <d v="2026-02-25T00:00:00"/>
    <n v="30"/>
    <s v=""/>
    <s v=""/>
    <s v=""/>
    <s v=""/>
    <n v="1"/>
  </r>
  <r>
    <x v="2"/>
    <n v="966"/>
    <m/>
    <n v="3296"/>
    <s v=""/>
    <s v=""/>
    <x v="472"/>
    <m/>
    <s v=""/>
    <s v="Centrolar"/>
    <s v="62992132212"/>
    <s v=""/>
    <s v="ubiratanrosania@gmail.com"/>
    <s v=""/>
    <s v=""/>
    <s v=""/>
    <s v=""/>
    <s v=""/>
    <s v="Campanha"/>
    <s v=""/>
    <s v=""/>
    <s v="Fora Perfil;Instagram"/>
    <s v="Pipeline de Vendas"/>
    <s v="Agendamento (0%)"/>
    <s v=""/>
    <d v="2026-03-31T00:00:00"/>
    <m/>
    <m/>
    <n v="74"/>
    <s v="Paulo Souza"/>
    <d v="2026-02-24T00:00:00"/>
    <d v="1899-12-30T09:50:49"/>
    <s v=""/>
    <s v="Perdido"/>
    <d v="2026-05-09T00:00:00"/>
    <d v="1899-12-30T21:11:15"/>
    <s v="Sem qualificação — contato não atende ligações nem responde msg"/>
    <s v=""/>
    <s v=""/>
    <x v="0"/>
    <s v="Rayssa Karapeticov"/>
    <x v="0"/>
    <s v=""/>
    <d v="2026-03-09T00:00:00"/>
    <n v="30"/>
    <s v=""/>
    <s v=""/>
    <s v=""/>
    <s v=""/>
    <n v="1"/>
  </r>
  <r>
    <x v="1"/>
    <n v="967"/>
    <m/>
    <n v="3300"/>
    <s v="(24/02/2026) em contato com Daniel _x000a_A empresa Vitta Estrutural está iniciando as operação, sua operação esta focada em recarga de extintores e revenda de produtos através de venda balcão e representante externo ! um ponto especifico é o controle de lote e validade dos extintores informando a data que está vencendo no ambiente do cliente _x000a_Daniel solicitou uma previsão de investimento para seguirmos _x000a_(25/02/2026) enviando previsão de investimento para analise do cliente e viabilidade  _x000a_10:50, 25/02/2026 Junior Lopes: valores na pagina 27 com resumo na pagina 28_x000a_10:53, 25/02/2026 Junior Lopes: perfeito ! ficamos a disposição para apresentação completa da solução_x000a_10:41, 09/03/2026 Junior Lopes: Olá Daniel, bom dia _x000a_Sobre o projeto ERP Guarani ! Vamos da sequência meu amigo?_x000a_10:41, 09/03/2026 Junior Lopes: Olá Daniel, bom dia _x000a_Sobre o projeto ERP Guarani ! Vamos da sequência meu amigo?_x000a_10:42, 09/03/2026 +55 67 9207-9099: Bom dia, agradeço por enquanto.,_x000a_10:45, 09/03/2026 Junior Lopes: Obrigado pelo retorno! Sucesso para vcs"/>
    <s v=""/>
    <x v="473"/>
    <m/>
    <s v=""/>
    <s v="Vitta Estrutural"/>
    <s v="67992079099"/>
    <s v=""/>
    <s v="dgruschel@hotmail.com"/>
    <s v=""/>
    <s v=""/>
    <s v=""/>
    <s v=""/>
    <s v=""/>
    <s v="Campanha"/>
    <s v=""/>
    <s v=""/>
    <s v="30%;Dentro Perfil;Instagram"/>
    <s v="Pipeline de Vendas"/>
    <s v="Apresentar Proposta (50%)"/>
    <s v=""/>
    <d v="2026-03-30T00:00:00"/>
    <n v="758068"/>
    <n v="9596"/>
    <n v="13"/>
    <s v="Paulo Souza"/>
    <d v="2026-02-24T00:00:00"/>
    <d v="1899-12-30T09:52:13"/>
    <s v=""/>
    <s v="Perdido"/>
    <d v="2026-03-09T00:00:00"/>
    <d v="1899-12-30T10:46:44"/>
    <s v="Projeto adiado / sem prazo definido"/>
    <s v="10:41, 09/03/2026 Junior Lopes: Olá Daniel, bom dia _x000a_Sobre o projeto ERP Guarani ! Vamos da sequência meu amigo?_x000a_10:42, 09/03/2026 +55 67 9207-9099: Bom dia, agradeço por enquanto.,_x000a_10:45, 09/03/2026 Junior Lopes: Obrigado pelo retorno! Sucesso para vcs"/>
    <s v=""/>
    <x v="184"/>
    <s v="Junior Lopes"/>
    <x v="199"/>
    <s v=""/>
    <d v="2026-03-09T00:00:00"/>
    <n v="30"/>
    <s v=""/>
    <s v=""/>
    <s v=""/>
    <s v=""/>
    <n v="1"/>
  </r>
  <r>
    <x v="0"/>
    <n v="968"/>
    <m/>
    <n v="3288"/>
    <s v="26/02 Fiz FUP hoje com o Fábio ele não atendeu a ligação, deixei novo recado no Whatasapp."/>
    <s v=""/>
    <x v="474"/>
    <m/>
    <s v=""/>
    <s v="Flávio Storino"/>
    <s v="(19) 99667-2002"/>
    <s v=""/>
    <s v="flaviostorino@gmail.com"/>
    <s v=""/>
    <s v=""/>
    <s v=""/>
    <s v="Porto Ferreira"/>
    <s v=""/>
    <s v="Site"/>
    <s v=""/>
    <s v=""/>
    <s v="Contato"/>
    <s v="Pipeline de Vendas"/>
    <s v="Qualificação de Vendas (SQL) (25%)"/>
    <s v=""/>
    <d v="2026-02-28T00:00:00"/>
    <m/>
    <m/>
    <n v="2"/>
    <s v="Paulo Souza"/>
    <d v="2026-02-24T00:00:00"/>
    <d v="1899-12-30T09:54:16"/>
    <s v=""/>
    <s v="Perdido"/>
    <d v="2026-02-26T00:00:00"/>
    <d v="1899-12-30T18:33:13"/>
    <s v="Fora do porte mínimo (sem fit estrutural)"/>
    <s v=""/>
    <s v=""/>
    <x v="0"/>
    <s v="Paulo Souza"/>
    <x v="0"/>
    <s v=""/>
    <m/>
    <n v="30"/>
    <s v=""/>
    <s v=""/>
    <s v=""/>
    <s v=""/>
    <n v="1"/>
  </r>
  <r>
    <x v="2"/>
    <n v="969"/>
    <m/>
    <n v="3304"/>
    <s v=""/>
    <s v=""/>
    <x v="475"/>
    <n v="64688089000103"/>
    <s v=""/>
    <s v="Lucas"/>
    <s v="(11) 1111-1111"/>
    <s v=""/>
    <s v="contato@lucassecco.com.br"/>
    <s v=""/>
    <s v=""/>
    <s v=""/>
    <s v="ITAJAI"/>
    <s v="SC"/>
    <s v=""/>
    <s v=""/>
    <s v=""/>
    <s v=""/>
    <s v="Pipeline de Vendas"/>
    <s v="Apresentar Proposta (50%)"/>
    <s v=""/>
    <d v="2026-06-30T00:00:00"/>
    <n v="5191686"/>
    <n v="50562"/>
    <n v="16"/>
    <s v="Rayssa Karapeticov"/>
    <d v="2026-02-24T00:00:00"/>
    <d v="1899-12-30T12:41:49"/>
    <s v=""/>
    <s v="Perdido"/>
    <d v="2026-03-12T00:00:00"/>
    <d v="1899-12-30T17:14:44"/>
    <s v="Preço muito alto - fora do budget de investimento"/>
    <s v=""/>
    <s v=""/>
    <x v="189"/>
    <s v="Rayssa Karapeticov"/>
    <x v="207"/>
    <s v=""/>
    <d v="2026-03-12T00:00:00"/>
    <n v="30"/>
    <s v=""/>
    <s v="ERP, AFV"/>
    <s v=""/>
    <s v=""/>
    <n v="1"/>
  </r>
  <r>
    <x v="2"/>
    <n v="971"/>
    <m/>
    <n v="3303"/>
    <s v=""/>
    <s v=""/>
    <x v="476"/>
    <n v="1397620000179"/>
    <s v=""/>
    <s v="Sunred confecções"/>
    <s v="37988006012"/>
    <s v=""/>
    <s v="atendimento@sunred.com.br"/>
    <s v=""/>
    <s v=""/>
    <s v=""/>
    <s v=""/>
    <s v=""/>
    <s v="Campanha"/>
    <s v=""/>
    <s v=""/>
    <s v="Fora Perfil;Instagram"/>
    <s v="Pipeline de Vendas"/>
    <s v="Agendamento (0%)"/>
    <s v=""/>
    <d v="2026-02-28T00:00:00"/>
    <m/>
    <m/>
    <n v="73"/>
    <s v="Paulo Souza"/>
    <d v="2026-02-25T00:00:00"/>
    <d v="1899-12-30T15:32:36"/>
    <s v=""/>
    <s v="Perdido"/>
    <d v="2026-05-09T00:00:00"/>
    <d v="1899-12-30T08:49:28"/>
    <s v="Fora do segmento atendido"/>
    <s v=""/>
    <s v=""/>
    <x v="0"/>
    <s v="Rayssa Karapeticov"/>
    <x v="0"/>
    <s v=""/>
    <m/>
    <n v="27"/>
    <s v=""/>
    <s v=""/>
    <s v=""/>
    <s v=""/>
    <n v="1"/>
  </r>
  <r>
    <x v="1"/>
    <n v="972"/>
    <m/>
    <n v="3305"/>
    <s v="25/02/2026) em contato com Rogério _x000a_aoós tentativa de ligação nos falamos via WhatsApp conforme abaixo : _x000a_15:40, 25/02/2026 Junior Lopes: Olá Rogério , boa tarde_x000a_15:40, 25/02/2026 Junior Lopes: Sou Junior Lopes da Guarani sistemas! Td bem ?_x000a_15:40, 25/02/2026 Teodoro Cosmeticos: Boa tarde Júnior_x000a_15:41, 25/02/2026 Teodoro Cosmeticos: Bem graças a Deus_x000a_15:41, 25/02/2026 Junior Lopes: Que bom_x000a_15:41, 25/02/2026 Junior Lopes: Estou retornando um contato que vc fez conosco, relacionado ao nosso software_x000a_através de um áudio pedi para me falar um pouco mais sonbre sua empresa e dores _x000a_(25/02/2026) Agenda de apresentação AFV _x000a_(12/03/2026) Rogério achou investimento alto para o momento  atual"/>
    <s v=""/>
    <x v="477"/>
    <n v="51119265000144"/>
    <s v=""/>
    <s v="Teodoro cosméticos"/>
    <s v="(14) 3541-6311"/>
    <s v=""/>
    <s v="agilassessoriacontabil@otmail.com"/>
    <s v=""/>
    <s v=""/>
    <s v=""/>
    <s v="PROMISSAO"/>
    <s v="SP"/>
    <s v="Campanha"/>
    <s v=""/>
    <s v=""/>
    <s v="Dentro Perfil;Instagram"/>
    <s v="Pipeline de Vendas"/>
    <s v="Apresentar Proposta (50%)"/>
    <s v=""/>
    <d v="2026-02-25T00:00:00"/>
    <n v="5842744"/>
    <n v="145888"/>
    <n v="15"/>
    <s v="Paulo Souza"/>
    <d v="2026-02-25T00:00:00"/>
    <d v="1899-12-30T15:33:31"/>
    <s v=""/>
    <s v="Perdido"/>
    <d v="2026-03-12T00:00:00"/>
    <d v="1899-12-30T10:52:05"/>
    <s v="Não houve aprovação financeira"/>
    <s v="(12/03/2026) Rogério achou investimento alto para o momento  atual"/>
    <s v=""/>
    <x v="190"/>
    <s v="Junior Lopes"/>
    <x v="200"/>
    <s v=""/>
    <d v="2026-03-12T00:00:00"/>
    <n v="30"/>
    <s v=""/>
    <s v=""/>
    <s v=""/>
    <s v=""/>
    <n v="1"/>
  </r>
  <r>
    <x v="1"/>
    <n v="973"/>
    <m/>
    <n v="3309"/>
    <s v="(26/02/2026) Tentativa de ligação não atendida _x000a_09:13, 26/02/2026 Junior Lopes: Olá Junior, bom dia_x000a_09:13, 26/02/2026 Junior Lopes: aqui é Junior Lopes da Guarani sistemas, tudo bem ?_x000a_09:14, 26/02/2026 Junior Lopes: estou retornando um contato que você fez relacionado ao sistema Guarani_x000a_(26/02/2026) cliente não retorna aos contatos ! em breve pesquisa sobre a Revisão autopeças identifiquei que loja balcão ficando fora do perfil _x000a_estou declinando"/>
    <s v=""/>
    <x v="478"/>
    <n v="13994329000167"/>
    <s v=""/>
    <s v="Revisao Autopeças"/>
    <s v="(31) 8705-9607"/>
    <s v=""/>
    <s v="pratesctb@gmail.com"/>
    <s v=""/>
    <s v=""/>
    <s v=""/>
    <s v="CONTAGEM"/>
    <s v="MG"/>
    <s v="Inbound"/>
    <s v=""/>
    <s v=""/>
    <s v="Fora Perfil;Instagram"/>
    <s v="Pipeline de Vendas"/>
    <s v="Qualificação de Vendas (SQL) (25%)"/>
    <s v=""/>
    <d v="2026-02-28T00:00:00"/>
    <m/>
    <m/>
    <n v="1"/>
    <s v="Paulo Souza"/>
    <d v="2026-02-25T00:00:00"/>
    <d v="1899-12-30T21:31:37"/>
    <s v=""/>
    <s v="Perdido"/>
    <d v="2026-02-26T00:00:00"/>
    <d v="1899-12-30T23:08:09"/>
    <s v="Fora do porte mínimo (sem fit estrutural)"/>
    <s v=""/>
    <s v=""/>
    <x v="0"/>
    <s v="Junior Lopes"/>
    <x v="0"/>
    <s v=""/>
    <m/>
    <n v="30"/>
    <s v=""/>
    <s v=""/>
    <s v=""/>
    <s v=""/>
    <n v="1"/>
  </r>
  <r>
    <x v="2"/>
    <n v="974"/>
    <m/>
    <n v="3312"/>
    <s v=""/>
    <s v=""/>
    <x v="479"/>
    <m/>
    <s v=""/>
    <s v="Jlj transportes e locações"/>
    <s v="3196677652"/>
    <s v=""/>
    <s v="jairocesar@jllcomserv.com.br"/>
    <s v=""/>
    <s v=""/>
    <s v=""/>
    <s v=""/>
    <s v=""/>
    <s v="Campanha"/>
    <s v=""/>
    <s v=""/>
    <s v="Fora Perfil;Instagram"/>
    <s v="Pipeline de Vendas"/>
    <s v="Agendamento (0%)"/>
    <s v=""/>
    <d v="2026-05-31T00:00:00"/>
    <m/>
    <m/>
    <n v="72"/>
    <s v="Paulo Souza"/>
    <d v="2026-02-26T00:00:00"/>
    <d v="1899-12-30T09:29:58"/>
    <s v=""/>
    <s v="Perdido"/>
    <d v="2026-05-09T00:00:00"/>
    <d v="1899-12-30T08:49:59"/>
    <s v="Fora do segmento atendido"/>
    <s v=""/>
    <s v=""/>
    <x v="0"/>
    <s v="Rayssa Karapeticov"/>
    <x v="0"/>
    <s v=""/>
    <d v="2026-03-03T00:00:00"/>
    <n v="30"/>
    <s v=""/>
    <s v=""/>
    <s v=""/>
    <s v=""/>
    <n v="1"/>
  </r>
  <r>
    <x v="0"/>
    <n v="976"/>
    <m/>
    <n v="3314"/>
    <s v="26/02 Fiz Fiz FUP hoje com o Matheus e agendamos uma apresentação para quinta-feira dia 05/03 às 15h._x000a_05/03 Fiz FUP com o Matheus e hoje temos uma apresentação as 15h par afalar de sistema. Ele tem uma distribuidora de alimentação animal. _x000a_Tem 7 vendedores. já ancorei 50k de investimento_x000a_12/03 Fiz FUP hoje com o Matheus para saber se ele tem interesse em seguir _x000a_20/03 Fiz contato com o Matues muitas vezes sem retorno e por falta de comunicação estou encerrado a oportunidade."/>
    <s v=""/>
    <x v="480"/>
    <n v="22228036000160"/>
    <s v=""/>
    <s v="Matheus"/>
    <s v="(15) 3553-1307 / (15) 3553-1308"/>
    <s v=""/>
    <s v="matheusmarmodossantoslima@gmail.com"/>
    <s v=""/>
    <s v=""/>
    <s v=""/>
    <s v="RIBEIRAO BRANCO"/>
    <s v="SP"/>
    <s v="Site"/>
    <s v=""/>
    <s v=""/>
    <s v="Dentro Perfil;Solicita demo"/>
    <s v="Pipeline de Vendas"/>
    <s v="Apresentar Proposta (50%)"/>
    <s v=""/>
    <d v="2026-03-31T00:00:00"/>
    <m/>
    <m/>
    <n v="22"/>
    <s v="Paulo Souza"/>
    <d v="2026-02-26T00:00:00"/>
    <d v="1899-12-30T15:46:38"/>
    <s v=""/>
    <s v="Perdido"/>
    <d v="2026-03-20T00:00:00"/>
    <d v="1899-12-30T17:21:26"/>
    <s v="Projeto adiado / sem prazo definido"/>
    <s v=""/>
    <s v=""/>
    <x v="168"/>
    <s v="Paulo Souza"/>
    <x v="182"/>
    <s v=""/>
    <d v="2026-03-20T00:00:00"/>
    <n v="32"/>
    <s v=""/>
    <s v="ERP, AFV"/>
    <s v=""/>
    <s v=""/>
    <n v="1"/>
  </r>
  <r>
    <x v="0"/>
    <n v="977"/>
    <m/>
    <n v="3318"/>
    <s v="10/03 uilian me retornou avisou que vai manter a Mercos , devido a urgência que precisa referente a abertura da unidade São Paulo. Após essa necessidade ser atendida voltaremos a falar!"/>
    <s v=""/>
    <x v="481"/>
    <n v="82270893000150"/>
    <s v=""/>
    <s v="uilian"/>
    <s v="(44) 3045-3700"/>
    <s v=""/>
    <s v="uilian.gurjon@prats.com.br"/>
    <s v=""/>
    <s v=""/>
    <s v=""/>
    <s v="PARANAVAI"/>
    <s v="PR"/>
    <s v=""/>
    <s v=""/>
    <s v=""/>
    <s v=""/>
    <s v="Pipeline de Vendas"/>
    <s v="Em Fechamento (100%)"/>
    <s v=""/>
    <d v="2026-02-28T00:00:00"/>
    <n v="35870"/>
    <n v="5290"/>
    <n v="12"/>
    <s v="Paulo Souza"/>
    <d v="2026-02-26T00:00:00"/>
    <d v="1899-12-30T15:48:32"/>
    <s v=""/>
    <s v="Perdido"/>
    <d v="2026-03-10T00:00:00"/>
    <d v="1899-12-30T11:44:09"/>
    <s v="Não quer mudar a solução atual"/>
    <s v=""/>
    <s v=""/>
    <x v="168"/>
    <s v="Paulo Souza"/>
    <x v="199"/>
    <s v=""/>
    <m/>
    <n v="30"/>
    <s v="100"/>
    <s v="AFV"/>
    <s v=""/>
    <s v=""/>
    <n v="1"/>
  </r>
  <r>
    <x v="1"/>
    <n v="978"/>
    <m/>
    <n v="3323"/>
    <s v="(12/03/2026) Rogério achou investimento alto para o momento  atual"/>
    <s v=""/>
    <x v="482"/>
    <m/>
    <s v=""/>
    <s v="Teodoro cosméticos - AFV"/>
    <s v="1435416311"/>
    <s v=""/>
    <s v="agilassessoriacontabil@otmail.com"/>
    <s v=""/>
    <s v=""/>
    <s v=""/>
    <s v=""/>
    <s v=""/>
    <s v=""/>
    <s v=""/>
    <s v=""/>
    <s v=""/>
    <s v="Pipeline de Vendas"/>
    <s v="Apresentar Proposta (50%)"/>
    <s v=""/>
    <m/>
    <n v="1105989"/>
    <n v="29463"/>
    <n v="14"/>
    <s v="Junior Lopes"/>
    <d v="2026-02-26T00:00:00"/>
    <d v="1899-12-30T17:20:40"/>
    <s v=""/>
    <s v="Perdido"/>
    <d v="2026-03-12T00:00:00"/>
    <d v="1899-12-30T10:53:12"/>
    <s v="Não houve aprovação financeira"/>
    <s v="(12/03/2026) Rogério achou investimento alto para o momento  atual"/>
    <s v=""/>
    <x v="190"/>
    <s v=""/>
    <x v="200"/>
    <s v=""/>
    <d v="2026-03-13T00:00:00"/>
    <n v="30"/>
    <s v=""/>
    <s v=""/>
    <s v=""/>
    <s v=""/>
    <n v="1"/>
  </r>
  <r>
    <x v="1"/>
    <n v="979"/>
    <m/>
    <n v="3324"/>
    <s v="(12/03/2026) Rogério achou investimento alto para o momento  atual"/>
    <s v=""/>
    <x v="483"/>
    <m/>
    <s v=""/>
    <s v="Teodoro cosméticos - Cloud"/>
    <s v="1435416311"/>
    <s v=""/>
    <s v="agilassessoriacontabil@otmail.com"/>
    <s v=""/>
    <s v=""/>
    <s v=""/>
    <s v=""/>
    <s v=""/>
    <s v=""/>
    <s v=""/>
    <s v=""/>
    <s v=""/>
    <s v="Pipeline de Vendas"/>
    <s v="Apresentar Proposta (50%)"/>
    <s v=""/>
    <m/>
    <n v="1600"/>
    <n v="252471"/>
    <n v="14"/>
    <s v="Junior Lopes"/>
    <d v="2026-02-26T00:00:00"/>
    <d v="1899-12-30T17:35:15"/>
    <s v=""/>
    <s v="Perdido"/>
    <d v="2026-03-12T00:00:00"/>
    <d v="1899-12-30T10:50:51"/>
    <s v="Não houve aprovação financeira"/>
    <s v="(12/03/2026) Rogério achou investimento alto para o momento  atual"/>
    <s v="12/03/2026"/>
    <x v="190"/>
    <s v=""/>
    <x v="0"/>
    <s v=""/>
    <m/>
    <n v="30"/>
    <s v=""/>
    <s v=""/>
    <s v=""/>
    <s v=""/>
    <n v="1"/>
  </r>
  <r>
    <x v="0"/>
    <n v="980"/>
    <m/>
    <n v="3325"/>
    <s v=""/>
    <s v=""/>
    <x v="484"/>
    <n v="23059521000110"/>
    <s v=""/>
    <s v="Cristiana"/>
    <s v="(49) 3665-3004"/>
    <s v=""/>
    <s v=""/>
    <s v=""/>
    <s v=""/>
    <s v=""/>
    <s v="IRACEMINHA"/>
    <s v="SC"/>
    <s v=""/>
    <s v=""/>
    <s v=""/>
    <s v=""/>
    <s v="Pipeline de Vendas"/>
    <s v="Em Fechamento (100%)"/>
    <s v=""/>
    <d v="2026-02-28T00:00:00"/>
    <n v="7470289"/>
    <n v="1221612"/>
    <n v="0"/>
    <s v="Paulo Souza"/>
    <d v="2026-02-26T00:00:00"/>
    <d v="1899-12-30T21:58:14"/>
    <s v=""/>
    <s v="Ganho"/>
    <d v="2026-02-26T00:00:00"/>
    <d v="1899-12-30T22:03:35"/>
    <s v=""/>
    <s v=""/>
    <s v=""/>
    <x v="190"/>
    <s v="Paulo Souza"/>
    <x v="208"/>
    <s v=""/>
    <m/>
    <n v="90"/>
    <s v=""/>
    <s v="ERP, AFV, ADICIONAIS, BI"/>
    <s v="R$ 74.702,90"/>
    <s v="R$ 12.216,08"/>
    <n v="1"/>
  </r>
  <r>
    <x v="1"/>
    <n v="981"/>
    <m/>
    <n v="3328"/>
    <s v=""/>
    <s v=""/>
    <x v="485"/>
    <m/>
    <s v=""/>
    <s v="Encartelados Nina - Cloud"/>
    <s v="4733683065"/>
    <s v=""/>
    <s v="ninaencartelados@gmail.com"/>
    <s v=""/>
    <s v=""/>
    <s v=""/>
    <s v=""/>
    <s v=""/>
    <s v=""/>
    <s v=""/>
    <s v=""/>
    <s v=""/>
    <s v="Pipeline de Vendas"/>
    <s v="Apresentar Proposta (50%)"/>
    <s v=""/>
    <m/>
    <n v="0"/>
    <n v="1900"/>
    <n v="76"/>
    <s v="Junior Lopes"/>
    <d v="2026-02-27T00:00:00"/>
    <d v="1899-12-30T10:58:33"/>
    <s v=""/>
    <s v="Perdido"/>
    <d v="2026-05-14T00:00:00"/>
    <d v="1899-12-30T14:49:37"/>
    <s v="Não houve aprovação financeira"/>
    <s v="14/05/2026 : _x000a_09:02, 13/05/2026 Fabio Oliveira Nina Enc: Consegui sim, teu sistema é maravilhoso, muito bom mesmo _x000a_porem eu passei pro pessoal aqui, e no momento, nosso faturamaento nao condiz com o investimento a ser feito_x000a_09:03, 13/05/2026 Fabio Oliveira Nina Enc: espero que logo possamos mudar isso_x000a_09:05, 13/05/2026 Junior Lopes: Entendo Fábio ! _x000a_ O que está pegando mais na proposta ? O projeto ou as mensalidades?_x000a_09:08, 13/05/2026 Fabio Oliveira Nina Enc: na verdade é um pouco dos dois, hj nosso sistema nos custa 6 mil por ano, claro que ele nao tem a mesma eficiencia do seu, mas para a quantidade de vendas nossa, no atual momento ele nos atende bem_x000a_09:21, 13/05/2026 Junior Lopes: Entendo ! Gostaria de pensar aí e nos fazer uma contra proposta ?_x000a_09:22, 13/05/2026 Fabio Oliveira Nina Enc: no momento vamos deixar em off_x000a_09:22, 13/05/2026 Fabio Oliveira Nina Enc: obrigado pela atençao_x000a_09:28, 13/05/2026 Junior Lopes: Ta joia meu amigo_x000a_09:29, 13/05/2026 Junior Lopes: Ficamos a disposição! Tenho certeza que podemos ajudar muito no crescimento da Nina encartelados _x000a_Um abraço_x000a_09:29, 13/05/2026 Fabio Oliveira Nina Enc: abraço"/>
    <s v=""/>
    <x v="182"/>
    <s v=""/>
    <x v="198"/>
    <s v="05/05/2026"/>
    <d v="2026-05-14T00:00:00"/>
    <n v="30"/>
    <s v=""/>
    <s v=""/>
    <s v=""/>
    <s v=""/>
    <n v="1"/>
  </r>
  <r>
    <x v="1"/>
    <n v="982"/>
    <m/>
    <n v="3329"/>
    <s v=""/>
    <s v=""/>
    <x v="486"/>
    <m/>
    <s v=""/>
    <s v="Atavadão das Tripas - Cloud"/>
    <s v="14998549863"/>
    <s v=""/>
    <s v="kayocalil@hotmail.com"/>
    <s v=""/>
    <s v=""/>
    <s v=""/>
    <s v=""/>
    <s v=""/>
    <s v=""/>
    <s v=""/>
    <s v=""/>
    <s v=""/>
    <s v="Pipeline de Vendas"/>
    <s v="Em negociação (75%)"/>
    <s v=""/>
    <m/>
    <n v="1600"/>
    <n v="252471"/>
    <n v="56"/>
    <s v="Junior Lopes"/>
    <d v="2026-02-27T00:00:00"/>
    <d v="1899-12-30T12:19:18"/>
    <s v=""/>
    <s v="Perdido"/>
    <d v="2026-04-24T00:00:00"/>
    <d v="1899-12-30T09:13:40"/>
    <s v="Não houve aprovação financeira"/>
    <s v="conversei com o pessoal aqui por enquanto a gente vai segurar tá por ser um investimento bacana a gente não desistiu do projeto tá mas a gente vai segurar pelo menos uns três __ aí depois de três meses a gente volta a se falar pode ser se quiser marcar _ _ __ _ passando por um processo de reestruturação __ __ _ barracão quanto _ almoxarifado aqui a gente precisa desse tempo se a gente for pegar um sistema novo vai ser mais uma coisa que cara vai vai ser complicado então a __ resolveu esperar um __ __ questão _ _____ e tal _ __ uns três meses a gente __ _ se __ __ ___ obrigado pela atenção aí"/>
    <s v=""/>
    <x v="191"/>
    <s v=""/>
    <x v="196"/>
    <s v="19/02/2026"/>
    <m/>
    <n v="30"/>
    <s v=""/>
    <s v=""/>
    <s v=""/>
    <s v=""/>
    <n v="1"/>
  </r>
  <r>
    <x v="1"/>
    <n v="983"/>
    <m/>
    <n v="3330"/>
    <s v=""/>
    <s v=""/>
    <x v="487"/>
    <m/>
    <s v=""/>
    <s v="Clean tech - Cloud"/>
    <s v="11915642482"/>
    <s v=""/>
    <s v="null"/>
    <s v=""/>
    <s v=""/>
    <s v=""/>
    <s v=""/>
    <s v=""/>
    <s v=""/>
    <s v=""/>
    <s v=""/>
    <s v=""/>
    <s v="Pipeline de Vendas"/>
    <s v="Em Fechamento (100%)"/>
    <s v=""/>
    <m/>
    <n v="0"/>
    <n v="384454"/>
    <n v="33"/>
    <s v="Junior Lopes"/>
    <d v="2026-02-27T00:00:00"/>
    <d v="1899-12-30T13:04:33"/>
    <s v=""/>
    <s v="Ganho"/>
    <d v="2026-04-01T00:00:00"/>
    <d v="1899-12-30T10:40:31"/>
    <s v=""/>
    <s v=""/>
    <s v=""/>
    <x v="183"/>
    <s v=""/>
    <x v="0"/>
    <s v=""/>
    <m/>
    <n v="30"/>
    <s v=""/>
    <s v=""/>
    <s v=""/>
    <s v=""/>
    <n v="1"/>
  </r>
  <r>
    <x v="1"/>
    <n v="984"/>
    <m/>
    <n v="3331"/>
    <s v=""/>
    <s v=""/>
    <x v="488"/>
    <m/>
    <s v=""/>
    <s v="StarTools - Cloud"/>
    <s v="1184724282"/>
    <s v=""/>
    <s v="controladoria@startoolsferramentas.com.br"/>
    <s v=""/>
    <s v=""/>
    <s v=""/>
    <s v=""/>
    <s v=""/>
    <s v=""/>
    <s v=""/>
    <s v=""/>
    <s v=""/>
    <s v="Pipeline de Vendas"/>
    <s v="Apresentar Solução (35%)"/>
    <s v=""/>
    <m/>
    <n v="0"/>
    <n v="0"/>
    <n v="82"/>
    <s v="Junior Lopes"/>
    <d v="2026-02-27T00:00:00"/>
    <d v="1899-12-30T13:09:06"/>
    <s v=""/>
    <s v="Ativo"/>
    <m/>
    <m/>
    <s v=""/>
    <s v=""/>
    <s v=""/>
    <x v="0"/>
    <s v=""/>
    <x v="209"/>
    <s v=""/>
    <d v="2026-04-29T00:00:00"/>
    <n v="30"/>
    <s v=""/>
    <s v=""/>
    <s v=""/>
    <s v=""/>
    <n v="1"/>
  </r>
  <r>
    <x v="0"/>
    <n v="985"/>
    <m/>
    <n v="3332"/>
    <s v="27/02 Fiz apresentação do sistema e proposta para o cliente._x000a_12/03 Fiz FUP hoje com Pamela para saber se seguiremos ou não._x000a_20/03 Cobrando a Pamela para fazer o fechamento do projeto."/>
    <s v=""/>
    <x v="489"/>
    <m/>
    <s v=""/>
    <s v="Pamela"/>
    <s v="4699841338"/>
    <s v=""/>
    <s v="importacao.azul@hotmail.com"/>
    <s v=""/>
    <s v=""/>
    <s v=""/>
    <s v=""/>
    <s v=""/>
    <s v=""/>
    <s v=""/>
    <s v=""/>
    <s v=""/>
    <s v="Pipeline de Vendas"/>
    <s v="Em Fechamento (100%)"/>
    <s v=""/>
    <d v="2026-03-31T00:00:00"/>
    <n v="5007058"/>
    <n v="268966"/>
    <n v="42"/>
    <s v="Paulo Souza"/>
    <d v="2026-02-27T00:00:00"/>
    <d v="1899-12-30T14:36:39"/>
    <s v=""/>
    <s v="Perdido"/>
    <d v="2026-04-10T00:00:00"/>
    <d v="1899-12-30T16:01:47"/>
    <s v="Não quer mudar a solução atual"/>
    <s v=""/>
    <s v=""/>
    <x v="168"/>
    <s v="Paulo Souza"/>
    <x v="182"/>
    <s v=""/>
    <d v="2026-03-12T00:00:00"/>
    <n v="30"/>
    <s v="280"/>
    <s v="ERP, AFV"/>
    <s v=""/>
    <s v=""/>
    <n v="1"/>
  </r>
  <r>
    <x v="0"/>
    <n v="987"/>
    <m/>
    <n v="3334"/>
    <s v="26/02 Fiz FUP e agendei uma apresentação._x000a_20/03 Buscando nova agenda com o Alexandre para o dia 27/03."/>
    <s v=""/>
    <x v="490"/>
    <n v="7730144000142"/>
    <s v=""/>
    <s v="Breno"/>
    <s v="11994558029"/>
    <s v=""/>
    <s v="suporte.ti@kopermax.com.br"/>
    <s v=""/>
    <s v=""/>
    <s v=""/>
    <s v=""/>
    <s v=""/>
    <s v=""/>
    <s v=""/>
    <s v=""/>
    <s v=""/>
    <s v="Pipeline de Vendas"/>
    <s v="Em negociação (75%)"/>
    <s v=""/>
    <d v="2026-03-31T00:00:00"/>
    <n v="29800"/>
    <n v="4600"/>
    <n v="80"/>
    <s v="Paulo Souza"/>
    <d v="2026-02-27T00:00:00"/>
    <d v="1899-12-30T21:24:36"/>
    <s v=""/>
    <s v="Perdido"/>
    <d v="2026-05-18T00:00:00"/>
    <d v="1899-12-30T16:54:32"/>
    <s v="Projeto adiado / sem prazo definido"/>
    <s v=""/>
    <s v=""/>
    <x v="101"/>
    <s v="Paulo Souza"/>
    <x v="210"/>
    <s v=""/>
    <d v="2026-03-20T00:00:00"/>
    <n v="30"/>
    <s v=""/>
    <s v="AFV"/>
    <s v=""/>
    <s v=""/>
    <n v="1"/>
  </r>
  <r>
    <x v="2"/>
    <n v="990"/>
    <m/>
    <n v="3335"/>
    <s v="19.03 Entrei em contato com a Karen, apresentação agendada para quarta as 9:30 _x000a_31.03 não tenho consultor disponivel para seguir com uma agenda com o cliente_x000a_07.04 - não tenho consultor disponivel para seguir com uma agenda com o cliente"/>
    <s v=""/>
    <x v="491"/>
    <n v="15497764000616"/>
    <s v=""/>
    <s v="KAREN STANGE"/>
    <s v="(42) 3025-6309"/>
    <s v=""/>
    <s v="karen.stang@hotmail.com"/>
    <s v=""/>
    <s v=""/>
    <s v=""/>
    <s v="MAFRA"/>
    <s v="SC"/>
    <s v="Site"/>
    <s v=""/>
    <s v=""/>
    <s v="Dentro Perfil;Solicita demo"/>
    <s v="Pipeline de Vendas"/>
    <s v="Apresentar Solução (35%)"/>
    <s v=""/>
    <d v="2026-06-30T00:00:00"/>
    <m/>
    <m/>
    <n v="35"/>
    <s v="Paulo Souza"/>
    <d v="2026-03-03T00:00:00"/>
    <d v="1899-12-30T21:22:22"/>
    <s v=""/>
    <s v="Perdido"/>
    <d v="2026-04-07T00:00:00"/>
    <d v="1899-12-30T10:59:30"/>
    <s v="Projeto adiado / sem prazo definido"/>
    <s v=""/>
    <s v=""/>
    <x v="0"/>
    <s v="Rayssa Karapeticov"/>
    <x v="0"/>
    <s v=""/>
    <d v="2026-04-07T00:00:00"/>
    <n v="30"/>
    <s v=""/>
    <s v="ERP"/>
    <s v=""/>
    <s v=""/>
    <n v="1"/>
  </r>
  <r>
    <x v="1"/>
    <n v="991"/>
    <m/>
    <n v="3339"/>
    <s v="17:05, 04/03/2026 Junior Lopes: Olá Marcelo ! Boa tarde_x000a_17:05, 04/03/2026 Junior Lopes: Junior da Guarani sistemas por aqui , Td bem ?_x000a_17:07, 04/03/2026 Junior Lopes: Estou retornando um contato que vc fez conosco ! Qual melhor horário para falarmos ?_x000a_17:14, 04/03/2026 Marcelo Plug Lar: opa blz._x000a_17:14, 04/03/2026 Marcelo Plug Lar: joia junior_x000a_17:15, 04/03/2026 Junior Lopes: Td joia Marcelo_x000a_17:18, 04/03/2026 Marcelo Plug Lar: eu queria conhecer + sobre o sistema de vocês._x000a_17:18, 04/03/2026 Marcelo Plug Lar: eu procuro algo básico_x000a_(09/03/2026) Buscando contato com Marcelo a fim de darmos sequencia _x000a_(09/03/2026) Marcelo busca um software mais simples e com custo menor!"/>
    <s v=""/>
    <x v="492"/>
    <n v="5137778000160"/>
    <s v=""/>
    <s v="Marcelo Camargo"/>
    <s v="(19) 99623-4303"/>
    <s v=""/>
    <s v="marcelo@pluglar.com.br"/>
    <s v=""/>
    <s v=""/>
    <s v=""/>
    <s v="Rio Claro"/>
    <s v=""/>
    <s v="Site"/>
    <s v=""/>
    <s v=""/>
    <s v="Dentro Perfil;Solicita demo"/>
    <s v="Pipeline de Vendas"/>
    <s v="Apresentar Solução (35%)"/>
    <s v=""/>
    <d v="2026-03-31T00:00:00"/>
    <n v="1104172"/>
    <n v="656776"/>
    <n v="20"/>
    <s v="Paulo Souza"/>
    <d v="2026-03-04T00:00:00"/>
    <d v="1899-12-30T16:37:48"/>
    <s v=""/>
    <s v="Perdido"/>
    <d v="2026-03-24T00:00:00"/>
    <d v="1899-12-30T15:30:09"/>
    <s v="Não houve aprovação financeira"/>
    <s v="(09/03/2026) Marcelo busca um software mais simples e com custo menor!"/>
    <s v=""/>
    <x v="192"/>
    <s v="Junior Lopes"/>
    <x v="188"/>
    <s v=""/>
    <d v="2026-03-09T00:00:00"/>
    <n v="30"/>
    <s v=""/>
    <s v="B2B"/>
    <s v=""/>
    <s v=""/>
    <n v="1"/>
  </r>
  <r>
    <x v="0"/>
    <n v="993"/>
    <m/>
    <n v="3342"/>
    <s v="11/03 Foi feito a apresentação hoje do institucional e Guarani AFV._x000a_Resumo:_x000a_Produtos : ERP + AFV + Televendas + MDe _x000a_Opcionais: Comex, Cloud, CRM , B2B, HUB_x000a_Próximo passos: enviar uma proposta._x000a_20/03 Fiz contato com o Ericson para saber se vamos seguir ou não."/>
    <s v=""/>
    <x v="493"/>
    <n v="43191819000196"/>
    <s v=""/>
    <s v="Ericson"/>
    <s v="(43) 3056-3780"/>
    <s v=""/>
    <s v="escritorio@damiaoefilhos.com.br"/>
    <s v=""/>
    <s v=""/>
    <s v=""/>
    <s v="ARAPONGAS"/>
    <s v="PR"/>
    <s v=""/>
    <s v=""/>
    <s v=""/>
    <s v=""/>
    <s v="Pipeline de Vendas"/>
    <s v="Em negociação (75%)"/>
    <s v=""/>
    <d v="2026-03-31T00:00:00"/>
    <n v="895843"/>
    <n v="395308"/>
    <n v="36"/>
    <s v="Paulo Souza"/>
    <d v="2026-03-05T00:00:00"/>
    <d v="1899-12-30T08:51:53"/>
    <s v=""/>
    <s v="Perdido"/>
    <d v="2026-04-10T00:00:00"/>
    <d v="1899-12-30T17:25:45"/>
    <s v="Preço muito alto - fora do budget de investimento"/>
    <s v=""/>
    <s v=""/>
    <x v="187"/>
    <s v="Paulo Souza"/>
    <x v="211"/>
    <s v=""/>
    <d v="2026-03-20T00:00:00"/>
    <n v="30"/>
    <s v=""/>
    <s v="ERP, AFV, ADICIONAIS"/>
    <s v=""/>
    <s v=""/>
    <n v="1"/>
  </r>
  <r>
    <x v="2"/>
    <n v="994"/>
    <m/>
    <n v="3347"/>
    <s v="24.03 cliente enviou um documento de aderencia, porém a MArilia pediu uma reunião para falar sobre o documento e funcionalidades_x000a_15.04 Ficou fora da empresa esses 15 dias, acredita que hoje consegue avaliar todo material que mandei, retornar o contato na segunda"/>
    <s v="Industria E Comercio Jolitex Ltda"/>
    <x v="494"/>
    <n v="61808531000523"/>
    <s v=""/>
    <s v="Industria E Comercio Jolitex Ltda"/>
    <s v="(11) 3254-7100"/>
    <s v=""/>
    <s v="atendimento@jolitex.com"/>
    <s v=""/>
    <s v=""/>
    <s v=""/>
    <s v="SAO PAULO"/>
    <s v="SP"/>
    <s v="Base de empresas Leads2b"/>
    <s v=""/>
    <s v=""/>
    <s v=""/>
    <s v="Pipeline de Vendas"/>
    <s v="Apresentar Proposta (50%)"/>
    <s v=""/>
    <d v="2026-04-30T00:00:00"/>
    <m/>
    <m/>
    <n v="76"/>
    <s v="Rayssa Karapeticov"/>
    <d v="2026-03-05T00:00:00"/>
    <d v="1899-12-30T17:24:09"/>
    <s v=""/>
    <s v="Ativo"/>
    <m/>
    <m/>
    <s v=""/>
    <s v=""/>
    <s v=""/>
    <x v="0"/>
    <s v="Rayssa Karapeticov"/>
    <x v="195"/>
    <s v="12/03/2026"/>
    <d v="2026-04-23T00:00:00"/>
    <n v="30"/>
    <s v=""/>
    <s v="AFV"/>
    <s v=""/>
    <s v=""/>
    <n v="1"/>
  </r>
  <r>
    <x v="1"/>
    <n v="995"/>
    <m/>
    <n v="3348"/>
    <s v="16:28, 06/03/2026 Valdinei vaeso: Entendi mas esta fora do que pretendo investir_x000a_16:28, 06/03/2026 Valdinei vaeso: Te agradeço_x000a_16:46, 06/03/2026 Junior Lopes: Qual é a sua ideia de investimento?_x000a_16:47, 06/03/2026 Valdinei vaeso: Não vou nem fazer proposta porque a proposta veio com valores altos de implementação e mentoria_x000a_16:47, 06/03/2026 Valdinei vaeso: Sistema parece intuitivo_x000a_16:47, 06/03/2026 Valdinei vaeso: E vi ontem e gostei_x000a_16:47, 06/03/2026 Valdinei vaeso: Preciso de força de vendas_x000a_16:56, 06/03/2026 Valdinei vaeso: Ok"/>
    <s v="Vaeso Comercial Ltda"/>
    <x v="495"/>
    <n v="58092341000114"/>
    <s v=""/>
    <s v="Vaeso Comercial Ltda"/>
    <s v="(47) 9946-6330"/>
    <s v=""/>
    <s v="administrativo@qscontabilidade.com.br"/>
    <s v=""/>
    <s v=""/>
    <s v=""/>
    <s v="JOINVILLE"/>
    <s v="SC"/>
    <s v="Base de empresas Leads2b"/>
    <s v=""/>
    <s v=""/>
    <s v=""/>
    <s v="Pipeline de Vendas"/>
    <s v="Apresentar Proposta (50%)"/>
    <s v=""/>
    <m/>
    <n v="686343"/>
    <n v="36781"/>
    <n v="3"/>
    <s v="Junior Lopes"/>
    <d v="2026-03-06T00:00:00"/>
    <d v="1899-12-30T12:33:31"/>
    <s v=""/>
    <s v="Perdido"/>
    <d v="2026-03-09T00:00:00"/>
    <d v="1899-12-30T09:35:35"/>
    <s v="Não houve aprovação financeira"/>
    <s v="16:28, 06/03/2026 Valdinei vaeso: Entendi mas esta fora do que pretendo investir_x000a_16:28, 06/03/2026 Valdinei vaeso: Te agradeço_x000a_16:46, 06/03/2026 Junior Lopes: Qual é a sua ideia de investimento?_x000a_16:47, 06/03/2026 Valdinei vaeso: Não vou nem fazer proposta porque a proposta veio com valores altos de implementação e mentoria_x000a_16:47, 06/03/2026 Valdinei vaeso: Sistema parece intuitivo_x000a_16:47, 06/03/2026 Valdinei vaeso: E vi ontem e gostei_x000a_16:47, 06/03/2026 Valdinei vaeso: Preciso de força de vendas_x000a_16:56, 06/03/2026 Valdinei vaeso: Ok"/>
    <s v=""/>
    <x v="193"/>
    <s v=""/>
    <x v="212"/>
    <s v=""/>
    <d v="2026-03-06T00:00:00"/>
    <n v="50"/>
    <s v=""/>
    <s v=""/>
    <s v=""/>
    <s v=""/>
    <n v="1"/>
  </r>
  <r>
    <x v="1"/>
    <n v="996"/>
    <m/>
    <n v="3351"/>
    <s v="(10/03/2026) Agenda para apresentação do ERP 12/03 _x000a_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Crx Comercio, Importacao E Exportacao Ltda"/>
    <x v="496"/>
    <n v="27672869000139"/>
    <s v=""/>
    <s v="GlobalMIx"/>
    <s v="(11) 9999-9999"/>
    <s v=""/>
    <s v="contabilgrupocrx@gmail.com"/>
    <s v=""/>
    <s v=""/>
    <s v=""/>
    <s v="ITAJAI"/>
    <s v="SC"/>
    <s v=""/>
    <s v=""/>
    <s v=""/>
    <s v=""/>
    <s v="Pipeline de Vendas"/>
    <s v="Apresentar Solução (35%)"/>
    <s v=""/>
    <m/>
    <n v="7305558"/>
    <n v="143186"/>
    <n v="40"/>
    <s v="Junior Lopes"/>
    <d v="2026-03-06T00:00:00"/>
    <d v="1899-12-30T17:07:19"/>
    <s v=""/>
    <s v="Perdido"/>
    <d v="2026-04-15T00:00:00"/>
    <d v="1899-12-30T09:35:15"/>
    <s v="Não houve aprovação financeira"/>
    <s v="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
    <x v="194"/>
    <s v=""/>
    <x v="195"/>
    <s v=""/>
    <d v="2026-04-15T00:00:00"/>
    <n v="30"/>
    <s v=""/>
    <s v=""/>
    <s v=""/>
    <s v=""/>
    <n v="1"/>
  </r>
  <r>
    <x v="2"/>
    <n v="997"/>
    <m/>
    <n v="3341"/>
    <s v=""/>
    <s v=""/>
    <x v="497"/>
    <m/>
    <s v=""/>
    <s v="Irmãos Capuci"/>
    <s v="67999772326"/>
    <s v=""/>
    <s v="joaoliloc@gmail.com"/>
    <s v=""/>
    <s v=""/>
    <s v=""/>
    <s v=""/>
    <s v=""/>
    <s v="Campanha"/>
    <s v=""/>
    <s v=""/>
    <s v="Fora Perfil;Instagram"/>
    <s v="Pipeline de Vendas"/>
    <s v="Agendamento (0%)"/>
    <s v=""/>
    <d v="2026-03-31T00:00:00"/>
    <m/>
    <m/>
    <n v="1"/>
    <s v="Paulo Souza"/>
    <d v="2026-03-09T00:00:00"/>
    <d v="1899-12-30T14:16:23"/>
    <s v=""/>
    <s v="Perdido"/>
    <d v="2026-03-10T00:00:00"/>
    <d v="1899-12-30T10:03:18"/>
    <s v="Fora do porte mínimo (sem fit estrutural)"/>
    <s v=""/>
    <s v=""/>
    <x v="0"/>
    <s v="Rayssa Karapeticov"/>
    <x v="0"/>
    <s v=""/>
    <m/>
    <n v="30"/>
    <s v=""/>
    <s v=""/>
    <s v=""/>
    <s v=""/>
    <n v="1"/>
  </r>
  <r>
    <x v="1"/>
    <n v="999"/>
    <m/>
    <n v="3360"/>
    <s v="(10/03/2026) em contato com Fernando _x000a_11:24, 11/03/2026 Junior Lopes: Olá Fernando! Td bem ? _x000a_Você tem interesse sem seguir com informações sobre a solução Guarani sistemas?"/>
    <s v=""/>
    <x v="498"/>
    <m/>
    <s v=""/>
    <s v="Fcabrasil"/>
    <s v="19974124080"/>
    <s v=""/>
    <s v="fernando@fcabrasil.com.br"/>
    <s v=""/>
    <s v=""/>
    <s v=""/>
    <s v=""/>
    <s v=""/>
    <s v="Campanha"/>
    <s v=""/>
    <s v=""/>
    <s v="Fora Perfil;Instagram"/>
    <s v="Pipeline de Vendas"/>
    <s v="Qualificação de Vendas (SQL) (25%)"/>
    <s v=""/>
    <d v="2026-03-31T00:00:00"/>
    <m/>
    <m/>
    <n v="29"/>
    <s v="Paulo Souza"/>
    <d v="2026-03-10T00:00:00"/>
    <d v="1899-12-30T09:07:12"/>
    <s v=""/>
    <s v="Perdido"/>
    <d v="2026-04-08T00:00:00"/>
    <d v="1899-12-30T17:25:42"/>
    <s v="Fora do porte mínimo (sem fit estrutural)"/>
    <s v=") declinando por falta de interação por parte do cliente"/>
    <s v=""/>
    <x v="0"/>
    <s v="Junior Lopes"/>
    <x v="0"/>
    <s v=""/>
    <d v="2026-03-19T00:00:00"/>
    <n v="30"/>
    <s v=""/>
    <s v=""/>
    <s v=""/>
    <s v=""/>
    <n v="1"/>
  </r>
  <r>
    <x v="0"/>
    <n v="1000"/>
    <m/>
    <n v="3358"/>
    <s v="10/03 Fiz contato e não obtive retorno deixei recado._x000a_11/03 Fiz FUP hoje com o Ridalvo Donizeti sem sucesso._x000a_12/3 Fiz varias ligações sem sucesso. Por falta de retorno encerrei o lead,."/>
    <s v=""/>
    <x v="499"/>
    <m/>
    <s v=""/>
    <s v="Ridalvo Donizeti"/>
    <s v="16991945630"/>
    <s v=""/>
    <s v="ridalvo.rossi@brdbtasil.com.br"/>
    <s v=""/>
    <s v=""/>
    <s v=""/>
    <s v=""/>
    <s v=""/>
    <s v="Campanha"/>
    <s v=""/>
    <s v=""/>
    <s v="Dentro Perfil;Instagram"/>
    <s v="Pipeline de Vendas"/>
    <s v="Qualificação de Vendas (SQL) (25%)"/>
    <s v=""/>
    <d v="2026-03-31T00:00:00"/>
    <m/>
    <m/>
    <n v="2"/>
    <s v="Paulo Souza"/>
    <d v="2026-03-10T00:00:00"/>
    <d v="1899-12-30T09:19:04"/>
    <s v=""/>
    <s v="Perdido"/>
    <d v="2026-03-12T00:00:00"/>
    <d v="1899-12-30T17:27:22"/>
    <s v="Fora do porte mínimo (sem fit estrutural)"/>
    <s v=""/>
    <s v=""/>
    <x v="0"/>
    <s v="Paulo Souza"/>
    <x v="0"/>
    <s v=""/>
    <d v="2026-03-12T00:00:00"/>
    <n v="30"/>
    <s v=""/>
    <s v=""/>
    <s v=""/>
    <s v=""/>
    <n v="1"/>
  </r>
  <r>
    <x v="2"/>
    <n v="1001"/>
    <m/>
    <n v="3357"/>
    <s v="18.03 proposta apresentada no dia de hoje _x000a_24.03 - não atendeu"/>
    <s v=""/>
    <x v="500"/>
    <m/>
    <s v=""/>
    <s v="Artur Decker"/>
    <s v="(47) 99699-9700"/>
    <s v=""/>
    <s v="artur@assessoriadecker.com"/>
    <s v=""/>
    <s v=""/>
    <s v=""/>
    <s v="Blumenau"/>
    <s v=""/>
    <s v="Site"/>
    <s v=""/>
    <s v=""/>
    <s v="Dentro Perfil;Solicita demo"/>
    <s v="Pipeline de Vendas"/>
    <s v="Em negociação (75%)"/>
    <s v=""/>
    <d v="2026-05-31T00:00:00"/>
    <n v="16800"/>
    <n v="12600"/>
    <n v="71"/>
    <s v="Paulo Souza"/>
    <d v="2026-03-10T00:00:00"/>
    <d v="1899-12-30T09:20:36"/>
    <s v=""/>
    <s v="Ativo"/>
    <m/>
    <m/>
    <s v=""/>
    <s v=""/>
    <s v=""/>
    <x v="195"/>
    <s v="Rayssa Karapeticov"/>
    <x v="213"/>
    <s v=""/>
    <d v="2026-05-13T00:00:00"/>
    <n v="30"/>
    <s v=""/>
    <s v=""/>
    <s v=""/>
    <s v=""/>
    <n v="1"/>
  </r>
  <r>
    <x v="1"/>
    <n v="1002"/>
    <m/>
    <n v="3356"/>
    <s v="(10/03/2026) Em contato com Maxwel _x000a_(27/03/2026) após analise cliente fica fora do perfil ! estamparia de camisetas, canecas e brindes em geral"/>
    <s v=""/>
    <x v="501"/>
    <m/>
    <s v=""/>
    <s v="Terra Brasil"/>
    <s v="11989296453"/>
    <s v=""/>
    <s v="max.vendas@terrabrasilbrindes.com.br"/>
    <s v=""/>
    <s v=""/>
    <s v=""/>
    <s v=""/>
    <s v=""/>
    <s v="Campanha"/>
    <s v=""/>
    <s v=""/>
    <s v="Fora Perfil;Instagram"/>
    <s v="Pipeline de Vendas"/>
    <s v="Qualificação de Vendas (SQL) (25%)"/>
    <s v=""/>
    <d v="2026-03-31T00:00:00"/>
    <m/>
    <m/>
    <n v="17"/>
    <s v="Paulo Souza"/>
    <d v="2026-03-10T00:00:00"/>
    <d v="1899-12-30T09:44:38"/>
    <s v=""/>
    <s v="Perdido"/>
    <d v="2026-03-27T00:00:00"/>
    <d v="1899-12-30T14:24:00"/>
    <s v="Fora do porte mínimo (sem fit estrutural)"/>
    <s v="(27/03/2026) após analise cliente fica fora do perfil ! estamparia de camisetas, canecas e brindes em geral"/>
    <s v=""/>
    <x v="0"/>
    <s v="Junior Lopes"/>
    <x v="0"/>
    <s v=""/>
    <d v="2026-03-27T00:00:00"/>
    <n v="30"/>
    <s v=""/>
    <s v=""/>
    <s v=""/>
    <s v=""/>
    <n v="1"/>
  </r>
  <r>
    <x v="2"/>
    <n v="1003"/>
    <m/>
    <n v="3355"/>
    <s v=""/>
    <s v=""/>
    <x v="502"/>
    <m/>
    <s v=""/>
    <s v="Farmacia Boa Sorte"/>
    <s v="74999642551"/>
    <s v=""/>
    <s v="farmaboasorte@gmail.com"/>
    <s v=""/>
    <s v=""/>
    <s v=""/>
    <s v=""/>
    <s v=""/>
    <s v="Campanha"/>
    <s v=""/>
    <s v=""/>
    <s v="Fora Perfil;Instagram"/>
    <s v="Pipeline de Vendas"/>
    <s v="Agendamento (0%)"/>
    <s v=""/>
    <d v="2026-03-31T00:00:00"/>
    <m/>
    <m/>
    <n v="0"/>
    <s v="Paulo Souza"/>
    <d v="2026-03-10T00:00:00"/>
    <d v="1899-12-30T09:46:18"/>
    <s v=""/>
    <s v="Perdido"/>
    <d v="2026-03-10T00:00:00"/>
    <d v="1899-12-30T10:23:45"/>
    <s v="Fora do porte mínimo (sem fit estrutural)"/>
    <s v=""/>
    <s v=""/>
    <x v="0"/>
    <s v="Rayssa Karapeticov"/>
    <x v="0"/>
    <s v=""/>
    <m/>
    <n v="30"/>
    <s v=""/>
    <s v=""/>
    <s v=""/>
    <s v=""/>
    <n v="1"/>
  </r>
  <r>
    <x v="0"/>
    <n v="1004"/>
    <m/>
    <n v="3353"/>
    <s v="15/03 Feio FUP da apresentação da proposta._x000a_20/03 Fiz FUP hoje com o Sergio cobrando ele sobre a proposta WMS se seguiremos._x000a_20/03 Sergio me passou que o investimento ficou alto para o momento e que nao vai seguir."/>
    <s v=""/>
    <x v="503"/>
    <n v="5291214000188"/>
    <s v=""/>
    <s v="Sergio cdp"/>
    <s v="(38) 99831-2605"/>
    <s v=""/>
    <s v="sergio.cdp00@gmail.com"/>
    <s v=""/>
    <s v=""/>
    <s v=""/>
    <s v="MONTES CLAROS"/>
    <s v="MG"/>
    <s v="Site"/>
    <s v=""/>
    <s v=""/>
    <s v="Solicita demo"/>
    <s v="Pipeline de Vendas"/>
    <s v="Em negociação (75%)"/>
    <s v=""/>
    <d v="2026-03-31T00:00:00"/>
    <n v="22800"/>
    <n v="14256"/>
    <n v="10"/>
    <s v="Paulo Souza"/>
    <d v="2026-03-10T00:00:00"/>
    <d v="1899-12-30T09:52:59"/>
    <s v=""/>
    <s v="Perdido"/>
    <d v="2026-03-20T00:00:00"/>
    <d v="1899-12-30T17:17:39"/>
    <s v="Preço muito alto - fora do budget de investimento"/>
    <s v=""/>
    <s v=""/>
    <x v="174"/>
    <s v="Paulo Souza"/>
    <x v="214"/>
    <s v=""/>
    <d v="2026-03-20T00:00:00"/>
    <n v="30"/>
    <s v=""/>
    <s v="WMS"/>
    <s v=""/>
    <s v=""/>
    <n v="1"/>
  </r>
  <r>
    <x v="2"/>
    <n v="1005"/>
    <m/>
    <n v="3354"/>
    <s v="Reunião realizada 08.04.2024 presencial no cliente_x000a_04.05 - Estou avançando a negociação com o client,e porém ele não concorda com o rejuste de no minimo 5% do contrato"/>
    <s v=""/>
    <x v="504"/>
    <n v="59578948000171"/>
    <s v=""/>
    <s v="3D"/>
    <s v="11983479931"/>
    <s v=""/>
    <s v="tufano@maquimp.com.br"/>
    <s v=""/>
    <s v=""/>
    <s v=""/>
    <s v="SAO PAULO"/>
    <s v="SP"/>
    <s v="Campanha"/>
    <s v=""/>
    <s v=""/>
    <s v="Dentro Perfil;Instagram"/>
    <s v="Pipeline de Vendas"/>
    <s v="Em negociação (75%)"/>
    <s v=""/>
    <d v="2026-06-30T00:00:00"/>
    <n v="58800"/>
    <n v="55164"/>
    <n v="71"/>
    <s v="Paulo Souza"/>
    <d v="2026-03-10T00:00:00"/>
    <d v="1899-12-30T09:55:28"/>
    <s v=""/>
    <s v="Ativo"/>
    <m/>
    <m/>
    <s v=""/>
    <s v=""/>
    <s v=""/>
    <x v="196"/>
    <s v="Rayssa Karapeticov"/>
    <x v="215"/>
    <s v="08/04/2026"/>
    <d v="2026-05-15T00:00:00"/>
    <n v="30"/>
    <s v=""/>
    <s v="ERP"/>
    <s v=""/>
    <s v=""/>
    <n v="1"/>
  </r>
  <r>
    <x v="1"/>
    <n v="1006"/>
    <m/>
    <n v="3343"/>
    <s v="(10/03/2026) em contato com Bruno _x000a_(10/03/2026) cliente informa que já fechou projeto com a Mercos"/>
    <s v=""/>
    <x v="505"/>
    <n v="36882195000198"/>
    <s v=""/>
    <s v="Bruno"/>
    <s v="(11) 94075-6696"/>
    <s v=""/>
    <s v="bruno.arouca@brotacompany.com.br"/>
    <s v=""/>
    <s v=""/>
    <s v=""/>
    <s v="São Paulo"/>
    <s v=""/>
    <s v="Site"/>
    <s v=""/>
    <s v=""/>
    <s v="Dentro Perfil;Solicita demo"/>
    <s v="Pipeline de Vendas"/>
    <s v="Qualificação de Vendas (SQL) (25%)"/>
    <s v=""/>
    <m/>
    <m/>
    <m/>
    <n v="0"/>
    <s v="Paulo Souza"/>
    <d v="2026-03-10T00:00:00"/>
    <d v="1899-12-30T09:59:38"/>
    <s v=""/>
    <s v="Perdido"/>
    <d v="2026-03-10T00:00:00"/>
    <d v="1899-12-30T16:59:56"/>
    <s v="Fechou com o concorrente - preço"/>
    <s v="(10/03/2026) cliente informa que já fechou projeto com a Mercos"/>
    <s v=""/>
    <x v="0"/>
    <s v="Junior Lopes"/>
    <x v="0"/>
    <s v=""/>
    <m/>
    <n v="30"/>
    <s v=""/>
    <s v="AFV"/>
    <s v=""/>
    <s v=""/>
    <n v="1"/>
  </r>
  <r>
    <x v="2"/>
    <n v="1007"/>
    <m/>
    <n v="3344"/>
    <s v="Falei com o Rodrigo, são umdistribuidor de autopeças de Bauru, vieram por inidicação da Ad&amp;Ad. _x000a_Atualmente as vendas são por MKPlace e mercado livre, e possuem vendas internas telemarketing_x000a_Trabalha com a parte especial, falamos sobre financeiro, fiscal, estoque. e pedidos decompras _x000a_Pediu uma estimativa de valores, porque atualmente é ele e um sócio, e precisa discutir com o Sócio para ver se vai avançar por causa do investimento, só que o sócio não esta essa semana _x000a_Então combinamos de falar na proxima semana (23/03)"/>
    <s v=""/>
    <x v="506"/>
    <m/>
    <s v=""/>
    <s v="rodrigo"/>
    <s v="(14) 99701-3009"/>
    <s v=""/>
    <s v="compras@s4distribuidora.com.br"/>
    <s v=""/>
    <s v=""/>
    <s v=""/>
    <s v="Bauru"/>
    <s v=""/>
    <s v="Site"/>
    <s v=""/>
    <s v=""/>
    <s v="Dentro Perfil;Solicita demo"/>
    <s v="Pipeline de Vendas"/>
    <s v="Apresentar Solução (35%)"/>
    <s v=""/>
    <d v="2026-08-31T00:00:00"/>
    <m/>
    <m/>
    <n v="28"/>
    <s v="Paulo Souza"/>
    <d v="2026-03-10T00:00:00"/>
    <d v="1899-12-30T10:01:14"/>
    <s v=""/>
    <s v="Perdido"/>
    <d v="2026-04-07T00:00:00"/>
    <d v="1899-12-30T10:52:27"/>
    <s v="Preço muito alto - fora do budget de investimento"/>
    <s v=""/>
    <s v=""/>
    <x v="0"/>
    <s v="Rayssa Karapeticov"/>
    <x v="0"/>
    <s v=""/>
    <d v="2026-04-07T00:00:00"/>
    <n v="30"/>
    <s v=""/>
    <s v="ERP, ADICIONAIS, CLOUD"/>
    <s v=""/>
    <s v=""/>
    <n v="1"/>
  </r>
  <r>
    <x v="0"/>
    <n v="1008"/>
    <m/>
    <n v="3346"/>
    <s v=""/>
    <s v=""/>
    <x v="507"/>
    <n v="27672869000139"/>
    <s v=""/>
    <s v="Luccas Nassif"/>
    <s v="(11) 98873-6515"/>
    <s v=""/>
    <s v="luccas.nassif@globalmix.com.br"/>
    <s v=""/>
    <s v=""/>
    <s v=""/>
    <s v="São Paulo"/>
    <s v=""/>
    <s v="Site"/>
    <s v=""/>
    <s v=""/>
    <s v="Solicita demo"/>
    <s v="Pipeline de Vendas"/>
    <s v="Agendamento (0%)"/>
    <s v=""/>
    <d v="2026-03-31T00:00:00"/>
    <m/>
    <m/>
    <n v="0"/>
    <s v="Paulo Souza"/>
    <d v="2026-03-10T00:00:00"/>
    <d v="1899-12-30T10:02:20"/>
    <s v=""/>
    <s v="Perdido"/>
    <d v="2026-03-10T00:00:00"/>
    <d v="1899-12-30T10:27:02"/>
    <s v="Fora do porte mínimo (sem fit estrutural)"/>
    <s v=""/>
    <s v=""/>
    <x v="0"/>
    <s v="Paulo Souza"/>
    <x v="0"/>
    <s v=""/>
    <m/>
    <n v="30"/>
    <s v=""/>
    <s v=""/>
    <s v=""/>
    <s v=""/>
    <n v="1"/>
  </r>
  <r>
    <x v="1"/>
    <n v="1009"/>
    <m/>
    <n v="3361"/>
    <s v="(11/03/2026) Agenda de apresentação para 17/03/2026_x000a_(30/03/2026) Alinhando visita presencial com Thiago"/>
    <s v="Banana Toys Ltda"/>
    <x v="508"/>
    <n v="8878994000155"/>
    <s v=""/>
    <s v="Banana Toys Ltda"/>
    <s v="(15) 3283-5196"/>
    <s v=""/>
    <s v="faturamento@bananatoys.com.br"/>
    <s v=""/>
    <s v=""/>
    <s v=""/>
    <s v="LARANJAL PAULISTA"/>
    <s v="SP"/>
    <s v="Base de empresas Leads2b"/>
    <s v=""/>
    <s v=""/>
    <s v=""/>
    <s v="Pipeline de Vendas"/>
    <s v="Em negociação (75%)"/>
    <s v=""/>
    <d v="2026-03-31T00:00:00"/>
    <n v="11390346"/>
    <n v="384882"/>
    <n v="71"/>
    <s v="Junior Lopes"/>
    <d v="2026-03-10T00:00:00"/>
    <d v="1899-12-30T16:23:30"/>
    <s v=""/>
    <s v="Ativo"/>
    <m/>
    <m/>
    <s v=""/>
    <s v=""/>
    <s v=""/>
    <x v="197"/>
    <s v=""/>
    <x v="214"/>
    <s v="17/03/2026"/>
    <d v="2026-03-30T00:00:00"/>
    <n v="50"/>
    <s v=""/>
    <s v=""/>
    <s v=""/>
    <s v=""/>
    <n v="1"/>
  </r>
  <r>
    <x v="0"/>
    <n v="1011"/>
    <m/>
    <n v="3365"/>
    <s v="20/03 Cobrei o Everton sobre a posição sobre a proposta comercial e se seguiremos e se existe algum impedimento."/>
    <s v=""/>
    <x v="509"/>
    <n v="7865166000110"/>
    <s v=""/>
    <s v="EVERTON MARINI GAVIAO"/>
    <s v="(17) 3342-1605"/>
    <s v=""/>
    <s v="comercialgaviao@bol.com.br"/>
    <s v=""/>
    <s v=""/>
    <s v=""/>
    <s v="BEBEDOURO"/>
    <s v="SP"/>
    <s v="Site"/>
    <s v=""/>
    <s v=""/>
    <s v="Solicita demo"/>
    <s v="Pipeline de Vendas"/>
    <s v="Em Fechamento (100%)"/>
    <s v=""/>
    <d v="2026-03-31T00:00:00"/>
    <n v="870636"/>
    <n v="434528"/>
    <n v="70"/>
    <s v="Paulo Souza"/>
    <d v="2026-03-11T00:00:00"/>
    <d v="1899-12-30T11:51:21"/>
    <s v=""/>
    <s v="Ativo"/>
    <m/>
    <m/>
    <s v=""/>
    <s v=""/>
    <s v=""/>
    <x v="187"/>
    <s v="Paulo Souza"/>
    <x v="216"/>
    <s v=""/>
    <d v="2026-05-18T00:00:00"/>
    <n v="30"/>
    <s v=""/>
    <s v="ERP, AFV"/>
    <s v=""/>
    <s v=""/>
    <n v="1"/>
  </r>
  <r>
    <x v="1"/>
    <n v="1012"/>
    <m/>
    <n v="3345"/>
    <s v="(20/03/2026) contato com  Ramos a fim de seguirmos com negociações _x000a_09:22, 06/05/2026 Junior Lopes: Olá Danilo ! Td bem meu amigo _x000a_Ficamos de fazer uma agenda de apresentação para seu sócio ! _x000a_Vamos agendar para próxima semana ?_x000a_10:07, 06/05/2026 Danilo Euroquad: Bom dia_x000a_10:08, 06/05/2026 Danilo Euroquad: Tudo bem e vc?_x000a_10:08, 06/05/2026 Danilo Euroquad: Estou na china volto no final do mês_x000a_10:08, 06/05/2026 Danilo Euroquad: Quando chegar marcamos_x000a_11:35, 06/05/2026 Junior Lopes: Perfeito Danilo, ótimos negocios por ai"/>
    <s v="Euroquadros Industria Importacao E Exportacao Ltda"/>
    <x v="510"/>
    <n v="72770225000561"/>
    <s v=""/>
    <s v="Euroquadros Industria Importacao E Exportacao Ltda"/>
    <s v="(47) 3515-3000"/>
    <s v=""/>
    <s v="contabil@fratelliinox.com.br"/>
    <s v=""/>
    <s v=""/>
    <s v=""/>
    <s v="BARRA VELHA"/>
    <s v="SC"/>
    <s v="Base de empresas Leads2b"/>
    <s v=""/>
    <s v=""/>
    <s v=""/>
    <s v="Pipeline de Vendas"/>
    <s v="Em negociação (75%)"/>
    <s v=""/>
    <m/>
    <n v="52702"/>
    <n v="17020"/>
    <n v="70"/>
    <s v="Junior Lopes"/>
    <d v="2026-03-11T00:00:00"/>
    <d v="1899-12-30T16:07:58"/>
    <s v=""/>
    <s v="Ativo"/>
    <m/>
    <m/>
    <s v=""/>
    <s v=""/>
    <s v=""/>
    <x v="195"/>
    <s v=""/>
    <x v="217"/>
    <s v="18/03/2026"/>
    <d v="2026-05-06T00:00:00"/>
    <n v="50"/>
    <s v=""/>
    <s v=""/>
    <s v=""/>
    <s v=""/>
    <n v="1"/>
  </r>
  <r>
    <x v="2"/>
    <n v="1013"/>
    <m/>
    <n v="3368"/>
    <s v="30.03 Lidi, boa tarde!_x000a_Vamos agendar quarta às 15h_x000a_Meu gerente de projetos que vai fazer, assim já consigo matar WMS, ERP, PDV, todo processo de estoque futuro e importação_x000a_07.04 2° parte da reunião ficou para sexta 10/04_x000a_13.04 apresentação realizada, proxima etapa apresentação da proposta, aguardar avaliação do Paulo quanto ao serviço de cloud"/>
    <s v="Simao Distribuidora De Embalagens Descartaveis Ltda"/>
    <x v="511"/>
    <n v="10649489000180"/>
    <s v=""/>
    <s v="Simao Distribuidora De Embalagens Descartaveis Ltda"/>
    <s v="(24) 3325-7650"/>
    <s v=""/>
    <s v="legalizacao@mastermaxcontabilidade.com.br"/>
    <s v=""/>
    <s v=""/>
    <s v=""/>
    <s v="RIO DE JANEIRO"/>
    <s v="RJ"/>
    <s v="Base de empresas Leads2b"/>
    <s v=""/>
    <s v=""/>
    <s v=""/>
    <s v="Pipeline de Vendas"/>
    <s v="Apresentar Proposta (50%)"/>
    <s v=""/>
    <d v="2026-09-30T00:00:00"/>
    <m/>
    <m/>
    <n v="69"/>
    <s v="Rayssa Karapeticov"/>
    <d v="2026-03-12T00:00:00"/>
    <d v="1899-12-30T10:07:51"/>
    <s v=""/>
    <s v="Ativo"/>
    <m/>
    <m/>
    <s v=""/>
    <s v=""/>
    <s v=""/>
    <x v="198"/>
    <s v="Rayssa Karapeticov"/>
    <x v="218"/>
    <s v="10/04/2026"/>
    <d v="2026-05-13T00:00:00"/>
    <n v="30"/>
    <s v=""/>
    <s v="ERP, AFV"/>
    <s v=""/>
    <s v=""/>
    <n v="1"/>
  </r>
  <r>
    <x v="0"/>
    <n v="1014"/>
    <m/>
    <n v="3371"/>
    <s v="12/03 Fiz FUP com o Renan e ele avisou que a Vera esta em viagem retornando vamos agendar uma apresentação._x000a_12/03 Fiz FUP com o cliente e marcamos reunião para dia 18/03 as 15h._x000a_20/03 Conversei com o Renan para saber qual a nova data para fazer a apresentação."/>
    <s v=""/>
    <x v="512"/>
    <n v="10633099000112"/>
    <s v=""/>
    <s v="Vera Lucia"/>
    <s v="(47) 3075-0552"/>
    <s v=""/>
    <s v="financeiro@mundialimpexp.com.br"/>
    <s v=""/>
    <s v=""/>
    <s v=""/>
    <s v="ITAJAI"/>
    <s v="SC"/>
    <s v=""/>
    <s v=""/>
    <s v=""/>
    <s v="Pausado"/>
    <s v="Pipeline de Vendas"/>
    <s v="Apresentar Solução (35%)"/>
    <s v=""/>
    <d v="2026-03-30T00:00:00"/>
    <m/>
    <m/>
    <n v="60"/>
    <s v="Paulo Souza"/>
    <d v="2026-03-12T00:00:00"/>
    <d v="1899-12-30T12:10:28"/>
    <s v=""/>
    <s v="Perdido"/>
    <d v="2026-05-11T00:00:00"/>
    <d v="1899-12-30T11:56:15"/>
    <s v="Projeto adiado / sem prazo definido"/>
    <s v=""/>
    <s v=""/>
    <x v="0"/>
    <s v="Paulo Souza"/>
    <x v="0"/>
    <s v=""/>
    <d v="2026-04-10T00:00:00"/>
    <n v="30"/>
    <s v=""/>
    <s v="ERP, AFV"/>
    <s v=""/>
    <s v=""/>
    <n v="1"/>
  </r>
  <r>
    <x v="1"/>
    <n v="1015"/>
    <m/>
    <n v="3375"/>
    <s v="(16/03/2026) Agenda de apresentação para dia 17/03/2026"/>
    <s v=""/>
    <x v="513"/>
    <n v="35417169000126"/>
    <s v=""/>
    <s v="Brisa Artes"/>
    <s v="11992558277"/>
    <s v=""/>
    <s v="marcos@mairinckcontabil.com.br"/>
    <s v=""/>
    <s v=""/>
    <s v=""/>
    <s v="RIBEIRAO PIRES"/>
    <s v="SP"/>
    <s v=""/>
    <s v=""/>
    <s v=""/>
    <s v=""/>
    <s v="Pipeline de Vendas"/>
    <s v="Apresentar Solução (35%)"/>
    <s v=""/>
    <m/>
    <m/>
    <m/>
    <n v="69"/>
    <s v="Junior Lopes"/>
    <d v="2026-03-12T00:00:00"/>
    <d v="1899-12-30T15:11:14"/>
    <s v=""/>
    <s v="Ativo"/>
    <m/>
    <m/>
    <s v=""/>
    <s v=""/>
    <s v=""/>
    <x v="0"/>
    <s v=""/>
    <x v="0"/>
    <s v=""/>
    <d v="2026-03-16T00:00:00"/>
    <n v="30"/>
    <s v=""/>
    <s v=""/>
    <s v=""/>
    <s v=""/>
    <n v="1"/>
  </r>
  <r>
    <x v="1"/>
    <n v="1016"/>
    <m/>
    <n v="3373"/>
    <s v="09:04, 13/03/2026 Junior Lopes: Olá Victor, bom dia_x000a_09:04, 13/03/2026 Junior Lopes: sou Junior Lopes da Guarani sistemas, td bem ?_x000a_09:05, 13/03/2026 Junior Lopes: estou retornando um contato que vc fez conosco relacionado ao nosso software de gestão Guarani sistemas_x000a_(13/03/2026) Aós tentativa de ligação e contato ! nenhuma respondida _x000a_estou descartando a oportunidade pois o nome da empresa mencionado não existe e demais informações preenchidas sem dados concretos ! por informar que tem um faturamento abaixo de 200K mensal fica fora do nosso perfil"/>
    <s v=""/>
    <x v="514"/>
    <m/>
    <s v=""/>
    <s v="Nemoaprds"/>
    <s v="38998244039"/>
    <s v=""/>
    <s v="vitorborgessilva333@gmail.com"/>
    <s v=""/>
    <s v=""/>
    <s v=""/>
    <s v=""/>
    <s v=""/>
    <s v="Campanha"/>
    <s v=""/>
    <s v=""/>
    <s v="Fora Perfil;Instagram"/>
    <s v="Pipeline de Vendas"/>
    <s v="Qualificação de Vendas (SQL) (25%)"/>
    <s v=""/>
    <d v="2026-03-31T00:00:00"/>
    <m/>
    <m/>
    <n v="58"/>
    <s v="Paulo Souza"/>
    <d v="2026-03-12T00:00:00"/>
    <d v="1899-12-30T17:35:46"/>
    <s v=""/>
    <s v="Perdido"/>
    <d v="2026-05-09T00:00:00"/>
    <d v="1899-12-30T07:56:21"/>
    <s v="Sem qualificação — contato não atende ligações nem responde msg"/>
    <s v=""/>
    <s v=""/>
    <x v="0"/>
    <s v="Junior Lopes"/>
    <x v="0"/>
    <s v=""/>
    <d v="2026-03-13T00:00:00"/>
    <n v="30"/>
    <s v=""/>
    <s v=""/>
    <s v=""/>
    <s v=""/>
    <n v="1"/>
  </r>
  <r>
    <x v="2"/>
    <n v="1017"/>
    <m/>
    <n v="3374"/>
    <s v="17/03 - Nova Maringa - Amazonia Sistemas_x000a_Empresa de vendas e locação de maquinas agricolas, procura um softaware onde possa acompanhar a svedas, criar promnoções/campanhas, realizar OS para manutenções das maquinas. _x000a_Possui PDV _x000a_Apresentação agendada para terça 24/03 as 15h_x000a_25/03 achou o valor de investimento alto"/>
    <s v=""/>
    <x v="515"/>
    <n v="33947903000133"/>
    <s v=""/>
    <s v="Giovani luiz Agrorural Ltda"/>
    <s v="(66) 8101-6884"/>
    <s v=""/>
    <s v="soberanaagrorural@hotmail.com"/>
    <s v=""/>
    <s v=""/>
    <s v=""/>
    <s v="NOVA MARINGA"/>
    <s v="MT"/>
    <s v="Campanha"/>
    <s v=""/>
    <s v=""/>
    <s v="Fora Perfil;Instagram"/>
    <s v="Pipeline de Vendas"/>
    <s v="Apresentar Solução (35%)"/>
    <s v=""/>
    <d v="2026-07-31T00:00:00"/>
    <m/>
    <m/>
    <n v="13"/>
    <s v="Paulo Souza"/>
    <d v="2026-03-12T00:00:00"/>
    <d v="1899-12-30T17:37:00"/>
    <s v=""/>
    <s v="Perdido"/>
    <d v="2026-03-25T00:00:00"/>
    <d v="1899-12-30T10:06:43"/>
    <s v="Preço muito alto - fora do budget de investimento"/>
    <s v=""/>
    <s v=""/>
    <x v="0"/>
    <s v="Rayssa Karapeticov"/>
    <x v="219"/>
    <s v=""/>
    <d v="2026-03-25T00:00:00"/>
    <n v="31"/>
    <s v=""/>
    <s v=""/>
    <s v=""/>
    <s v=""/>
    <n v="1"/>
  </r>
  <r>
    <x v="1"/>
    <n v="1018"/>
    <m/>
    <n v="3379"/>
    <s v="(13/03/2026) em contato com Juraci a fim de retomar assunto sobre força de vendas _x000a_(12/03/2026) em contato com Juraci, informou que vamos voltar a falar no final do ano ! devido a sua alta demanda de vendas nesse período inviabilizou o projeto nesse momento"/>
    <s v=""/>
    <x v="185"/>
    <n v="28646036000166"/>
    <s v=""/>
    <s v="Gola Comercial"/>
    <s v="11938010304"/>
    <s v=""/>
    <s v="juraci@goalcomercial.com.br"/>
    <s v=""/>
    <s v=""/>
    <s v=""/>
    <s v="SAO CAETANO DO SUL"/>
    <s v="SP"/>
    <s v=""/>
    <s v=""/>
    <s v=""/>
    <s v=""/>
    <s v="Pipeline de Vendas"/>
    <s v="Apresentar Solução (35%)"/>
    <s v=""/>
    <m/>
    <n v="1696"/>
    <n v="6400"/>
    <n v="17"/>
    <s v="Junior Lopes"/>
    <d v="2026-03-13T00:00:00"/>
    <d v="1899-12-30T09:34:40"/>
    <s v=""/>
    <s v="Perdido"/>
    <d v="2026-03-30T00:00:00"/>
    <d v="1899-12-30T17:12:25"/>
    <s v="Projeto adiado / sem prazo definido"/>
    <s v="cliente não tem mais tempo para mudança esse ano , ficará para final do ano 2026"/>
    <s v=""/>
    <x v="84"/>
    <s v=""/>
    <x v="213"/>
    <s v=""/>
    <d v="2026-03-12T00:00:00"/>
    <n v="30"/>
    <s v=""/>
    <s v=""/>
    <s v=""/>
    <s v=""/>
    <n v="1"/>
  </r>
  <r>
    <x v="2"/>
    <n v="1019"/>
    <m/>
    <n v="3381"/>
    <s v="18.03 apresentação agendada para segunda 24/03_x000a_30.03 - como é uma empresa pequena de 1 ano, não consegue dar andamento agora _x000a_mas vão estudar para o futuro"/>
    <s v="Verti Flores E Plantas Permanentes Ltda"/>
    <x v="516"/>
    <n v="55841149000195"/>
    <s v=""/>
    <s v="Verti Flores E Plantas Permanentes Ltda"/>
    <s v="(47) 9214-8117"/>
    <s v=""/>
    <s v="societario@rmxcontabilidade.com.br"/>
    <s v=""/>
    <s v=""/>
    <s v=""/>
    <s v="ITAPEMA"/>
    <s v="SC"/>
    <s v="Base de empresas Leads2b"/>
    <s v=""/>
    <s v=""/>
    <s v=""/>
    <s v="Pipeline de Vendas"/>
    <s v="Apresentar Solução (35%)"/>
    <s v=""/>
    <d v="2026-07-31T00:00:00"/>
    <n v="58800"/>
    <n v="2525"/>
    <n v="17"/>
    <s v="Rayssa Karapeticov"/>
    <d v="2026-03-13T00:00:00"/>
    <d v="1899-12-30T14:52:20"/>
    <s v=""/>
    <s v="Perdido"/>
    <d v="2026-03-30T00:00:00"/>
    <d v="1899-12-30T16:07:14"/>
    <s v="Preço muito alto - fora do budget de investimento"/>
    <s v=""/>
    <s v=""/>
    <x v="199"/>
    <s v="Rayssa Karapeticov"/>
    <x v="220"/>
    <s v=""/>
    <d v="2026-03-30T00:00:00"/>
    <n v="30"/>
    <s v=""/>
    <s v="ERP"/>
    <s v=""/>
    <s v=""/>
    <n v="1"/>
  </r>
  <r>
    <x v="1"/>
    <n v="1020"/>
    <m/>
    <n v="3378"/>
    <s v="(17/03/2026) em contato com Junior ! A Otmiza busca um software para gerenciamento de obras com controle de contratos e ordens de serviço"/>
    <s v=""/>
    <x v="517"/>
    <m/>
    <s v=""/>
    <s v="Otimiza"/>
    <s v="6399999235"/>
    <s v=""/>
    <s v="pelissari.otimiza@gmail.com"/>
    <s v=""/>
    <s v=""/>
    <s v=""/>
    <s v=""/>
    <s v=""/>
    <s v="Campanha"/>
    <s v=""/>
    <s v=""/>
    <s v="Fora Perfil;Instagram"/>
    <s v="Pipeline de Vendas"/>
    <s v="Qualificação de Vendas (SQL) (25%)"/>
    <s v=""/>
    <d v="2026-03-31T00:00:00"/>
    <m/>
    <m/>
    <n v="1"/>
    <s v="Paulo Souza"/>
    <d v="2026-03-16T00:00:00"/>
    <d v="1899-12-30T13:47:29"/>
    <s v=""/>
    <s v="Perdido"/>
    <d v="2026-03-17T00:00:00"/>
    <d v="1899-12-30T09:38:46"/>
    <s v="Fora do porte mínimo (sem fit estrutural)"/>
    <s v="(17/03/2026) em contato com Junior ! A Otmiza busca um software para gerenciamento de obras com controle de contratos e ordens de serviço"/>
    <s v=""/>
    <x v="0"/>
    <s v="Junior Lopes"/>
    <x v="0"/>
    <s v=""/>
    <d v="2026-03-17T00:00:00"/>
    <n v="30"/>
    <s v=""/>
    <s v=""/>
    <s v=""/>
    <s v=""/>
    <n v="1"/>
  </r>
  <r>
    <x v="2"/>
    <n v="1021"/>
    <m/>
    <n v="3384"/>
    <s v="19.03 Pediu uma estimativa de valor, e achou o investimento muito alto para o faturamento anual da empresa"/>
    <s v=""/>
    <x v="518"/>
    <m/>
    <s v=""/>
    <s v="Javeh"/>
    <s v="11947270946"/>
    <s v=""/>
    <s v="atadeu7@gmail.com"/>
    <s v=""/>
    <s v=""/>
    <s v=""/>
    <s v=""/>
    <s v=""/>
    <s v="Campanha"/>
    <s v=""/>
    <s v=""/>
    <s v="Fora Perfil;Instagram"/>
    <s v="Pipeline de Vendas"/>
    <s v="Qualificação de Vendas (SQL) (25%)"/>
    <s v=""/>
    <d v="2026-03-31T00:00:00"/>
    <m/>
    <m/>
    <n v="3"/>
    <s v="Paulo Souza"/>
    <d v="2026-03-16T00:00:00"/>
    <d v="1899-12-30T13:48:48"/>
    <s v=""/>
    <s v="Perdido"/>
    <d v="2026-03-19T00:00:00"/>
    <d v="1899-12-30T11:31:26"/>
    <s v="Preço muito alto - fora do budget de investimento"/>
    <s v=""/>
    <s v=""/>
    <x v="0"/>
    <s v="Rayssa Karapeticov"/>
    <x v="0"/>
    <s v=""/>
    <d v="2026-03-17T00:00:00"/>
    <n v="30"/>
    <s v=""/>
    <s v=""/>
    <s v=""/>
    <s v=""/>
    <n v="1"/>
  </r>
  <r>
    <x v="1"/>
    <n v="1022"/>
    <m/>
    <n v="3385"/>
    <s v="(17/03/2026) em contato com Diego ! a Biricutico é um deposito de bebidas com venda balcão para pessoa física"/>
    <s v=""/>
    <x v="519"/>
    <m/>
    <s v=""/>
    <s v="Biricutico"/>
    <s v="21964945088"/>
    <s v=""/>
    <s v="diegosart@gmail.com"/>
    <s v=""/>
    <s v=""/>
    <s v=""/>
    <s v=""/>
    <s v=""/>
    <s v="Campanha"/>
    <s v=""/>
    <s v=""/>
    <s v="Fora Perfil;Instagram"/>
    <s v="Pipeline de Vendas"/>
    <s v="Qualificação de Vendas (SQL) (25%)"/>
    <s v=""/>
    <d v="2026-03-31T00:00:00"/>
    <m/>
    <m/>
    <n v="1"/>
    <s v="Paulo Souza"/>
    <d v="2026-03-16T00:00:00"/>
    <d v="1899-12-30T13:49:55"/>
    <s v=""/>
    <s v="Perdido"/>
    <d v="2026-03-17T00:00:00"/>
    <d v="1899-12-30T09:41:15"/>
    <s v="Fora do porte mínimo (sem fit estrutural)"/>
    <s v="(17/03/2026) em contato com Diego ! a Biricutico é um deposito de bebidas com venda balcão para pessoa física"/>
    <s v=""/>
    <x v="0"/>
    <s v="Junior Lopes"/>
    <x v="0"/>
    <s v=""/>
    <d v="2026-03-17T00:00:00"/>
    <n v="30"/>
    <s v=""/>
    <s v=""/>
    <s v=""/>
    <s v=""/>
    <n v="1"/>
  </r>
  <r>
    <x v="2"/>
    <n v="1023"/>
    <m/>
    <n v="3386"/>
    <s v="Falei com o Marcelo são uma distribuidora de descartaveis e estão buscando um software. _x000a_30.03 - esta viajando, pediu retorno na proxima semana_x000a_Passei informações sobre a Guarani, e enviei nossa apresentação, hoje vão ter uma reunião interna para saber quais sistemas que vão 18/03 agendar uma apresentação _x000a_30.03 - Falou que esta em viagem, pediu para retornar_x000a_07.03 - não estou tendo nenhum retorno"/>
    <s v=""/>
    <x v="520"/>
    <n v="57769346000176"/>
    <s v=""/>
    <s v="Plus atacadista"/>
    <s v="(62) 8318-2116/ (0000) 0000-0000"/>
    <s v=""/>
    <s v="diretor@staratacadista.com.br"/>
    <s v=""/>
    <s v=""/>
    <s v=""/>
    <s v="GOIANIA"/>
    <s v="GO"/>
    <s v="Campanha"/>
    <s v=""/>
    <s v=""/>
    <s v="Dentro Perfil;Instagram"/>
    <s v="Pipeline de Vendas"/>
    <s v="Apresentar Solução (35%)"/>
    <s v=""/>
    <d v="2026-07-31T00:00:00"/>
    <m/>
    <m/>
    <n v="22"/>
    <s v="Paulo Souza"/>
    <d v="2026-03-16T00:00:00"/>
    <d v="1899-12-30T13:51:06"/>
    <s v=""/>
    <s v="Perdido"/>
    <d v="2026-04-07T00:00:00"/>
    <d v="1899-12-30T10:45:40"/>
    <s v="Fora do porte mínimo (sem fit estrutural)"/>
    <s v=""/>
    <s v=""/>
    <x v="187"/>
    <s v="Rayssa Karapeticov"/>
    <x v="215"/>
    <s v=""/>
    <d v="2026-04-07T00:00:00"/>
    <n v="30"/>
    <s v=""/>
    <s v=""/>
    <s v=""/>
    <s v=""/>
    <n v="1"/>
  </r>
  <r>
    <x v="0"/>
    <n v="1024"/>
    <m/>
    <n v="3388"/>
    <s v="18/03 Liguei para o Tiago não atendeu. Deixei recado no whatsapp !_x000a_18/03 Tiago retorno por audio e falou que essa semana está ocupado e não consegue falar. Vai me retornar ate o fim da semana._x000a_20/03 Após conversa com o Tiago ele avisou que essa semana esta inviável para falar que conversamos semana que vem."/>
    <s v=""/>
    <x v="521"/>
    <m/>
    <s v=""/>
    <s v="Tiago"/>
    <s v="62991537827"/>
    <s v=""/>
    <s v="mastervedacoesind@gmail.com"/>
    <s v=""/>
    <s v=""/>
    <s v=""/>
    <s v=""/>
    <s v=""/>
    <s v="Campanha"/>
    <s v=""/>
    <s v=""/>
    <s v="Dentro Perfil;Instagram"/>
    <s v="Pipeline de Vendas"/>
    <s v="Qualificação de Vendas (SQL) (25%)"/>
    <s v=""/>
    <d v="2026-03-31T00:00:00"/>
    <m/>
    <m/>
    <n v="54"/>
    <s v="Paulo Souza"/>
    <d v="2026-03-16T00:00:00"/>
    <d v="1899-12-30T13:52:07"/>
    <s v=""/>
    <s v="Perdido"/>
    <d v="2026-05-09T00:00:00"/>
    <d v="1899-12-30T07:58:33"/>
    <s v="Sem qualificação — contato não atende ligações nem responde msg"/>
    <s v=""/>
    <s v=""/>
    <x v="0"/>
    <s v="Paulo Souza"/>
    <x v="0"/>
    <s v=""/>
    <d v="2026-03-20T00:00:00"/>
    <n v="30"/>
    <s v=""/>
    <s v=""/>
    <s v=""/>
    <s v=""/>
    <n v="1"/>
  </r>
  <r>
    <x v="0"/>
    <n v="1025"/>
    <m/>
    <n v="3389"/>
    <s v="18/03 Liguei para o Dimitrius e ele estava viajando hoje, vai me retornar ainda esta semana._x000a_18/03 Dimitrius retornou o áudio, avisou que vai me retornar assim que terminar a viagem que faz hoje._x000a_20/03 Fiz uma conversa com Demétrius para entender o cenário dele e alinhamos que ele vai preencher o formulário e depois disso fazer uma apresentação."/>
    <s v=""/>
    <x v="522"/>
    <m/>
    <s v=""/>
    <s v="Dimitrius"/>
    <s v="73988565500"/>
    <s v=""/>
    <s v="dimigrintzos@gmail.com"/>
    <s v=""/>
    <s v=""/>
    <s v=""/>
    <s v=""/>
    <s v=""/>
    <s v="Campanha"/>
    <s v=""/>
    <s v=""/>
    <s v="Dentro Perfil;Instagram"/>
    <s v="Pipeline de Vendas"/>
    <s v="Apresentar Solução (35%)"/>
    <s v=""/>
    <d v="2026-03-31T00:00:00"/>
    <m/>
    <m/>
    <n v="25"/>
    <s v="Paulo Souza"/>
    <d v="2026-03-16T00:00:00"/>
    <d v="1899-12-30T13:53:00"/>
    <s v=""/>
    <s v="Perdido"/>
    <d v="2026-04-10T00:00:00"/>
    <d v="1899-12-30T14:40:40"/>
    <s v="Projeto adiado / sem prazo definido"/>
    <s v=""/>
    <s v=""/>
    <x v="0"/>
    <s v="Paulo Souza"/>
    <x v="0"/>
    <s v=""/>
    <d v="2026-03-20T00:00:00"/>
    <n v="30"/>
    <s v=""/>
    <s v="ERP, AFV"/>
    <s v=""/>
    <s v=""/>
    <n v="1"/>
  </r>
  <r>
    <x v="1"/>
    <n v="1026"/>
    <m/>
    <n v="3390"/>
    <s v="14:10, 16/03/2026 Junior Lopes: Olá Rogerio, boa tarde ! _x000a_(27/03/2026) após varias tentativas sem retorno do Rogério , declinando oportunidade_x000a_Sou Junior Lopes da Guarani sistemas_x000a_14:11, 16/03/2026 Junior Lopes: estou retornando um contato que vc fez conosco_x000a_12:18, 19/03/2026 Junior Lopes: OLá Rogério ! tudo Bem ?_x000a_12:19, 19/03/2026 Junior Lopes: tem interesse em dar continuidade ?_x000a_(06/04/2026) varias tentativas de contato sem retorno"/>
    <s v=""/>
    <x v="523"/>
    <n v="35511300000110"/>
    <s v=""/>
    <s v="Vivazhigienização"/>
    <s v="82993812526"/>
    <s v=""/>
    <s v="progeriogomesxavier@gmail.comp"/>
    <s v=""/>
    <s v=""/>
    <s v=""/>
    <s v=""/>
    <s v=""/>
    <s v="Campanha"/>
    <s v=""/>
    <s v=""/>
    <s v="Dentro Perfil;Instagram"/>
    <s v="Pipeline de Vendas"/>
    <s v="Qualificação de Vendas (SQL) (25%)"/>
    <s v=""/>
    <d v="2026-03-31T00:00:00"/>
    <m/>
    <m/>
    <n v="54"/>
    <s v="Paulo Souza"/>
    <d v="2026-03-16T00:00:00"/>
    <d v="1899-12-30T13:53:57"/>
    <s v=""/>
    <s v="Perdido"/>
    <d v="2026-05-09T00:00:00"/>
    <d v="1899-12-30T07:59:08"/>
    <s v="Sem qualificação — contato não atende ligações nem responde msg"/>
    <s v=""/>
    <s v=""/>
    <x v="0"/>
    <s v="Junior Lopes"/>
    <x v="0"/>
    <s v=""/>
    <d v="2026-04-06T00:00:00"/>
    <n v="30"/>
    <s v=""/>
    <s v=""/>
    <s v=""/>
    <s v=""/>
    <n v="1"/>
  </r>
  <r>
    <x v="2"/>
    <n v="1027"/>
    <m/>
    <n v="3391"/>
    <s v=""/>
    <s v=""/>
    <x v="524"/>
    <m/>
    <s v=""/>
    <s v="Master"/>
    <s v="31994220888"/>
    <s v=""/>
    <s v="anibalsmoura@gmail.com"/>
    <s v=""/>
    <s v=""/>
    <s v=""/>
    <s v=""/>
    <s v=""/>
    <s v="Campanha"/>
    <s v=""/>
    <s v=""/>
    <s v="Dentro Perfil;Instagram"/>
    <s v="Pipeline de Vendas"/>
    <s v="Agendamento (0%)"/>
    <s v=""/>
    <d v="2026-07-31T00:00:00"/>
    <m/>
    <m/>
    <n v="54"/>
    <s v="Paulo Souza"/>
    <d v="2026-03-16T00:00:00"/>
    <d v="1899-12-30T13:54:58"/>
    <s v=""/>
    <s v="Perdido"/>
    <d v="2026-05-09T00:00:00"/>
    <d v="1899-12-30T21:12:46"/>
    <s v="Sem qualificação — contato não atende ligações nem responde msg"/>
    <s v=""/>
    <s v=""/>
    <x v="0"/>
    <s v="Rayssa Karapeticov"/>
    <x v="0"/>
    <s v=""/>
    <d v="2026-03-17T00:00:00"/>
    <n v="30"/>
    <s v=""/>
    <s v=""/>
    <s v=""/>
    <s v=""/>
    <n v="1"/>
  </r>
  <r>
    <x v="2"/>
    <n v="1029"/>
    <m/>
    <n v="3395"/>
    <s v="30.03 Tinhamos agendado uma apresentação na sexta-feira (27/03) porém o Vagner consultor da Guarani Cancelou e não avisaram o setor comercial. _x000a_Ao passar a informação de ultima hora de cancelamento para o cliente, não consegui reverte o atendimento _x000a_Cliente encerrou o contato com a Guarani Sistemas"/>
    <s v=""/>
    <x v="525"/>
    <n v="6864286000130"/>
    <s v=""/>
    <s v="Bruno"/>
    <s v="(48) 99677-1211"/>
    <s v=""/>
    <s v="bruno@alquimya.com.br"/>
    <s v=""/>
    <s v=""/>
    <s v=""/>
    <s v="Florianópolis"/>
    <s v=""/>
    <s v="Site"/>
    <s v=""/>
    <s v=""/>
    <s v=""/>
    <s v="Pipeline de Vendas"/>
    <s v="Apresentar Solução (35%)"/>
    <s v=""/>
    <d v="2026-05-31T00:00:00"/>
    <m/>
    <m/>
    <n v="13"/>
    <s v="Paulo Souza"/>
    <d v="2026-03-17T00:00:00"/>
    <d v="1899-12-30T15:45:42"/>
    <s v=""/>
    <s v="Perdido"/>
    <d v="2026-03-30T00:00:00"/>
    <d v="1899-12-30T15:55:01"/>
    <s v="Fechou com o concorrente - preço"/>
    <s v=""/>
    <s v=""/>
    <x v="0"/>
    <s v="Rayssa Karapeticov"/>
    <x v="0"/>
    <s v=""/>
    <d v="2026-03-30T00:00:00"/>
    <n v="30"/>
    <s v=""/>
    <s v="ERP, AFV, PCP"/>
    <s v=""/>
    <s v=""/>
    <n v="1"/>
  </r>
  <r>
    <x v="1"/>
    <n v="1030"/>
    <m/>
    <n v="3396"/>
    <s v="(23/06/2026) em contato com Leandro , atualmente o perfil é uma padaria e uma fabrica de pequeno porte de pão de alho ! enviei uma estimativa de valores mas achou que para o momento esta muito acima"/>
    <s v=""/>
    <x v="526"/>
    <m/>
    <s v=""/>
    <s v="Pão de alho"/>
    <s v="62985336869"/>
    <s v=""/>
    <s v="therabyte_go@hotmail.com"/>
    <s v=""/>
    <s v=""/>
    <s v=""/>
    <s v=""/>
    <s v=""/>
    <s v="Campanha"/>
    <s v=""/>
    <s v=""/>
    <s v="Fora Perfil;Instagram"/>
    <s v="Pipeline de Vendas"/>
    <s v="Qualificação de Vendas (SQL) (25%)"/>
    <s v=""/>
    <d v="2026-03-31T00:00:00"/>
    <m/>
    <m/>
    <n v="22"/>
    <s v="Paulo Souza"/>
    <d v="2026-03-17T00:00:00"/>
    <d v="1899-12-30T15:47:06"/>
    <s v=""/>
    <s v="Perdido"/>
    <d v="2026-04-08T00:00:00"/>
    <d v="1899-12-30T17:21:21"/>
    <s v="Fora do porte mínimo (sem fit estrutural)"/>
    <s v="(23/06/2026) em contato com Leandro , atualmente o perfil é uma padaria e uma fabrica de pequeno porte de pão de alho ! enviei uma estimativa de valores mas achou que para o momento esta muito acima"/>
    <s v=""/>
    <x v="0"/>
    <s v="Junior Lopes"/>
    <x v="0"/>
    <s v=""/>
    <d v="2026-03-23T00:00:00"/>
    <n v="30"/>
    <s v=""/>
    <s v=""/>
    <s v=""/>
    <s v=""/>
    <n v="1"/>
  </r>
  <r>
    <x v="0"/>
    <n v="1031"/>
    <m/>
    <n v="3397"/>
    <s v="18/03 Liguei para o Celso e ele não atendeu deixei recado no zap."/>
    <s v=""/>
    <x v="527"/>
    <n v="27742655000191"/>
    <s v=""/>
    <s v="Celso"/>
    <s v="21970038782"/>
    <s v=""/>
    <s v="gerencia@inovapet.com.br"/>
    <s v=""/>
    <s v=""/>
    <s v=""/>
    <s v=""/>
    <s v=""/>
    <s v="Campanha"/>
    <s v=""/>
    <s v=""/>
    <s v="Dentro Perfil;Instagram"/>
    <s v="Pipeline de Vendas"/>
    <s v="Qualificação de Vendas (SQL) (25%)"/>
    <s v=""/>
    <d v="2026-03-31T00:00:00"/>
    <m/>
    <m/>
    <n v="3"/>
    <s v="Paulo Souza"/>
    <d v="2026-03-17T00:00:00"/>
    <d v="1899-12-30T15:49:33"/>
    <s v=""/>
    <s v="Perdido"/>
    <d v="2026-03-20T00:00:00"/>
    <d v="1899-12-30T15:43:59"/>
    <s v="Fora do porte mínimo (sem fit estrutural)"/>
    <s v=""/>
    <s v=""/>
    <x v="0"/>
    <s v="Paulo Souza"/>
    <x v="0"/>
    <s v=""/>
    <m/>
    <n v="30"/>
    <s v=""/>
    <s v=""/>
    <s v=""/>
    <s v=""/>
    <n v="1"/>
  </r>
  <r>
    <x v="2"/>
    <n v="1032"/>
    <m/>
    <n v="3402"/>
    <s v="Cliente entrou em contato pelo suporte pedindo contato comercial apra falar sobre software, tentie ligar e mandie msg mas ainda não me retornou _x000a_31.03 - não atendeu,"/>
    <s v=""/>
    <x v="528"/>
    <n v="27742655000191"/>
    <s v=""/>
    <s v="Celso"/>
    <s v="(21) 3451-9599"/>
    <s v=""/>
    <s v="inovapet.adm@gmail.com"/>
    <s v=""/>
    <s v=""/>
    <s v=""/>
    <s v="DUQUE DE CAXIAS"/>
    <s v="RJ"/>
    <s v=""/>
    <s v=""/>
    <s v=""/>
    <s v=""/>
    <s v="Pipeline de Vendas"/>
    <s v="Agendamento (0%)"/>
    <s v=""/>
    <d v="2026-07-31T00:00:00"/>
    <m/>
    <m/>
    <n v="35"/>
    <s v="Rayssa Karapeticov"/>
    <d v="2026-03-18T00:00:00"/>
    <d v="1899-12-30T11:38:25"/>
    <s v=""/>
    <s v="Perdido"/>
    <d v="2026-04-22T00:00:00"/>
    <d v="1899-12-30T17:16:19"/>
    <s v="Não era o decisor - sem acesso"/>
    <s v=""/>
    <s v=""/>
    <x v="0"/>
    <s v="Rayssa Karapeticov"/>
    <x v="0"/>
    <s v=""/>
    <d v="2026-04-22T00:00:00"/>
    <n v="30"/>
    <s v=""/>
    <s v=""/>
    <s v=""/>
    <s v=""/>
    <n v="1"/>
  </r>
  <r>
    <x v="2"/>
    <n v="1033"/>
    <m/>
    <n v="3401"/>
    <s v="19.03 - CLiente estava em reunião, retornar o contato_x000a_20.03 cliente respondeu o formulário tentando agendar uma apresentação do ERp para o dia 31/03_x000a_30/03 - Fiz vários contato com o cliente para agendar uma apresentação e não tive retorno"/>
    <s v=""/>
    <x v="529"/>
    <n v="27251864000132"/>
    <s v=""/>
    <s v="Vinicius Primo"/>
    <s v="(19) 99959-1568"/>
    <s v=""/>
    <s v="engenharia@a2industrial.com.br"/>
    <s v=""/>
    <s v=""/>
    <s v=""/>
    <s v="Rio de Janeiro"/>
    <s v=""/>
    <s v="Site"/>
    <s v=""/>
    <s v=""/>
    <s v="Solicita demo"/>
    <s v="Pipeline de Vendas"/>
    <s v="Apresentar Solução (35%)"/>
    <s v=""/>
    <d v="2026-06-30T00:00:00"/>
    <m/>
    <m/>
    <n v="12"/>
    <s v="Paulo Souza"/>
    <d v="2026-03-18T00:00:00"/>
    <d v="1899-12-30T15:25:11"/>
    <s v=""/>
    <s v="Perdido"/>
    <d v="2026-03-30T00:00:00"/>
    <d v="1899-12-30T15:53:15"/>
    <s v="Projeto adiado / sem prazo definido"/>
    <s v=""/>
    <s v=""/>
    <x v="0"/>
    <s v="Rayssa Karapeticov"/>
    <x v="0"/>
    <s v=""/>
    <d v="2026-03-30T00:00:00"/>
    <n v="30"/>
    <s v=""/>
    <s v="ERP"/>
    <s v=""/>
    <s v=""/>
    <n v="1"/>
  </r>
  <r>
    <x v="1"/>
    <n v="1034"/>
    <m/>
    <n v="3400"/>
    <s v="(27/03/2026) Flavio não responde aos contatos"/>
    <s v=""/>
    <x v="530"/>
    <m/>
    <s v=""/>
    <s v="FM Negocios"/>
    <s v="11987194488"/>
    <s v=""/>
    <s v="fmsallas@gmail.com"/>
    <s v=""/>
    <s v=""/>
    <s v=""/>
    <s v=""/>
    <s v=""/>
    <s v="Campanha"/>
    <s v=""/>
    <s v=""/>
    <s v="Fora Perfil;Instagram"/>
    <s v="Pipeline de Vendas"/>
    <s v="Qualificação de Vendas (SQL) (25%)"/>
    <s v=""/>
    <d v="2026-03-31T00:00:00"/>
    <m/>
    <m/>
    <n v="21"/>
    <s v="Paulo Souza"/>
    <d v="2026-03-18T00:00:00"/>
    <d v="1899-12-30T15:26:48"/>
    <s v=""/>
    <s v="Perdido"/>
    <d v="2026-04-08T00:00:00"/>
    <d v="1899-12-30T17:22:35"/>
    <s v="Fora do porte mínimo (sem fit estrutural)"/>
    <s v="Flavio não responde aos contatos"/>
    <s v=""/>
    <x v="0"/>
    <s v="Junior Lopes"/>
    <x v="0"/>
    <s v=""/>
    <d v="2026-03-27T00:00:00"/>
    <n v="30"/>
    <s v=""/>
    <s v=""/>
    <s v=""/>
    <s v=""/>
    <n v="1"/>
  </r>
  <r>
    <x v="0"/>
    <n v="1035"/>
    <m/>
    <n v="3399"/>
    <s v="18/03 Fiz contato com o Itamar, sem retorno ate o momento._x000a_20/03 Falei com o Itamar esta na unimed ficamos de falar na próxima semana."/>
    <s v=""/>
    <x v="531"/>
    <m/>
    <s v=""/>
    <s v="Concreps"/>
    <s v="62984060714"/>
    <s v=""/>
    <s v="itamarbuenoadv@gmail.com"/>
    <s v=""/>
    <s v=""/>
    <s v=""/>
    <s v=""/>
    <s v=""/>
    <s v="Campanha"/>
    <s v=""/>
    <s v=""/>
    <s v="Dentro Perfil;Instagram"/>
    <s v="Pipeline de Vendas"/>
    <s v="Qualificação de Vendas (SQL) (25%)"/>
    <s v=""/>
    <d v="2026-03-31T00:00:00"/>
    <m/>
    <m/>
    <n v="52"/>
    <s v="Paulo Souza"/>
    <d v="2026-03-18T00:00:00"/>
    <d v="1899-12-30T15:27:53"/>
    <s v=""/>
    <s v="Perdido"/>
    <d v="2026-05-09T00:00:00"/>
    <d v="1899-12-30T08:02:23"/>
    <s v="Sem qualificação — contato não atende ligações nem responde msg"/>
    <s v=""/>
    <s v=""/>
    <x v="0"/>
    <s v="Paulo Souza"/>
    <x v="0"/>
    <s v=""/>
    <d v="2026-03-20T00:00:00"/>
    <n v="30"/>
    <s v=""/>
    <s v=""/>
    <s v=""/>
    <s v=""/>
    <n v="1"/>
  </r>
  <r>
    <x v="2"/>
    <n v="1037"/>
    <m/>
    <n v="3404"/>
    <s v="19.03 - Tentei contato por telefone, ligação por whatsapp e mensagem. _x000a_20.03 Convite enviado para Quarta (25/03) as 15h_x000a_Segue o link também:_x000a_https://teams.microsoft.com/meet/25533981257135?p=HZgs0XbZOVQrxgr3rL_x000a_24/03Realizamos uma apresentação do ERP, mas como o cliente é logista pediu uma previsão de investimento e achou o valor acima"/>
    <s v=""/>
    <x v="532"/>
    <m/>
    <s v=""/>
    <s v="Auto peças taurus"/>
    <s v="61981840031"/>
    <s v=""/>
    <s v="gustavoandreh@yahoo.com.br"/>
    <s v=""/>
    <s v=""/>
    <s v=""/>
    <s v=""/>
    <s v=""/>
    <s v="Campanha"/>
    <s v=""/>
    <s v=""/>
    <s v="Dentro Perfil;Instagram"/>
    <s v="Pipeline de Vendas"/>
    <s v="Apresentar Solução (35%)"/>
    <s v=""/>
    <d v="2026-03-31T00:00:00"/>
    <m/>
    <m/>
    <n v="51"/>
    <s v="Paulo Souza"/>
    <d v="2026-03-19T00:00:00"/>
    <d v="1899-12-30T10:26:22"/>
    <s v=""/>
    <s v="Perdido"/>
    <d v="2026-05-09T00:00:00"/>
    <d v="1899-12-30T21:07:24"/>
    <s v="Preço muito alto - fora do budget de investimento"/>
    <s v=""/>
    <s v=""/>
    <x v="200"/>
    <s v="Rayssa Karapeticov"/>
    <x v="219"/>
    <s v=""/>
    <d v="2026-03-24T00:00:00"/>
    <n v="30"/>
    <s v=""/>
    <s v=""/>
    <s v=""/>
    <s v=""/>
    <n v="1"/>
  </r>
  <r>
    <x v="1"/>
    <n v="1038"/>
    <m/>
    <n v="3405"/>
    <s v="11:55, 19/03/2026 Junior Lopes: Faz sentido para vocês ?_x000a_11:56, 19/03/2026 +55 35 9839-4949: Acredito que nao_x000a_12:02, 19/03/2026 +55 35 9839-4949: Distribuidor_x000a_12:02, 19/03/2026 +55 35 9839-4949: Frutas e legumes_x000a_12:03, 19/03/2026 Junior Lopes: E vc tem vendedores externos ?_x000a_12:09, 19/03/2026 +55 35 9839-4949: Somente 1"/>
    <s v=""/>
    <x v="533"/>
    <m/>
    <s v=""/>
    <s v="Grupo Kimura"/>
    <s v="35998394949"/>
    <s v=""/>
    <s v="veniltonsouza@hotmail.com"/>
    <s v=""/>
    <s v=""/>
    <s v=""/>
    <s v=""/>
    <s v=""/>
    <s v="Campanha"/>
    <s v=""/>
    <s v=""/>
    <s v="Fora Perfil;Instagram"/>
    <s v="Pipeline de Vendas"/>
    <s v="Qualificação de Vendas (SQL) (25%)"/>
    <s v=""/>
    <m/>
    <m/>
    <m/>
    <n v="0"/>
    <s v="Paulo Souza"/>
    <d v="2026-03-19T00:00:00"/>
    <d v="1899-12-30T10:29:59"/>
    <s v=""/>
    <s v="Perdido"/>
    <d v="2026-03-19T00:00:00"/>
    <d v="1899-12-30T12:15:59"/>
    <s v="Fora do porte mínimo (sem fit estrutural)"/>
    <s v="Cliente de porte muito pequeno"/>
    <s v=""/>
    <x v="0"/>
    <s v="Junior Lopes"/>
    <x v="0"/>
    <s v=""/>
    <m/>
    <n v="30"/>
    <s v=""/>
    <s v=""/>
    <s v=""/>
    <s v=""/>
    <n v="1"/>
  </r>
  <r>
    <x v="2"/>
    <n v="1040"/>
    <m/>
    <n v="3408"/>
    <s v="20.03 - Oi Raysa, bem e você?_x000a_Estou em viagem e só volto no final da próxima semana. _x000a_Podemos deixar para o meu retorno?_x000a_23.03 esta em viagem e retorna no final da proxima semana, agendando contato_x000a_31.03 retomamos o contato hoje _x000a_06.04 Eduardo pediu para entrar em contato com o Rafael, preciso entender o negócio deles."/>
    <s v=""/>
    <x v="534"/>
    <n v="40707794000142"/>
    <s v=""/>
    <s v="Aquatrat"/>
    <s v="71999081968"/>
    <s v=""/>
    <s v="eduardo@aquatrat.com.br"/>
    <s v=""/>
    <s v=""/>
    <s v=""/>
    <s v=""/>
    <s v=""/>
    <s v="Campanha"/>
    <s v=""/>
    <s v=""/>
    <s v="Fora Perfil;Instagram"/>
    <s v="Pipeline de Vendas"/>
    <s v="Agendamento (0%)"/>
    <s v=""/>
    <d v="2026-04-30T00:00:00"/>
    <m/>
    <m/>
    <n v="33"/>
    <s v="Paulo Souza"/>
    <d v="2026-03-20T00:00:00"/>
    <d v="1899-12-30T09:22:44"/>
    <s v=""/>
    <s v="Perdido"/>
    <d v="2026-04-22T00:00:00"/>
    <d v="1899-12-30T17:13:52"/>
    <s v="Fora do porte mínimo (sem fit estrutural)"/>
    <s v=""/>
    <s v=""/>
    <x v="0"/>
    <s v="Rayssa Karapeticov"/>
    <x v="0"/>
    <s v=""/>
    <d v="2026-04-22T00:00:00"/>
    <n v="30"/>
    <s v=""/>
    <s v=""/>
    <s v=""/>
    <s v=""/>
    <n v="1"/>
  </r>
  <r>
    <x v="2"/>
    <n v="1041"/>
    <m/>
    <n v="3409"/>
    <s v="20.03 não atendeu_x000a_Boa tarde Jairo, tudo bem?_x000a_Meu nome é Rayssa, sou da Guarani Sistemas, estou retornando seu contato interessado em software para a empresa VENTMAR Ventilação_x000a_podemos falar?_x000a_23.03 achou o investimento alto, é uma loja de bairro"/>
    <s v=""/>
    <x v="535"/>
    <m/>
    <s v=""/>
    <s v="VENTMAR Ventilacao"/>
    <s v="67999748649"/>
    <s v=""/>
    <s v="jairodsm@gmail.com"/>
    <s v=""/>
    <s v=""/>
    <s v=""/>
    <s v=""/>
    <s v=""/>
    <s v="Campanha"/>
    <s v=""/>
    <s v=""/>
    <s v="Fora Perfil;Instagram"/>
    <s v="Pipeline de Vendas"/>
    <s v="Agendamento (0%)"/>
    <s v=""/>
    <m/>
    <m/>
    <m/>
    <n v="50"/>
    <s v="Paulo Souza"/>
    <d v="2026-03-20T00:00:00"/>
    <d v="1899-12-30T15:28:44"/>
    <s v=""/>
    <s v="Perdido"/>
    <d v="2026-05-09T00:00:00"/>
    <d v="1899-12-30T21:09:38"/>
    <s v="Fora do porte mínimo (sem fit estrutural)"/>
    <s v=""/>
    <s v=""/>
    <x v="0"/>
    <s v="Rayssa Karapeticov"/>
    <x v="0"/>
    <s v=""/>
    <d v="2026-03-23T00:00:00"/>
    <n v="30"/>
    <s v=""/>
    <s v=""/>
    <s v=""/>
    <s v=""/>
    <n v="1"/>
  </r>
  <r>
    <x v="1"/>
    <n v="1044"/>
    <m/>
    <n v="3414"/>
    <s v="(27/03/2026) Após varias tentativas de contato com Afabio sem retorno ! estou declinando oportunidade"/>
    <s v=""/>
    <x v="536"/>
    <m/>
    <s v=""/>
    <s v="Vilela &amp; Vilela Ltda"/>
    <s v="9991419327"/>
    <s v=""/>
    <s v="afabio2016@gmail.com"/>
    <s v=""/>
    <s v=""/>
    <s v=""/>
    <s v=""/>
    <s v="Para"/>
    <s v="Inbound"/>
    <s v=""/>
    <s v=""/>
    <s v="Fora Perfil;Instagram;Perfil Indefinido"/>
    <s v="Pipeline de Vendas"/>
    <s v="Qualificação de Vendas (SQL) (25%)"/>
    <s v=""/>
    <d v="2026-03-24T00:00:00"/>
    <m/>
    <m/>
    <n v="16"/>
    <s v="Paulo Souza"/>
    <d v="2026-03-23T00:00:00"/>
    <d v="1899-12-30T13:47:48"/>
    <s v=""/>
    <s v="Perdido"/>
    <d v="2026-04-08T00:00:00"/>
    <d v="1899-12-30T17:20:11"/>
    <s v="Fora do porte mínimo (sem fit estrutural)"/>
    <s v="Após varias tentativas de contato com Afabio sem retorno ! estou declinando oportunidade"/>
    <s v=""/>
    <x v="0"/>
    <s v="Junior Lopes"/>
    <x v="0"/>
    <s v=""/>
    <d v="2026-03-23T00:00:00"/>
    <n v="30"/>
    <s v=""/>
    <s v=""/>
    <s v=""/>
    <s v=""/>
    <n v="1"/>
  </r>
  <r>
    <x v="2"/>
    <n v="1045"/>
    <m/>
    <n v="3412"/>
    <s v="24.03 - não consegui contato_x000a_06.04 - telefone não atende_x000a_11:28, 31/03/2026 Rayssa Karapeticov - Comercial - Guarani Sistemas: Bom dia Lucas, como vai?_x000a_Meu nome é Rayssa, sou da Guarani Sistemas. _x000a_Estou tentando contato com você para entender como as soluções da Guarani Sistemas podem atender a MaisMendes Distribuidora Materiais para construção_x000a_11:56, 06/04/2026 Rayssa Karapeticov - Comercial - Guarani Sistemas: Boa tarde Lucas, tudo bem? _x000a_Meu nome é Rayssa, sou da Guarani Sistemas. _x000a_Ainda faz sentido a procura de uma solução para sua empresa?_x000a_07.4"/>
    <s v=""/>
    <x v="537"/>
    <m/>
    <s v=""/>
    <s v="MaisMendes Distribuidora Materiais para construção"/>
    <s v="62993734302"/>
    <s v=""/>
    <s v="lucasmatheusmendes@outlook.com"/>
    <s v=""/>
    <s v=""/>
    <s v=""/>
    <s v=""/>
    <s v=""/>
    <s v="Campanha"/>
    <s v=""/>
    <s v=""/>
    <s v="Fora Perfil;Instagram"/>
    <s v="Pipeline de Vendas"/>
    <s v="Agendamento (0%)"/>
    <s v=""/>
    <d v="2026-04-30T00:00:00"/>
    <m/>
    <m/>
    <n v="15"/>
    <s v="Paulo Souza"/>
    <d v="2026-03-23T00:00:00"/>
    <d v="1899-12-30T13:49:09"/>
    <s v=""/>
    <s v="Perdido"/>
    <d v="2026-04-07T00:00:00"/>
    <d v="1899-12-30T09:36:31"/>
    <s v="Fora do porte mínimo (sem fit estrutural)"/>
    <s v=""/>
    <s v=""/>
    <x v="0"/>
    <s v="Rayssa Karapeticov"/>
    <x v="0"/>
    <s v=""/>
    <d v="2026-04-07T00:00:00"/>
    <n v="30"/>
    <s v=""/>
    <s v=""/>
    <s v=""/>
    <s v=""/>
    <n v="1"/>
  </r>
  <r>
    <x v="1"/>
    <n v="1046"/>
    <m/>
    <n v="3411"/>
    <s v="(23/03/2026) contato com Rafael _x000a_(27/03/2026) Rafael não responde aos contato"/>
    <s v=""/>
    <x v="538"/>
    <n v="32354207000150"/>
    <s v=""/>
    <s v="DISTRIBOM"/>
    <s v="27999328628"/>
    <s v=""/>
    <s v="rafaeldebossan@gmail.com"/>
    <s v=""/>
    <s v=""/>
    <s v=""/>
    <s v="VILA VELHA"/>
    <s v="ES"/>
    <s v="Campanha"/>
    <s v=""/>
    <s v=""/>
    <s v="Dentro Perfil;Instagram"/>
    <s v="Pipeline de Vendas"/>
    <s v="Qualificação de Vendas (SQL) (25%)"/>
    <s v=""/>
    <d v="2026-03-31T00:00:00"/>
    <m/>
    <m/>
    <n v="47"/>
    <s v="Paulo Souza"/>
    <d v="2026-03-23T00:00:00"/>
    <d v="1899-12-30T13:50:19"/>
    <s v=""/>
    <s v="Perdido"/>
    <d v="2026-05-09T00:00:00"/>
    <d v="1899-12-30T08:02:53"/>
    <s v="Sem qualificação — contato não atende ligações nem responde msg"/>
    <s v=""/>
    <s v=""/>
    <x v="0"/>
    <s v="Junior Lopes"/>
    <x v="0"/>
    <s v=""/>
    <d v="2026-03-27T00:00:00"/>
    <n v="30"/>
    <s v=""/>
    <s v=""/>
    <s v=""/>
    <s v=""/>
    <n v="1"/>
  </r>
  <r>
    <x v="1"/>
    <n v="1047"/>
    <m/>
    <n v="3417"/>
    <s v=""/>
    <s v=""/>
    <x v="539"/>
    <m/>
    <s v=""/>
    <s v="Preciza Imports"/>
    <s v="11947600755"/>
    <s v=""/>
    <s v="financeiro@precizaimports.com.br"/>
    <s v=""/>
    <s v=""/>
    <s v=""/>
    <s v=""/>
    <s v=""/>
    <s v=""/>
    <s v=""/>
    <s v=""/>
    <s v=""/>
    <s v="Pipeline de Vendas"/>
    <s v="Em Fechamento (100%)"/>
    <s v=""/>
    <m/>
    <n v="1652929"/>
    <n v="0"/>
    <n v="0"/>
    <s v="Junior Lopes"/>
    <d v="2026-03-24T00:00:00"/>
    <d v="1899-12-30T16:07:13"/>
    <s v=""/>
    <s v="Ganho"/>
    <d v="2026-03-24T00:00:00"/>
    <d v="1899-12-30T16:09:06"/>
    <s v=""/>
    <s v=""/>
    <s v=""/>
    <x v="84"/>
    <s v=""/>
    <x v="0"/>
    <s v=""/>
    <m/>
    <n v="90"/>
    <s v=""/>
    <s v=""/>
    <s v=""/>
    <s v=""/>
    <n v="1"/>
  </r>
  <r>
    <x v="1"/>
    <n v="1049"/>
    <m/>
    <n v="3420"/>
    <s v="(31/03/2026) Reciclanorte  tem algumas particularidades que fogem do nosso ERP"/>
    <s v=""/>
    <x v="540"/>
    <n v="33582253000170"/>
    <s v=""/>
    <s v="Mateus Ramos"/>
    <s v="(38) 9968-0779"/>
    <s v=""/>
    <s v="reciclanorte2@gmail.com"/>
    <s v=""/>
    <s v=""/>
    <s v=""/>
    <s v="PONTO CHIQUE"/>
    <s v="MG"/>
    <s v="Site"/>
    <s v=""/>
    <s v=""/>
    <s v="Contato;Fora Perfil"/>
    <s v="Pipeline de Vendas"/>
    <s v="Qualificação de Vendas (SQL) (25%)"/>
    <s v=""/>
    <d v="2026-03-31T00:00:00"/>
    <m/>
    <m/>
    <n v="7"/>
    <s v="Paulo Souza"/>
    <d v="2026-03-25T00:00:00"/>
    <d v="1899-12-30T16:31:34"/>
    <s v=""/>
    <s v="Perdido"/>
    <d v="2026-04-01T00:00:00"/>
    <d v="1899-12-30T10:29:40"/>
    <s v="Fora do porte mínimo (sem fit estrutural)"/>
    <s v="(31/03/2026) Reciclanorte  tem algumas particularidades que fogem do nosso ERP"/>
    <s v=""/>
    <x v="0"/>
    <s v="Junior Lopes"/>
    <x v="0"/>
    <s v=""/>
    <d v="2026-03-31T00:00:00"/>
    <n v="30"/>
    <s v=""/>
    <s v=""/>
    <s v=""/>
    <s v=""/>
    <n v="1"/>
  </r>
  <r>
    <x v="1"/>
    <n v="1050"/>
    <m/>
    <n v="3427"/>
    <s v="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
    <x v="541"/>
    <m/>
    <s v=""/>
    <s v="GlobalMix - Cloud"/>
    <s v="11988736515"/>
    <s v=""/>
    <s v="contabilgrupocrx@gmail.com"/>
    <s v=""/>
    <s v=""/>
    <s v=""/>
    <s v=""/>
    <s v=""/>
    <s v=""/>
    <s v=""/>
    <s v=""/>
    <s v=""/>
    <s v="Pipeline de Vendas"/>
    <s v="Apresentar Solução (35%)"/>
    <s v=""/>
    <m/>
    <n v="1600"/>
    <n v="252471"/>
    <n v="20"/>
    <s v="Junior Lopes"/>
    <d v="2026-03-26T00:00:00"/>
    <d v="1899-12-30T15:55:09"/>
    <s v=""/>
    <s v="Perdido"/>
    <d v="2026-04-15T00:00:00"/>
    <d v="1899-12-30T09:40:31"/>
    <s v="Não houve aprovação financeira"/>
    <s v="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
    <x v="194"/>
    <s v=""/>
    <x v="211"/>
    <s v=""/>
    <d v="2026-04-15T00:00:00"/>
    <n v="50"/>
    <s v=""/>
    <s v=""/>
    <s v=""/>
    <s v=""/>
    <n v="1"/>
  </r>
  <r>
    <x v="1"/>
    <n v="1051"/>
    <m/>
    <n v="3428"/>
    <s v="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
    <x v="542"/>
    <m/>
    <s v=""/>
    <s v="GlobalMix - B2B"/>
    <s v="11988736515"/>
    <s v=""/>
    <s v="contabilgrupocrx@gmail.com"/>
    <s v=""/>
    <s v=""/>
    <s v=""/>
    <s v=""/>
    <s v=""/>
    <s v=""/>
    <s v=""/>
    <s v=""/>
    <s v=""/>
    <s v="Pipeline de Vendas"/>
    <s v="Apresentar Solução (35%)"/>
    <s v=""/>
    <m/>
    <n v="13100"/>
    <n v="1800"/>
    <n v="20"/>
    <s v="Junior Lopes"/>
    <d v="2026-03-26T00:00:00"/>
    <d v="1899-12-30T15:59:11"/>
    <s v=""/>
    <s v="Perdido"/>
    <d v="2026-04-15T00:00:00"/>
    <d v="1899-12-30T09:36:41"/>
    <s v="Não houve aprovação financeira"/>
    <s v="10:07, 14/04/2026 Luccas Globalmix: Bom dia meu amigo, tudo bem? _x000a_Desculpe não te responder. Estou com alguns problemas de família e estive meio ausente. _x000a_Analisamos sua proposta e infelizmente ficou muito acima do que estávamos planejando nesse momento. _x000a_Desculpe a minha ignorância, mas não consegui compreender o motivo de um custo tão alto para a implementação de um ERP já existente. O custo que você me passou é basicamente o de desenvolver um novo sistema próprio. _x000a_Infelizmente nessas condições é inviável para nós nesse momento. _x000a_Agradeço pelo seu atendimento nas últimas semanas, foi extremamente atencioso. Espero que compreenda. _x000a_Obrigado_x000a_10:15, 14/04/2026 Junior Lopes: Bom dia, Luccas, tudo bem?_x000a_Primeiro, espero que as coisas com sua família se resolvam da melhor forma possível. Fica tranquilo quanto ao retorno, eu entendo perfeitamente._x000a_Sobre a sua colocação, agradeço muito a sinceridade. Só queria esclarecer um ponto importante: o valor apresentado não é para “desenvolver um sistema novo”, e sim para todo o trabalho de implantação e consultoria em cima de um ERP que já existe e que vocês já viram funcionando._x000a_O que está incluso nesse investimento é justamente o que vai fazer o sistema “virar realidade” dentro da Globalmix:_x000a_– entendimento dos processos de vocês;_x000a_– parametrização do ERP para a realidade da empresa;_x000a_– construção/ajuste dos relatórios que vocês precisam;_x000a_– validação e homologação do funcionamento antes de ir para produção;_x000a_– integração com a Lisa Log;_x000a_– e, principalmente, treinamento da equipe e acompanhamento na virada, para que todo mundo use da forma correta e o projeto traga resultado._x000a_Sem essa etapa de consultoria, o risco é ter um sistema bom, mas mal configurado ou pouco usado, o que acaba gerando retrabalho e perda de confiança na ferramenta – e é justamente isso que queremos evitar._x000a_Dito isso, eu entendo totalmente a questão de orçamento. Se fizer sentido para você, eu posso:_x000a_1) rever o escopo para enxugar etapas e tentar adequar o investimento ao momento da Globalmix; ou_x000a_2) pensar em uma implantação por fases, começando pelo essencial (comercial + força de vendas + básico de estoque) e deixando integrações e aprofundamentos para uma segunda etapa._x000a_Você se sentiria confortável em me dizer qual faixa de investimento vocês tinham planejado, para eu ver o que é possível ajustar com transparência?"/>
    <s v=""/>
    <x v="194"/>
    <s v=""/>
    <x v="221"/>
    <s v=""/>
    <d v="2026-04-15T00:00:00"/>
    <n v="50"/>
    <s v=""/>
    <s v=""/>
    <s v=""/>
    <s v=""/>
    <n v="1"/>
  </r>
  <r>
    <x v="2"/>
    <n v="1052"/>
    <m/>
    <n v="3423"/>
    <s v="31.03 caixa postal: Bom dia Murilo, como vai?_x000a_Meu nome é Rayssa, sou da Guarani Sistemas. _x000a_Estou tentando contato com você para entender como as soluções da Guarani Sistemas podem atender a JUNDCOAT_x000a_07.04 caixa postal"/>
    <s v=""/>
    <x v="543"/>
    <n v="48440778000148"/>
    <s v=""/>
    <s v="JUNDCOAT"/>
    <s v="11912958843"/>
    <s v=""/>
    <s v="murilo@jundcoat.com.br"/>
    <s v=""/>
    <s v=""/>
    <s v=""/>
    <s v=""/>
    <s v="Itupeva"/>
    <s v="Inbound"/>
    <s v=""/>
    <s v=""/>
    <s v="Dentro Perfil;Instagram"/>
    <s v="Pipeline de Vendas"/>
    <s v="Agendamento (0%)"/>
    <s v=""/>
    <d v="2026-03-31T00:00:00"/>
    <m/>
    <m/>
    <n v="44"/>
    <s v="Paulo Souza"/>
    <d v="2026-03-26T00:00:00"/>
    <d v="1899-12-30T16:53:38"/>
    <s v=""/>
    <s v="Perdido"/>
    <d v="2026-05-09T00:00:00"/>
    <d v="1899-12-30T08:37:27"/>
    <s v="Sem qualificação — contato não atende ligações nem responde msg"/>
    <s v=""/>
    <s v=""/>
    <x v="0"/>
    <s v="Rayssa Karapeticov"/>
    <x v="0"/>
    <s v=""/>
    <d v="2026-04-07T00:00:00"/>
    <n v="30"/>
    <s v=""/>
    <s v=""/>
    <s v=""/>
    <s v=""/>
    <n v="1"/>
  </r>
  <r>
    <x v="1"/>
    <n v="1053"/>
    <m/>
    <n v="3424"/>
    <s v="(26/03/2026) em contato com Joel"/>
    <s v=""/>
    <x v="544"/>
    <n v="4486490000139"/>
    <s v=""/>
    <s v="indukraft"/>
    <s v="47988227474"/>
    <s v=""/>
    <s v="joel@indukraft.com.br"/>
    <s v=""/>
    <s v=""/>
    <s v=""/>
    <s v=""/>
    <s v=""/>
    <s v="Campanha"/>
    <s v=""/>
    <s v=""/>
    <s v="Dentro Perfil;Instagram"/>
    <s v="Pipeline de Vendas"/>
    <s v="Qualificação de Vendas (SQL) (25%)"/>
    <s v=""/>
    <d v="2026-03-26T00:00:00"/>
    <m/>
    <m/>
    <n v="55"/>
    <s v="Paulo Souza"/>
    <d v="2026-03-26T00:00:00"/>
    <d v="1899-12-30T16:56:07"/>
    <s v=""/>
    <s v="Ativo"/>
    <m/>
    <m/>
    <s v=""/>
    <s v=""/>
    <s v=""/>
    <x v="0"/>
    <s v="Junior Lopes"/>
    <x v="0"/>
    <s v=""/>
    <m/>
    <n v="30"/>
    <s v=""/>
    <s v=""/>
    <s v=""/>
    <s v=""/>
    <n v="1"/>
  </r>
  <r>
    <x v="2"/>
    <n v="1054"/>
    <m/>
    <n v="3425"/>
    <s v="30.03 pediu uma apresentação e valores. _x000a_Falei que preciso conhecer a empresa dele e entender a razão de procurar um novo software para empresa_x000a_Estavamos avançando com a conversa_x000a_01.04 - Não atendeu _x000a_Boa tarde Milton, tudo bem?_x000a_Fez sentido para sua operação as informações que passei?_x000a_06.04 - não atende e não retorna contato"/>
    <s v=""/>
    <x v="545"/>
    <m/>
    <s v=""/>
    <s v="B&amp;G Comércio de Sinalização e Materiais de Construção"/>
    <s v="11984731999"/>
    <s v=""/>
    <s v="milton-bernardo@uol.com.br"/>
    <s v=""/>
    <s v=""/>
    <s v=""/>
    <s v=""/>
    <s v="Caieiras"/>
    <s v="Inbound"/>
    <s v=""/>
    <s v=""/>
    <s v="Fora Perfil;Instagram"/>
    <s v="Pipeline de Vendas"/>
    <s v="Agendamento (0%)"/>
    <s v=""/>
    <d v="2026-03-26T00:00:00"/>
    <m/>
    <m/>
    <n v="11"/>
    <s v="Paulo Souza"/>
    <d v="2026-03-26T00:00:00"/>
    <d v="1899-12-30T16:58:49"/>
    <s v=""/>
    <s v="Perdido"/>
    <d v="2026-04-06T00:00:00"/>
    <d v="1899-12-30T12:44:35"/>
    <s v="Fora do porte mínimo (sem fit estrutural)"/>
    <s v=""/>
    <s v=""/>
    <x v="0"/>
    <s v="Rayssa Karapeticov"/>
    <x v="0"/>
    <s v=""/>
    <d v="2026-04-01T00:00:00"/>
    <n v="30"/>
    <s v=""/>
    <s v=""/>
    <s v=""/>
    <s v=""/>
    <n v="1"/>
  </r>
  <r>
    <x v="2"/>
    <n v="1055"/>
    <m/>
    <n v="3429"/>
    <s v="30.03 - lojista de material de construção"/>
    <s v=""/>
    <x v="546"/>
    <m/>
    <s v=""/>
    <s v="Leondilmo mat const ltda"/>
    <s v="61999781085"/>
    <s v=""/>
    <s v="leondilmo@hotmail.com"/>
    <s v=""/>
    <s v=""/>
    <s v=""/>
    <s v=""/>
    <s v=""/>
    <s v="Campanha"/>
    <s v=""/>
    <s v=""/>
    <s v="Fora Perfil;Instagram"/>
    <s v="Pipeline de Vendas"/>
    <s v="Agendamento (0%)"/>
    <s v=""/>
    <d v="2026-03-31T00:00:00"/>
    <m/>
    <m/>
    <n v="3"/>
    <s v="Paulo Souza"/>
    <d v="2026-03-27T00:00:00"/>
    <d v="1899-12-30T10:18:25"/>
    <s v=""/>
    <s v="Perdido"/>
    <d v="2026-03-30T00:00:00"/>
    <d v="1899-12-30T17:43:09"/>
    <s v="Fora do porte mínimo (sem fit estrutural)"/>
    <s v=""/>
    <s v=""/>
    <x v="0"/>
    <s v="Rayssa Karapeticov"/>
    <x v="0"/>
    <s v=""/>
    <d v="2026-03-30T00:00:00"/>
    <n v="30"/>
    <s v=""/>
    <s v=""/>
    <s v=""/>
    <s v=""/>
    <n v="1"/>
  </r>
  <r>
    <x v="1"/>
    <n v="1059"/>
    <m/>
    <n v="3455"/>
    <s v="(30/03/2026) Alinhando visita presencial com Thiago"/>
    <s v=""/>
    <x v="547"/>
    <m/>
    <s v=""/>
    <s v="Banana Toys - Cloud"/>
    <s v="1532835196"/>
    <s v=""/>
    <s v="faturamento@bananatoys.com.br"/>
    <s v=""/>
    <s v=""/>
    <s v=""/>
    <s v=""/>
    <s v=""/>
    <s v=""/>
    <s v=""/>
    <s v=""/>
    <s v=""/>
    <s v="Pipeline de Vendas"/>
    <s v="Em negociação (75%)"/>
    <s v=""/>
    <m/>
    <n v="1600"/>
    <n v="384454"/>
    <n v="51"/>
    <s v="Junior Lopes"/>
    <d v="2026-03-30T00:00:00"/>
    <d v="1899-12-30T15:20:04"/>
    <s v=""/>
    <s v="Ativo"/>
    <m/>
    <m/>
    <s v=""/>
    <s v=""/>
    <s v=""/>
    <x v="197"/>
    <s v=""/>
    <x v="222"/>
    <s v=""/>
    <d v="2026-03-30T00:00:00"/>
    <n v="50"/>
    <s v=""/>
    <s v=""/>
    <s v=""/>
    <s v=""/>
    <n v="1"/>
  </r>
  <r>
    <x v="1"/>
    <n v="1060"/>
    <m/>
    <n v="3460"/>
    <s v=""/>
    <s v=""/>
    <x v="548"/>
    <m/>
    <s v=""/>
    <s v="Util Ud - PCP / WMS"/>
    <s v="19974080034"/>
    <s v=""/>
    <s v="null"/>
    <s v=""/>
    <s v=""/>
    <s v=""/>
    <s v=""/>
    <s v=""/>
    <s v=""/>
    <s v=""/>
    <s v=""/>
    <s v=""/>
    <s v="Pipeline de Vendas"/>
    <s v="Em negociação (75%)"/>
    <s v=""/>
    <m/>
    <n v="34236"/>
    <n v="42768"/>
    <n v="51"/>
    <s v="Junior Lopes"/>
    <d v="2026-03-30T00:00:00"/>
    <d v="1899-12-30T16:14:02"/>
    <s v=""/>
    <s v="Ativo"/>
    <m/>
    <m/>
    <s v=""/>
    <s v=""/>
    <s v=""/>
    <x v="201"/>
    <s v=""/>
    <x v="223"/>
    <s v=""/>
    <m/>
    <n v="50"/>
    <s v=""/>
    <s v=""/>
    <s v=""/>
    <s v=""/>
    <n v="1"/>
  </r>
  <r>
    <x v="1"/>
    <n v="1061"/>
    <m/>
    <n v="3466"/>
    <s v="(24/04/2026) orçamento não aprovado"/>
    <s v=""/>
    <x v="549"/>
    <m/>
    <s v=""/>
    <s v="Weck - Horas"/>
    <s v="11947895866"/>
    <s v=""/>
    <s v="null"/>
    <s v=""/>
    <s v=""/>
    <s v=""/>
    <s v=""/>
    <s v=""/>
    <s v=""/>
    <s v=""/>
    <s v=""/>
    <s v=""/>
    <s v="Pipeline de Vendas"/>
    <s v="Apresentar Proposta (50%)"/>
    <s v=""/>
    <m/>
    <n v="13568"/>
    <n v="0"/>
    <n v="25"/>
    <s v="Junior Lopes"/>
    <d v="2026-03-30T00:00:00"/>
    <d v="1899-12-30T16:39:07"/>
    <s v=""/>
    <s v="Perdido"/>
    <d v="2026-04-24T00:00:00"/>
    <d v="1899-12-30T10:11:23"/>
    <s v="Não houve aprovação financeira"/>
    <s v="(24/04/2026) orçamento não aprovado"/>
    <s v=""/>
    <x v="202"/>
    <s v=""/>
    <x v="224"/>
    <s v=""/>
    <d v="2026-04-24T00:00:00"/>
    <n v="30"/>
    <s v=""/>
    <s v=""/>
    <s v=""/>
    <s v=""/>
    <n v="1"/>
  </r>
  <r>
    <x v="1"/>
    <n v="1062"/>
    <m/>
    <n v="3093"/>
    <s v=""/>
    <s v=""/>
    <x v="550"/>
    <n v="53629067000156"/>
    <s v=""/>
    <s v="Claudio Teixeira"/>
    <s v="(43) 99669-3593"/>
    <s v=""/>
    <s v="claudioteixeirasap@hotmail.com"/>
    <s v=""/>
    <s v=""/>
    <s v=""/>
    <s v="CONSELHEIRO MAIRINCK"/>
    <s v="PR"/>
    <s v="Site"/>
    <s v=""/>
    <s v=""/>
    <s v="Solicita demo"/>
    <s v="Pipeline de Vendas"/>
    <s v="Apresentar Proposta (50%)"/>
    <s v=""/>
    <m/>
    <n v="68743"/>
    <n v="143186"/>
    <n v="0"/>
    <s v="Junior Lopes"/>
    <d v="2026-03-30T00:00:00"/>
    <d v="1899-12-30T17:23:13"/>
    <s v=""/>
    <s v="Perdido"/>
    <d v="2026-03-30T00:00:00"/>
    <d v="1899-12-30T17:46:58"/>
    <s v="Não houve aprovação financeira"/>
    <s v="Claudio achou o valor muito acima para investimento"/>
    <s v=""/>
    <x v="160"/>
    <s v=""/>
    <x v="173"/>
    <s v=""/>
    <m/>
    <n v="30"/>
    <s v=""/>
    <s v=""/>
    <s v=""/>
    <s v=""/>
    <n v="1"/>
  </r>
  <r>
    <x v="1"/>
    <n v="1063"/>
    <m/>
    <n v="3467"/>
    <s v=""/>
    <s v=""/>
    <x v="551"/>
    <m/>
    <s v=""/>
    <s v="Casabella Claudio Teixeira - Cloud"/>
    <s v="43996693593"/>
    <s v=""/>
    <s v="null"/>
    <s v=""/>
    <s v=""/>
    <s v=""/>
    <s v=""/>
    <s v=""/>
    <s v=""/>
    <s v=""/>
    <s v=""/>
    <s v=""/>
    <s v="Pipeline de Vendas"/>
    <s v="Apresentar Proposta (50%)"/>
    <s v=""/>
    <m/>
    <n v="1600"/>
    <n v="252471"/>
    <n v="0"/>
    <s v="Junior Lopes"/>
    <d v="2026-03-30T00:00:00"/>
    <d v="1899-12-30T17:41:36"/>
    <s v=""/>
    <s v="Perdido"/>
    <d v="2026-03-30T00:00:00"/>
    <d v="1899-12-30T17:47:37"/>
    <s v="Não houve aprovação financeira"/>
    <s v="Claudio achou o valor muito acima para investimento"/>
    <s v=""/>
    <x v="203"/>
    <s v=""/>
    <x v="173"/>
    <s v="27/03/2026 00:00"/>
    <m/>
    <n v="30"/>
    <s v=""/>
    <s v=""/>
    <s v=""/>
    <s v=""/>
    <n v="1"/>
  </r>
  <r>
    <x v="2"/>
    <n v="1064"/>
    <m/>
    <n v="3446"/>
    <s v="31.03 - Caixa Postal - Bom dia Anderson, como vai?_x000a_Meu nome é Rayssa, sou da Guarani Sistemas. _x000a_Estou tentando contato com você para entender como as soluções da Guarani Sistemas podem atender a Distribuidora Anderson Corrado_x000a_01.04 - caixa postal_x000a_07.04 encerrando por falta de retorno"/>
    <s v=""/>
    <x v="552"/>
    <m/>
    <s v=""/>
    <s v="Anderson Corrado"/>
    <s v="31971564261"/>
    <s v=""/>
    <s v="andersoncorrado@gmail.com"/>
    <s v=""/>
    <s v=""/>
    <s v=""/>
    <s v=""/>
    <s v=""/>
    <s v="Campanha"/>
    <s v=""/>
    <s v=""/>
    <s v="Fora Perfil;Instagram"/>
    <s v="Pipeline de Vendas"/>
    <s v="Agendamento (0%)"/>
    <s v=""/>
    <d v="2026-04-30T00:00:00"/>
    <m/>
    <m/>
    <n v="7"/>
    <s v="Paulo Souza"/>
    <d v="2026-03-31T00:00:00"/>
    <d v="1899-12-30T10:18:31"/>
    <s v=""/>
    <s v="Perdido"/>
    <d v="2026-04-07T00:00:00"/>
    <d v="1899-12-30T09:12:54"/>
    <s v="Fora do porte mínimo (sem fit estrutural)"/>
    <s v=""/>
    <s v=""/>
    <x v="0"/>
    <s v="Rayssa Karapeticov"/>
    <x v="0"/>
    <s v=""/>
    <d v="2026-04-01T00:00:00"/>
    <n v="30"/>
    <s v=""/>
    <s v=""/>
    <s v=""/>
    <s v=""/>
    <n v="1"/>
  </r>
  <r>
    <x v="1"/>
    <n v="1065"/>
    <m/>
    <n v="3447"/>
    <s v="(31/03/2026) cliente de loja porte pequeno , fora do perfil"/>
    <s v=""/>
    <x v="553"/>
    <m/>
    <s v=""/>
    <s v="nat art papelaria"/>
    <s v="15991197046"/>
    <s v=""/>
    <s v="cricanicolete@gmail.com"/>
    <s v=""/>
    <s v=""/>
    <s v=""/>
    <s v=""/>
    <s v="Sorocaba"/>
    <s v="Inbound"/>
    <s v=""/>
    <s v=""/>
    <s v="Fora Perfil;Instagram"/>
    <s v="Pipeline de Vendas"/>
    <s v="Agendamento (0%)"/>
    <s v=""/>
    <d v="2026-03-31T00:00:00"/>
    <m/>
    <m/>
    <n v="0"/>
    <s v="Paulo Souza"/>
    <d v="2026-03-31T00:00:00"/>
    <d v="1899-12-30T10:23:46"/>
    <s v=""/>
    <s v="Perdido"/>
    <d v="2026-03-31T00:00:00"/>
    <d v="1899-12-30T14:56:07"/>
    <s v="Fora do porte mínimo (sem fit estrutural)"/>
    <s v="(31/03/2026) cliente de loja porte pequeno , fora do perfil"/>
    <s v=""/>
    <x v="0"/>
    <s v="Junior Lopes"/>
    <x v="0"/>
    <s v=""/>
    <m/>
    <n v="30"/>
    <s v=""/>
    <s v=""/>
    <s v=""/>
    <s v=""/>
    <n v="1"/>
  </r>
  <r>
    <x v="1"/>
    <n v="1066"/>
    <m/>
    <n v="3448"/>
    <s v="(31/03/2026) em contato com Fernando _x000a_(06/04/2026) declinando por falta de retorno"/>
    <s v=""/>
    <x v="554"/>
    <n v="4827674000115"/>
    <s v=""/>
    <s v="Forte e Limpo"/>
    <s v="(73) 3027-3546"/>
    <s v=""/>
    <s v="forteelimpo@gmail.com"/>
    <s v=""/>
    <s v=""/>
    <s v=""/>
    <s v="ITABUNA"/>
    <s v="BA"/>
    <s v="Campanha"/>
    <s v=""/>
    <s v=""/>
    <s v="Dentro Perfil;Instagram"/>
    <s v="Pipeline de Vendas"/>
    <s v="Qualificação de Vendas (SQL) (25%)"/>
    <s v=""/>
    <m/>
    <m/>
    <m/>
    <n v="39"/>
    <s v="Paulo Souza"/>
    <d v="2026-03-31T00:00:00"/>
    <d v="1899-12-30T10:32:04"/>
    <s v=""/>
    <s v="Perdido"/>
    <d v="2026-05-09T00:00:00"/>
    <d v="1899-12-30T08:03:53"/>
    <s v="Sem qualificação — contato não atende ligações nem responde msg"/>
    <s v=""/>
    <s v=""/>
    <x v="0"/>
    <s v="Junior Lopes"/>
    <x v="0"/>
    <s v=""/>
    <d v="2026-04-06T00:00:00"/>
    <n v="30"/>
    <s v=""/>
    <s v=""/>
    <s v=""/>
    <s v=""/>
    <n v="1"/>
  </r>
  <r>
    <x v="2"/>
    <n v="1067"/>
    <m/>
    <n v="3468"/>
    <s v="31.03 é uma corretora e agentes de seguros, de planos de previdência complementar e de saúde."/>
    <s v=""/>
    <x v="555"/>
    <n v="50649054000150"/>
    <s v=""/>
    <s v="Finance coop LTDA"/>
    <s v="(21) 9310-5614"/>
    <s v=""/>
    <s v="financecorporacao@gmail.com"/>
    <s v=""/>
    <s v=""/>
    <s v=""/>
    <s v="RIO DE JANEIRO"/>
    <s v="RJ"/>
    <s v="Inbound"/>
    <s v=""/>
    <s v=""/>
    <s v="Fora Perfil;Instagram"/>
    <s v="Pipeline de Vendas"/>
    <s v="Agendamento (0%)"/>
    <s v=""/>
    <m/>
    <m/>
    <m/>
    <n v="0"/>
    <s v="Paulo Souza"/>
    <d v="2026-03-31T00:00:00"/>
    <d v="1899-12-30T10:35:35"/>
    <s v=""/>
    <s v="Perdido"/>
    <d v="2026-03-31T00:00:00"/>
    <d v="1899-12-30T15:20:34"/>
    <s v="Fora do porte mínimo (sem fit estrutural)"/>
    <s v=""/>
    <s v=""/>
    <x v="0"/>
    <s v="Rayssa Karapeticov"/>
    <x v="0"/>
    <s v=""/>
    <m/>
    <n v="30"/>
    <s v=""/>
    <s v=""/>
    <s v=""/>
    <s v=""/>
    <n v="1"/>
  </r>
  <r>
    <x v="1"/>
    <n v="1068"/>
    <m/>
    <n v="3471"/>
    <s v="(20/04/2026) em contato com Edson , informou que Baag vai manter servidor local devido ao alto investimento"/>
    <s v=""/>
    <x v="556"/>
    <m/>
    <s v=""/>
    <s v="Baag - Cloud"/>
    <s v="(75) 3021-7768"/>
    <s v=""/>
    <s v="null"/>
    <s v=""/>
    <s v=""/>
    <s v=""/>
    <s v=""/>
    <s v=""/>
    <s v=""/>
    <s v=""/>
    <s v=""/>
    <s v=""/>
    <s v="Pipeline de Vendas"/>
    <s v="Apresentar Proposta (50%)"/>
    <s v=""/>
    <m/>
    <n v="1600"/>
    <n v="384454"/>
    <n v="20"/>
    <s v="Junior Lopes"/>
    <d v="2026-03-31T00:00:00"/>
    <d v="1899-12-30T15:16:59"/>
    <s v=""/>
    <s v="Perdido"/>
    <d v="2026-04-20T00:00:00"/>
    <d v="1899-12-30T11:51:43"/>
    <s v="Não houve aprovação financeira"/>
    <s v="(20/04/2026) em contato com Edson , informou que Baag vai manter servidor local devido ao alto investimento"/>
    <s v=""/>
    <x v="194"/>
    <s v=""/>
    <x v="218"/>
    <s v=""/>
    <d v="2026-04-20T00:00:00"/>
    <n v="50"/>
    <s v=""/>
    <s v=""/>
    <s v=""/>
    <s v=""/>
    <n v="1"/>
  </r>
  <r>
    <x v="1"/>
    <n v="1069"/>
    <m/>
    <n v="3472"/>
    <s v=""/>
    <s v=""/>
    <x v="557"/>
    <m/>
    <s v=""/>
    <s v="Baag - Televendas"/>
    <s v="7530217768"/>
    <s v=""/>
    <s v="null"/>
    <s v=""/>
    <s v=""/>
    <s v=""/>
    <s v=""/>
    <s v=""/>
    <s v=""/>
    <s v=""/>
    <s v=""/>
    <s v=""/>
    <s v="Pipeline de Vendas"/>
    <s v="Apresentar Proposta (50%)"/>
    <s v=""/>
    <m/>
    <n v="8480"/>
    <n v="3564"/>
    <n v="24"/>
    <s v="Junior Lopes"/>
    <d v="2026-03-31T00:00:00"/>
    <d v="1899-12-30T15:37:28"/>
    <s v=""/>
    <s v="Perdido"/>
    <d v="2026-04-24T00:00:00"/>
    <d v="1899-12-30T10:06:18"/>
    <s v="Não houve aprovação financeira"/>
    <s v="24/04/2026) Edson falou com diretoria e achou valor alto para o momento"/>
    <s v=""/>
    <x v="204"/>
    <s v=""/>
    <x v="225"/>
    <s v=""/>
    <m/>
    <n v="30"/>
    <s v=""/>
    <s v=""/>
    <s v=""/>
    <s v=""/>
    <n v="1"/>
  </r>
  <r>
    <x v="1"/>
    <n v="1072"/>
    <m/>
    <n v="3474"/>
    <s v="(01/04/2026) Badux é uma auto elétrica que que faz manutenção e venda de peças no balcão (lojista)"/>
    <s v=""/>
    <x v="558"/>
    <n v="27728774000190"/>
    <s v=""/>
    <s v="Badux auto eletrica"/>
    <s v="(95) 9142-2588"/>
    <s v=""/>
    <s v="fabianoggsilva@hotmail.com"/>
    <s v=""/>
    <s v=""/>
    <s v=""/>
    <s v="BOA VISTA"/>
    <s v="RR"/>
    <s v="Inbound"/>
    <s v=""/>
    <s v=""/>
    <s v="Fora Perfil;Instagram"/>
    <s v="Pipeline de Vendas"/>
    <s v="Agendamento (0%)"/>
    <s v=""/>
    <m/>
    <m/>
    <m/>
    <n v="0"/>
    <s v="Paulo Souza"/>
    <d v="2026-04-01T00:00:00"/>
    <d v="1899-12-30T11:45:05"/>
    <s v=""/>
    <s v="Perdido"/>
    <d v="2026-04-01T00:00:00"/>
    <d v="1899-12-30T15:25:26"/>
    <s v="Fora do porte mínimo (sem fit estrutural)"/>
    <s v="(01/04/2026) Badux é uma auto elétrica que que faz manutenção e venda de peças no balcão (lojista)"/>
    <s v=""/>
    <x v="0"/>
    <s v="Junior Lopes"/>
    <x v="0"/>
    <s v=""/>
    <m/>
    <n v="30"/>
    <s v=""/>
    <s v=""/>
    <s v=""/>
    <s v=""/>
    <n v="1"/>
  </r>
  <r>
    <x v="1"/>
    <n v="1073"/>
    <m/>
    <n v="3479"/>
    <s v="(07/04/2026) tentativas de contato sem sucesso , em analise sobre verifiquei que é um empresa de lavanderia ! fora do perfil"/>
    <s v=""/>
    <x v="559"/>
    <n v="667476000261"/>
    <s v=""/>
    <s v="Ciape Distribuidora De Peças"/>
    <s v="44988361402"/>
    <s v=""/>
    <s v="rodrigo@lavinorte.com.br"/>
    <s v=""/>
    <s v=""/>
    <s v=""/>
    <s v=""/>
    <s v=""/>
    <s v="Campanha"/>
    <s v=""/>
    <s v=""/>
    <s v="Fora Perfil;Instagram"/>
    <s v="Pipeline de Vendas"/>
    <s v="Qualificação de Vendas (SQL) (25%)"/>
    <s v=""/>
    <m/>
    <m/>
    <m/>
    <n v="1"/>
    <s v="Paulo Souza"/>
    <d v="2026-04-06T00:00:00"/>
    <d v="1899-12-30T11:20:09"/>
    <s v=""/>
    <s v="Perdido"/>
    <d v="2026-04-07T00:00:00"/>
    <d v="1899-12-30T16:31:35"/>
    <s v="Fora do porte mínimo (sem fit estrutural)"/>
    <s v="(07/04/2026) tentativas de contato sem sucesso , em analise sobre verifiquei que é um empresa de lavanderia ! fora do perfil"/>
    <s v=""/>
    <x v="0"/>
    <s v="Junior Lopes"/>
    <x v="0"/>
    <s v=""/>
    <d v="2026-04-07T00:00:00"/>
    <n v="30"/>
    <s v=""/>
    <s v=""/>
    <s v=""/>
    <s v=""/>
    <n v="1"/>
  </r>
  <r>
    <x v="2"/>
    <n v="1074"/>
    <m/>
    <n v="3478"/>
    <s v="06.04 Liguei, pediu para chamar no whatsapp_x000a_Boa tarde Leandro, tudo bem?_x000a_Meu nome é Rayssa, sou da Guarani Sistemas. _x000a_Acabei de te liga rpara entender sua necessidade quanton as soluções da Guarani Sistemas. _x000a_Como posso te ajudar?"/>
    <s v=""/>
    <x v="560"/>
    <n v="34777766000107"/>
    <s v=""/>
    <s v="Tecalhas"/>
    <s v="(32) 3551-6365"/>
    <s v=""/>
    <s v="contato@realcontabilidadevrb.com.br"/>
    <s v=""/>
    <s v=""/>
    <s v=""/>
    <s v="VISCONDE DO RIO BRANCO"/>
    <s v="MG"/>
    <s v="Campanha"/>
    <s v=""/>
    <s v=""/>
    <s v="Fora Perfil;Instagram"/>
    <s v="Pipeline de Vendas"/>
    <s v="Agendamento (0%)"/>
    <s v=""/>
    <m/>
    <m/>
    <m/>
    <n v="33"/>
    <s v="Paulo Souza"/>
    <d v="2026-04-06T00:00:00"/>
    <d v="1899-12-30T11:21:52"/>
    <s v=""/>
    <s v="Perdido"/>
    <d v="2026-05-09T00:00:00"/>
    <d v="1899-12-30T08:38:25"/>
    <s v="Sem qualificação — contato não atende ligações nem responde msg"/>
    <s v=""/>
    <s v=""/>
    <x v="0"/>
    <s v="Rayssa Karapeticov"/>
    <x v="0"/>
    <s v=""/>
    <d v="2026-04-07T00:00:00"/>
    <n v="27"/>
    <s v=""/>
    <s v=""/>
    <s v=""/>
    <s v=""/>
    <n v="1"/>
  </r>
  <r>
    <x v="1"/>
    <n v="1075"/>
    <m/>
    <n v="3480"/>
    <s v="(06/04/2026) em contato com Thamires _x000a_(06/04/2026) Thamires não responde a ligação e e mensagens ! estou descartando o lead , falta muita informação como a razão social do cliente, endereço , CNPJ ! impossível fazer  uma pesquisa sobre o cliente"/>
    <s v=""/>
    <x v="561"/>
    <m/>
    <s v=""/>
    <s v="Eletro+"/>
    <s v="22997047181"/>
    <s v=""/>
    <s v="thamirestelleseriscado@hotmail.com"/>
    <s v=""/>
    <s v=""/>
    <s v=""/>
    <s v=""/>
    <s v=""/>
    <s v="Campanha"/>
    <s v=""/>
    <s v=""/>
    <s v="Fora Perfil;Instagram"/>
    <s v="Pipeline de Vendas"/>
    <s v="Agendamento (0%)"/>
    <s v=""/>
    <m/>
    <m/>
    <m/>
    <n v="0"/>
    <s v="Paulo Souza"/>
    <d v="2026-04-06T00:00:00"/>
    <d v="1899-12-30T11:23:42"/>
    <s v=""/>
    <s v="Perdido"/>
    <d v="2026-04-06T00:00:00"/>
    <d v="1899-12-30T17:17:27"/>
    <s v="Fora do porte mínimo (sem fit estrutural)"/>
    <s v="(06/04/2026) Thamires não responde a ligação e e mensagens ! estou descartando o lead , falta muita informação como a razão social do cliente, endereço , CNPJ ! impossível fazer  uma pesquisa sobre o cliente"/>
    <s v=""/>
    <x v="0"/>
    <s v="Junior Lopes"/>
    <x v="0"/>
    <s v=""/>
    <m/>
    <n v="30"/>
    <s v=""/>
    <s v=""/>
    <s v=""/>
    <s v=""/>
    <n v="1"/>
  </r>
  <r>
    <x v="2"/>
    <n v="1076"/>
    <m/>
    <n v="3482"/>
    <s v="06.04 - telefone errado"/>
    <s v=""/>
    <x v="562"/>
    <m/>
    <s v=""/>
    <s v="pra mim mesmo"/>
    <s v="4694441158"/>
    <s v=""/>
    <s v="t.marcio@hotmail.com"/>
    <s v=""/>
    <s v=""/>
    <s v=""/>
    <s v=""/>
    <s v=""/>
    <s v="Campanha"/>
    <s v=""/>
    <s v=""/>
    <s v="Fora Perfil;Instagram"/>
    <s v="Pipeline de Vendas"/>
    <s v="Agendamento (0%)"/>
    <s v=""/>
    <m/>
    <m/>
    <m/>
    <n v="1"/>
    <s v="Paulo Souza"/>
    <d v="2026-04-06T00:00:00"/>
    <d v="1899-12-30T11:25:26"/>
    <s v=""/>
    <s v="Perdido"/>
    <d v="2026-04-07T00:00:00"/>
    <d v="1899-12-30T09:07:58"/>
    <s v="Fora do porte mínimo (sem fit estrutural)"/>
    <s v=""/>
    <s v=""/>
    <x v="0"/>
    <s v="Rayssa Karapeticov"/>
    <x v="0"/>
    <s v=""/>
    <m/>
    <n v="30"/>
    <s v=""/>
    <s v=""/>
    <s v=""/>
    <s v=""/>
    <n v="1"/>
  </r>
  <r>
    <x v="1"/>
    <n v="1077"/>
    <m/>
    <n v="3483"/>
    <s v="(06/04/2026) Coelhos identificado como fora do perfil , executa trabalhos de automação de portaria e vendas de computadores para cliente pessoa física"/>
    <s v=""/>
    <x v="563"/>
    <n v="2861273000156"/>
    <s v=""/>
    <s v="Coelhos Automação"/>
    <s v="5330256162"/>
    <s v=""/>
    <s v="vilmar@coelhosautomacao.com.br"/>
    <s v=""/>
    <s v=""/>
    <s v=""/>
    <s v=""/>
    <s v=""/>
    <s v="Campanha"/>
    <s v=""/>
    <s v=""/>
    <s v="Fora Perfil;Instagram"/>
    <s v="Pipeline de Vendas"/>
    <s v="Agendamento (0%)"/>
    <s v=""/>
    <m/>
    <m/>
    <m/>
    <n v="0"/>
    <s v="Paulo Souza"/>
    <d v="2026-04-06T00:00:00"/>
    <d v="1899-12-30T11:27:43"/>
    <s v=""/>
    <s v="Perdido"/>
    <d v="2026-04-06T00:00:00"/>
    <d v="1899-12-30T16:59:44"/>
    <s v="Fora do porte mínimo (sem fit estrutural)"/>
    <s v="(06/04/2026) Coelhos identificado como fora do perfil , executa trabalhos de automação de portaria e vendas de computadores para cliente pessoa física"/>
    <s v=""/>
    <x v="0"/>
    <s v="Junior Lopes"/>
    <x v="0"/>
    <s v=""/>
    <m/>
    <n v="28"/>
    <s v=""/>
    <s v=""/>
    <s v=""/>
    <s v=""/>
    <n v="1"/>
  </r>
  <r>
    <x v="1"/>
    <n v="1078"/>
    <m/>
    <n v="3497"/>
    <s v="24/04/2026) Edson falou com diretoria e achou valor alto para o momento"/>
    <s v=""/>
    <x v="564"/>
    <m/>
    <s v=""/>
    <s v="Baag - BI"/>
    <s v="7530217768"/>
    <s v=""/>
    <s v="helpdesk@bahiagrafica.com.br"/>
    <s v=""/>
    <s v=""/>
    <s v=""/>
    <s v=""/>
    <s v=""/>
    <s v=""/>
    <s v=""/>
    <s v=""/>
    <s v=""/>
    <s v="Pipeline de Vendas"/>
    <s v="Apresentar Proposta (50%)"/>
    <s v=""/>
    <m/>
    <n v="8100"/>
    <n v="1080"/>
    <n v="16"/>
    <s v="Junior Lopes"/>
    <d v="2026-04-08T00:00:00"/>
    <d v="1899-12-30T16:50:57"/>
    <s v=""/>
    <s v="Perdido"/>
    <d v="2026-04-24T00:00:00"/>
    <d v="1899-12-30T09:54:24"/>
    <s v="Não houve aprovação financeira"/>
    <s v="24/04/2026) Edson falou com diretoria e achou valor alto para o momento"/>
    <s v=""/>
    <x v="205"/>
    <s v=""/>
    <x v="226"/>
    <s v=""/>
    <d v="2026-04-24T00:00:00"/>
    <n v="50"/>
    <s v=""/>
    <s v=""/>
    <s v=""/>
    <s v=""/>
    <n v="1"/>
  </r>
  <r>
    <x v="1"/>
    <n v="1079"/>
    <m/>
    <n v="3501"/>
    <s v="(09/04/2026) Prospecção , buscando contato para conexão e apresentação das soluções ERP e Força de vendas"/>
    <s v=""/>
    <x v="565"/>
    <n v="48260432000168"/>
    <s v=""/>
    <s v="EDUARDO MARINO COELHO"/>
    <s v=""/>
    <s v=""/>
    <s v=""/>
    <s v=""/>
    <s v=""/>
    <s v=""/>
    <s v=""/>
    <s v=""/>
    <s v="Base de empresas Leads2b"/>
    <s v=""/>
    <s v=""/>
    <s v=""/>
    <s v="Pipeline de Vendas"/>
    <s v="Qualificação de Vendas (SQL) (25%)"/>
    <s v=""/>
    <m/>
    <m/>
    <m/>
    <n v="41"/>
    <s v="Junior Lopes"/>
    <d v="2026-04-09T00:00:00"/>
    <d v="1899-12-30T09:22:10"/>
    <s v=""/>
    <s v="Ativo"/>
    <m/>
    <m/>
    <s v=""/>
    <s v=""/>
    <s v=""/>
    <x v="0"/>
    <s v=""/>
    <x v="0"/>
    <s v=""/>
    <d v="2026-05-06T00:00:00"/>
    <n v="30"/>
    <s v=""/>
    <s v=""/>
    <s v=""/>
    <s v=""/>
    <n v="1"/>
  </r>
  <r>
    <x v="1"/>
    <n v="1080"/>
    <m/>
    <n v="3502"/>
    <s v="(09/04/2026) Em contato com Jaison (TI) _x000a_09:49, 09/04/2026 Junior Lopes: Olá Jaison ! Bom dia meu amigo ! _x000a_Junior da Guarani sistemas por aqui_x000a_09:49, 09/04/2026 Junior Lopes: Há um tempo fizemos uma apresentação da solução de força de vendas para a Unitermi e fiquei curioso para saber como vocês estão hoje com esse tipo de solução._x000a_Estão utilizando alguma ferramenta atualmente?_x000a_Vejo que ainda podemos ajudar bastante na organização dos pedidos, acompanhamento da equipe de vendas em campo e melhoria dos resultados. Se fizer sentido, posso agendar uma conversa rápida para entendermos o momento de vocês e mostrar como podemos apoiar._x000a_Contato com Danieli (Comercial)_x000a_09:51, 09/04/2026 Junior Lopes: Olá Danieli , bom dia _x000a_Junior da Guarani sistemas por aqui ! Td bem ?_x000a_09:52, 09/04/2026 Junior Lopes: Alguns meses atrás apresentei nossa solução de força de vendas para a Unitermi e fiquei pensando em como está hoje o processo comercial de vocês: pedidos, roteiros, acompanhamento da equipe externa etc._x000a_Vocês já estão com alguma solução implantada ou ainda avaliam opções?_x000a_10:12, 09/04/2026 Unitermi Danieli: Jaison Unitermi TI_x000a_10:12, 09/04/2026 Unitermi Danieli: Bom dia_x000a_10:12, 09/04/2026 Unitermi Danieli: Favor contatar o responsável da Ti_x000a_10:12, 09/04/2026 Unitermi Danieli: Obrigada"/>
    <s v=""/>
    <x v="566"/>
    <n v="19398581000190"/>
    <s v=""/>
    <s v="Unitermi indústria"/>
    <s v="48988044437"/>
    <s v=""/>
    <s v="sup.comercial@unitermi.com.br"/>
    <s v=""/>
    <s v=""/>
    <s v=""/>
    <s v="PAULO LOPES"/>
    <s v="SC"/>
    <s v=""/>
    <s v=""/>
    <s v=""/>
    <s v=""/>
    <s v="Pipeline de Vendas"/>
    <s v="Qualificação de Vendas (SQL) (25%)"/>
    <s v=""/>
    <m/>
    <m/>
    <m/>
    <n v="41"/>
    <s v="Junior Lopes"/>
    <d v="2026-04-09T00:00:00"/>
    <d v="1899-12-30T10:11:00"/>
    <s v=""/>
    <s v="Ativo"/>
    <m/>
    <m/>
    <s v=""/>
    <s v=""/>
    <s v=""/>
    <x v="0"/>
    <s v=""/>
    <x v="0"/>
    <s v=""/>
    <d v="2026-05-06T00:00:00"/>
    <n v="30"/>
    <s v=""/>
    <s v=""/>
    <s v=""/>
    <s v=""/>
    <n v="1"/>
  </r>
  <r>
    <x v="1"/>
    <n v="1081"/>
    <m/>
    <n v="3504"/>
    <s v="(09/04/2026) em contato com Daniel _x000a_10:38, 09/04/2026 Junior Lopes: Olá Daniel ! Bom dia , Júnior Lopes da Guarani sistemas por aqui_x000a_10:38, 09/04/2026 Junior Lopes: Algum tempo atrás apresentei nossa solução de força de vendas para Martiplast e fiquei pensando em como está o processo comercial de vocês ?_x000a_10:38, 09/04/2026 Junior Lopes: Que tal rever nossas soluções?"/>
    <s v="Martiplast Industria E Comercio De Plasticos Ltda"/>
    <x v="567"/>
    <n v="73445454000654"/>
    <s v=""/>
    <s v="Martiplast Industria E Comercio De Plasticos Ltda"/>
    <s v="(54) 2101-9090"/>
    <s v=""/>
    <s v="diego.borges@martiplast.com.br"/>
    <s v=""/>
    <s v=""/>
    <s v=""/>
    <s v="SAO PAULO"/>
    <s v="SP"/>
    <s v="Base de empresas Leads2b"/>
    <s v=""/>
    <s v=""/>
    <s v=""/>
    <s v="Pipeline de Vendas"/>
    <s v="Qualificação de Vendas (SQL) (25%)"/>
    <s v=""/>
    <m/>
    <m/>
    <m/>
    <n v="41"/>
    <s v="Junior Lopes"/>
    <d v="2026-04-09T00:00:00"/>
    <d v="1899-12-30T10:44:36"/>
    <s v=""/>
    <s v="Ativo"/>
    <m/>
    <m/>
    <s v=""/>
    <s v=""/>
    <s v=""/>
    <x v="0"/>
    <s v=""/>
    <x v="0"/>
    <s v=""/>
    <d v="2026-05-06T00:00:00"/>
    <n v="30"/>
    <s v=""/>
    <s v=""/>
    <s v=""/>
    <s v=""/>
    <n v="1"/>
  </r>
  <r>
    <x v="2"/>
    <n v="1082"/>
    <m/>
    <n v="3488"/>
    <s v="10.04 Liguei ficou na caixa postal _x000a_Bom dia Vidal, tudo bem?_x000a_meu nome é Rayssa, sou da Guarani Sistemas. _x000a_Tentei contato com você para falarmos das soluções de software para sua empresa. _x000a_Qual melhor horario para te retornar?_x000a_23.04Bom dia Vidal, como vai?_x000a_Estou tentando contato com você para entender sua solicitação para conhecer nossos sistemas._x000a_ Nosso sistema possui diversos módulos que podem se adaptar às necessidades da sua empresa, como B2B, BI, AFV e e-commerce. Para que eu possa direcionar melhor a solução, poderia me detalhar quais são os principais pontos que vocês estão buscando resolver? Assim consigo apresentar de forma mais objetiva o que pode atender ao seu cenário_x000a_Vou deixar uma apresentação de nossa empresa e quando tiver um tempo disponivel por retornar o contato"/>
    <s v=""/>
    <x v="568"/>
    <m/>
    <s v=""/>
    <s v="Vidal"/>
    <s v="51981230645"/>
    <s v=""/>
    <s v="g.vidal0220@gmail.com"/>
    <s v=""/>
    <s v=""/>
    <s v=""/>
    <s v=""/>
    <s v=""/>
    <s v="Campanha"/>
    <s v=""/>
    <s v=""/>
    <s v="Fora Perfil;Instagram"/>
    <s v="Pipeline de Vendas"/>
    <s v="Agendamento (0%)"/>
    <s v=""/>
    <d v="2026-04-30T00:00:00"/>
    <m/>
    <m/>
    <n v="29"/>
    <s v="Paulo Souza"/>
    <d v="2026-04-10T00:00:00"/>
    <d v="1899-12-30T08:45:52"/>
    <s v=""/>
    <s v="Perdido"/>
    <d v="2026-05-09T00:00:00"/>
    <d v="1899-12-30T08:38:47"/>
    <s v="Sem qualificação — contato não atende ligações nem responde msg"/>
    <s v=""/>
    <s v=""/>
    <x v="0"/>
    <s v="Rayssa Karapeticov"/>
    <x v="0"/>
    <s v=""/>
    <d v="2026-04-23T00:00:00"/>
    <n v="28"/>
    <s v=""/>
    <s v=""/>
    <s v=""/>
    <s v=""/>
    <n v="1"/>
  </r>
  <r>
    <x v="1"/>
    <n v="1083"/>
    <m/>
    <n v="3491"/>
    <s v="(10/04/2026) Buscando contato com Belmar"/>
    <s v=""/>
    <x v="569"/>
    <n v="91241034000123"/>
    <s v=""/>
    <s v="METALÚRGICA VALENTINI LTDA"/>
    <s v="(54) 3321-5204 / (54) 3321-5204"/>
    <s v=""/>
    <s v="metalvalentini@gmail.com"/>
    <s v=""/>
    <s v=""/>
    <s v=""/>
    <s v="ERECHIM"/>
    <s v="RS"/>
    <s v="Campanha"/>
    <s v=""/>
    <s v=""/>
    <s v="Fora Perfil;Instagram"/>
    <s v="Pipeline de Vendas"/>
    <s v="Agendamento (0%)"/>
    <s v=""/>
    <m/>
    <m/>
    <m/>
    <n v="29"/>
    <s v="Paulo Souza"/>
    <d v="2026-04-10T00:00:00"/>
    <d v="1899-12-30T08:47:32"/>
    <s v=""/>
    <s v="Perdido"/>
    <d v="2026-05-09T00:00:00"/>
    <d v="1899-12-30T08:40:51"/>
    <s v="Sem qualificação — contato não atende ligações nem responde msg"/>
    <s v=""/>
    <s v=""/>
    <x v="0"/>
    <s v="Junior Lopes"/>
    <x v="0"/>
    <s v=""/>
    <m/>
    <n v="30"/>
    <s v=""/>
    <s v=""/>
    <s v=""/>
    <s v=""/>
    <n v="1"/>
  </r>
  <r>
    <x v="1"/>
    <n v="1084"/>
    <m/>
    <n v="3492"/>
    <s v="(10/04/2026) em contato com Danyllo buscando agenda para um bate papo"/>
    <s v=""/>
    <x v="570"/>
    <m/>
    <s v=""/>
    <s v="Camelo distribuidora"/>
    <s v="62991773767"/>
    <s v=""/>
    <s v="danyllogac@hotmail.com"/>
    <s v=""/>
    <s v=""/>
    <s v=""/>
    <s v=""/>
    <s v=""/>
    <s v="Campanha"/>
    <s v=""/>
    <s v=""/>
    <s v="Dentro Perfil;Instagram"/>
    <s v="Pipeline de Vendas"/>
    <s v="Qualificação de Vendas (SQL) (25%)"/>
    <s v=""/>
    <m/>
    <m/>
    <m/>
    <n v="40"/>
    <s v="Paulo Souza"/>
    <d v="2026-04-10T00:00:00"/>
    <d v="1899-12-30T08:49:10"/>
    <s v=""/>
    <s v="Ativo"/>
    <m/>
    <m/>
    <s v=""/>
    <s v=""/>
    <s v=""/>
    <x v="0"/>
    <s v="Junior Lopes"/>
    <x v="0"/>
    <s v=""/>
    <m/>
    <n v="29"/>
    <s v=""/>
    <s v=""/>
    <s v=""/>
    <s v=""/>
    <n v="1"/>
  </r>
  <r>
    <x v="2"/>
    <n v="1085"/>
    <m/>
    <n v="3494"/>
    <s v=""/>
    <s v=""/>
    <x v="571"/>
    <n v="21233195000190"/>
    <s v=""/>
    <s v="Cleber vieira teles"/>
    <s v="(15) 9800-0087"/>
    <s v=""/>
    <s v="vieira_teles@hotmail.com"/>
    <s v=""/>
    <s v=""/>
    <s v=""/>
    <s v="PORTO FELIZ"/>
    <s v="SP"/>
    <s v="Campanha"/>
    <s v=""/>
    <s v=""/>
    <s v="Fora Perfil;Instagram"/>
    <s v="Pipeline de Vendas"/>
    <s v="Agendamento (0%)"/>
    <s v=""/>
    <d v="2026-04-30T00:00:00"/>
    <m/>
    <m/>
    <n v="13"/>
    <s v="Paulo Souza"/>
    <d v="2026-04-10T00:00:00"/>
    <d v="1899-12-30T08:50:25"/>
    <s v=""/>
    <s v="Perdido"/>
    <d v="2026-04-23T00:00:00"/>
    <d v="1899-12-30T11:03:07"/>
    <s v="Fora do porte mínimo (sem fit estrutural)"/>
    <s v=""/>
    <s v=""/>
    <x v="0"/>
    <s v="Rayssa Karapeticov"/>
    <x v="0"/>
    <s v=""/>
    <d v="2026-04-23T00:00:00"/>
    <n v="30"/>
    <s v=""/>
    <s v=""/>
    <s v=""/>
    <s v=""/>
    <n v="1"/>
  </r>
  <r>
    <x v="2"/>
    <n v="1086"/>
    <m/>
    <n v="3496"/>
    <s v="Todos os dados preenchidos:_x000a_empresa: Grupo Marcamix _x000a_name: Ismael Ramos _x000a_cargo: Analista de Sistemas _x000a_whatsapp: 11960590527 _x000a_email: suporte@marcamix.com.br"/>
    <s v=""/>
    <x v="572"/>
    <n v="3634113000137"/>
    <s v=""/>
    <s v="Ismael Ramos"/>
    <s v=""/>
    <s v=""/>
    <s v="suporte@marcamix.com.br"/>
    <s v=""/>
    <s v=""/>
    <s v=""/>
    <s v="Ribeirão Preto"/>
    <s v=""/>
    <s v="Inbound"/>
    <s v=""/>
    <s v=""/>
    <s v="comex"/>
    <s v="Pipeline de Vendas"/>
    <s v="Em negociação (75%)"/>
    <s v=""/>
    <d v="2026-04-10T00:00:00"/>
    <n v="6000"/>
    <n v="2000"/>
    <n v="40"/>
    <s v="Paulo Souza"/>
    <d v="2026-04-10T00:00:00"/>
    <d v="1899-12-30T08:52:00"/>
    <s v=""/>
    <s v="Ativo"/>
    <m/>
    <m/>
    <s v=""/>
    <s v=""/>
    <s v=""/>
    <x v="206"/>
    <s v="Rayssa Karapeticov"/>
    <x v="227"/>
    <s v=""/>
    <d v="2026-05-13T00:00:00"/>
    <n v="30"/>
    <s v=""/>
    <s v=""/>
    <s v=""/>
    <s v=""/>
    <n v="1"/>
  </r>
  <r>
    <x v="0"/>
    <n v="1087"/>
    <m/>
    <n v="3495"/>
    <s v=""/>
    <s v=""/>
    <x v="573"/>
    <m/>
    <s v=""/>
    <s v="Romulo"/>
    <s v="8191451469"/>
    <s v=""/>
    <s v="romulomelo2009@gmai.com"/>
    <s v=""/>
    <s v=""/>
    <s v=""/>
    <s v=""/>
    <s v=""/>
    <s v="Campanha"/>
    <s v=""/>
    <s v=""/>
    <s v="Fora Perfil;Instagram"/>
    <s v="Pipeline de Vendas"/>
    <s v="Agendamento (0%)"/>
    <s v=""/>
    <d v="2026-04-30T00:00:00"/>
    <m/>
    <m/>
    <n v="0"/>
    <s v="Paulo Souza"/>
    <d v="2026-04-10T00:00:00"/>
    <d v="1899-12-30T08:53:42"/>
    <s v=""/>
    <s v="Perdido"/>
    <d v="2026-04-10T00:00:00"/>
    <d v="1899-12-30T14:08:40"/>
    <s v="Preço muito alto - fora do budget de investimento"/>
    <s v=""/>
    <s v=""/>
    <x v="0"/>
    <s v="Paulo Souza"/>
    <x v="0"/>
    <s v=""/>
    <m/>
    <n v="30"/>
    <s v=""/>
    <s v=""/>
    <s v=""/>
    <s v=""/>
    <n v="1"/>
  </r>
  <r>
    <x v="0"/>
    <n v="1088"/>
    <m/>
    <n v="3498"/>
    <s v=""/>
    <s v=""/>
    <x v="574"/>
    <m/>
    <s v=""/>
    <s v="JH Navegação e Logística Ltda"/>
    <s v="92991313828"/>
    <s v=""/>
    <s v="hayliebarbosa1@gmail.com"/>
    <s v=""/>
    <s v=""/>
    <s v=""/>
    <s v=""/>
    <s v=""/>
    <s v="Campanha"/>
    <s v=""/>
    <s v=""/>
    <s v="Fora Perfil;Instagram"/>
    <s v="Pipeline de Vendas"/>
    <s v="Agendamento (0%)"/>
    <s v=""/>
    <m/>
    <m/>
    <m/>
    <n v="29"/>
    <s v="Paulo Souza"/>
    <d v="2026-04-10T00:00:00"/>
    <d v="1899-12-30T08:54:24"/>
    <s v=""/>
    <s v="Perdido"/>
    <d v="2026-05-09T00:00:00"/>
    <d v="1899-12-30T08:41:27"/>
    <s v="Fora do segmento atendido"/>
    <s v=""/>
    <s v=""/>
    <x v="0"/>
    <s v="Paulo Souza"/>
    <x v="0"/>
    <s v=""/>
    <m/>
    <n v="30"/>
    <s v=""/>
    <s v=""/>
    <s v=""/>
    <s v=""/>
    <n v="1"/>
  </r>
  <r>
    <x v="1"/>
    <n v="1089"/>
    <m/>
    <n v="3509"/>
    <s v=""/>
    <s v=""/>
    <x v="575"/>
    <n v="3654966000130"/>
    <s v=""/>
    <s v="Marlim Azul Turismo"/>
    <s v="27999346494"/>
    <s v=""/>
    <s v="heber@marlimazulturismo.com.br"/>
    <s v=""/>
    <s v=""/>
    <s v=""/>
    <s v=""/>
    <s v="Serra ES"/>
    <s v="Inbound"/>
    <s v=""/>
    <s v=""/>
    <s v="Fora Perfil;Instagram"/>
    <s v="Pipeline de Vendas"/>
    <s v="Agendamento (0%)"/>
    <s v=""/>
    <m/>
    <m/>
    <m/>
    <n v="0"/>
    <s v="Paulo Souza"/>
    <d v="2026-04-10T00:00:00"/>
    <d v="1899-12-30T08:55:19"/>
    <s v=""/>
    <s v="Perdido"/>
    <d v="2026-04-10T00:00:00"/>
    <d v="1899-12-30T10:24:21"/>
    <s v="Fora do porte mínimo (sem fit estrutural)"/>
    <s v="empresa fora do perfil"/>
    <s v=""/>
    <x v="0"/>
    <s v="Junior Lopes"/>
    <x v="0"/>
    <s v=""/>
    <m/>
    <n v="30"/>
    <s v=""/>
    <s v=""/>
    <s v=""/>
    <s v=""/>
    <n v="1"/>
  </r>
  <r>
    <x v="2"/>
    <n v="1090"/>
    <m/>
    <n v="3508"/>
    <s v="10.04 - Caixa postal _x000a_Bom dia Claudio , como vai?_x000a_Meu nome é Rayssa, sou da Guarani Sistemas. _x000a_Tentei contato com você para falarmos de sua necessidade de implantação de um novo software para sua empresa._x000a_Qual melhor horario para te retornar?"/>
    <s v=""/>
    <x v="576"/>
    <m/>
    <s v=""/>
    <s v="Mercado do bairro"/>
    <s v="11949454465"/>
    <s v=""/>
    <s v="mercadobairro11@gmail.com"/>
    <s v=""/>
    <s v=""/>
    <s v=""/>
    <s v=""/>
    <s v=""/>
    <s v="Campanha"/>
    <s v=""/>
    <s v=""/>
    <s v="Fora Perfil;Instagram"/>
    <s v="Pipeline de Vendas"/>
    <s v="Agendamento (0%)"/>
    <s v=""/>
    <d v="2026-04-30T00:00:00"/>
    <m/>
    <m/>
    <n v="0"/>
    <s v="Paulo Souza"/>
    <d v="2026-04-10T00:00:00"/>
    <d v="1899-12-30T08:56:18"/>
    <s v=""/>
    <s v="Perdido"/>
    <d v="2026-04-10T00:00:00"/>
    <d v="1899-12-30T10:43:18"/>
    <s v="Fora do porte mínimo (sem fit estrutural)"/>
    <s v="mercado"/>
    <s v=""/>
    <x v="0"/>
    <s v="Rayssa Karapeticov"/>
    <x v="0"/>
    <s v=""/>
    <m/>
    <n v="30"/>
    <s v=""/>
    <s v=""/>
    <s v=""/>
    <s v=""/>
    <n v="1"/>
  </r>
  <r>
    <x v="1"/>
    <n v="1091"/>
    <m/>
    <n v="3507"/>
    <s v="(10/04/2026) em contato com Guri a fim de entender melhor suas necessidades"/>
    <s v=""/>
    <x v="577"/>
    <m/>
    <s v=""/>
    <s v="Guri cervejaria"/>
    <s v="54996551297"/>
    <s v=""/>
    <s v="cervejariaguri@hotmail.com"/>
    <s v=""/>
    <s v=""/>
    <s v=""/>
    <s v=""/>
    <s v=""/>
    <s v="Campanha"/>
    <s v=""/>
    <s v=""/>
    <s v="Fora Perfil;Instagram"/>
    <s v="Pipeline de Vendas"/>
    <s v="Qualificação de Vendas (SQL) (25%)"/>
    <s v=""/>
    <d v="2026-04-30T00:00:00"/>
    <m/>
    <m/>
    <n v="0"/>
    <s v="Paulo Souza"/>
    <d v="2026-04-10T00:00:00"/>
    <d v="1899-12-30T08:57:15"/>
    <s v=""/>
    <s v="Perdido"/>
    <d v="2026-04-10T00:00:00"/>
    <d v="1899-12-30T10:26:02"/>
    <s v="Fora do porte mínimo (sem fit estrutural)"/>
    <s v="Guri cervejaria é basicamente um bar e entretenimento com quadras de futebol, fora do perfil"/>
    <s v=""/>
    <x v="0"/>
    <s v="Junior Lopes"/>
    <x v="0"/>
    <s v=""/>
    <m/>
    <n v="30"/>
    <s v=""/>
    <s v=""/>
    <s v=""/>
    <s v=""/>
    <n v="1"/>
  </r>
  <r>
    <x v="2"/>
    <n v="1092"/>
    <m/>
    <n v="3506"/>
    <s v="28.04 Boa tarde Paulo, como vai?_x000a_Meu nome é Rayssa, sou da Guarani Sistemas, e falei com você uns dias atrás para entender sua necessidade de implantação de um novo software, porém, não consegui mais falar com você._x000a_Ainda está em busca de uma solução tecnologica para a empresa?"/>
    <s v=""/>
    <x v="578"/>
    <n v="34731194000117"/>
    <s v=""/>
    <s v="UP"/>
    <s v="(11) 4199-5100"/>
    <s v=""/>
    <s v="financeiro@up-ib.com.br"/>
    <s v=""/>
    <s v=""/>
    <s v=""/>
    <s v="ARACARIGUAMA"/>
    <s v="SP"/>
    <s v="Inbound"/>
    <s v=""/>
    <s v=""/>
    <s v="Dentro Perfil;Instagram"/>
    <s v="Pipeline de Vendas"/>
    <s v="Apresentar Solução (35%)"/>
    <s v=""/>
    <d v="2026-06-30T00:00:00"/>
    <m/>
    <m/>
    <n v="39"/>
    <s v="Paulo Souza"/>
    <d v="2026-04-10T00:00:00"/>
    <d v="1899-12-30T08:58:12"/>
    <s v=""/>
    <s v="Perdido"/>
    <d v="2026-05-19T00:00:00"/>
    <d v="1899-12-30T11:26:52"/>
    <s v="Projeto adiado / sem prazo definido"/>
    <s v=""/>
    <s v=""/>
    <x v="0"/>
    <s v="Rayssa Karapeticov"/>
    <x v="0"/>
    <s v=""/>
    <d v="2026-05-19T00:00:00"/>
    <n v="30"/>
    <s v=""/>
    <s v=""/>
    <s v=""/>
    <s v=""/>
    <n v="1"/>
  </r>
  <r>
    <x v="2"/>
    <n v="1093"/>
    <m/>
    <n v="3487"/>
    <s v=""/>
    <s v=""/>
    <x v="579"/>
    <n v="9313543000133"/>
    <s v=""/>
    <s v="Aucione Lima da Silva"/>
    <s v="(11) 94035-6615"/>
    <s v=""/>
    <s v="contato@raryplast.com.br"/>
    <s v=""/>
    <s v=""/>
    <s v=""/>
    <s v="Tatuí"/>
    <s v=""/>
    <s v="Site"/>
    <s v=""/>
    <s v=""/>
    <s v="Contato"/>
    <s v="Pipeline de Vendas"/>
    <s v="Agendamento (0%)"/>
    <s v=""/>
    <d v="2026-08-31T00:00:00"/>
    <m/>
    <m/>
    <n v="12"/>
    <s v="Paulo Souza"/>
    <d v="2026-04-10T00:00:00"/>
    <d v="1899-12-30T09:00:23"/>
    <s v=""/>
    <s v="Perdido"/>
    <d v="2026-04-22T00:00:00"/>
    <d v="1899-12-30T17:04:29"/>
    <s v="Não quer mudar a solução atual"/>
    <s v=""/>
    <s v=""/>
    <x v="0"/>
    <s v="Rayssa Karapeticov"/>
    <x v="0"/>
    <s v=""/>
    <d v="2026-04-22T00:00:00"/>
    <n v="30"/>
    <s v=""/>
    <s v=""/>
    <s v=""/>
    <s v=""/>
    <n v="1"/>
  </r>
  <r>
    <x v="0"/>
    <n v="1094"/>
    <m/>
    <n v="3499"/>
    <s v=""/>
    <s v=""/>
    <x v="580"/>
    <m/>
    <s v=""/>
    <s v="Adovanio"/>
    <s v="11947878080"/>
    <s v=""/>
    <s v="cptavaresrepresenta@gmail.com"/>
    <s v=""/>
    <s v=""/>
    <s v=""/>
    <s v=""/>
    <s v=""/>
    <s v="Campanha"/>
    <s v=""/>
    <s v=""/>
    <s v="Dentro Perfil;Instagram"/>
    <s v="Pipeline de Vendas"/>
    <s v="Agendamento (0%)"/>
    <s v=""/>
    <d v="2026-04-30T00:00:00"/>
    <m/>
    <m/>
    <n v="29"/>
    <s v="Paulo Souza"/>
    <d v="2026-04-10T00:00:00"/>
    <d v="1899-12-30T09:01:47"/>
    <s v=""/>
    <s v="Perdido"/>
    <d v="2026-05-09T00:00:00"/>
    <d v="1899-12-30T08:42:12"/>
    <s v="Sem qualificação — contato não atende ligações nem responde msg"/>
    <s v=""/>
    <s v=""/>
    <x v="0"/>
    <s v="Paulo Souza"/>
    <x v="0"/>
    <s v=""/>
    <m/>
    <n v="30"/>
    <s v=""/>
    <s v=""/>
    <s v=""/>
    <s v=""/>
    <n v="1"/>
  </r>
  <r>
    <x v="1"/>
    <n v="1095"/>
    <m/>
    <n v="3489"/>
    <s v="(10/04/2026) Buscando contato com Andrea"/>
    <s v=""/>
    <x v="581"/>
    <n v="18564850000188"/>
    <s v=""/>
    <s v="Gerente Produção"/>
    <s v="(47) 99633-0990"/>
    <s v=""/>
    <s v="gerenteproducaosimas@gmail.com"/>
    <s v=""/>
    <s v=""/>
    <s v=""/>
    <s v="ITAJAI"/>
    <s v="SC"/>
    <s v="Site"/>
    <s v=""/>
    <s v=""/>
    <s v="Solicita demo"/>
    <s v="Pipeline de Vendas"/>
    <s v="Em negociação (75%)"/>
    <s v=""/>
    <d v="2026-04-30T00:00:00"/>
    <n v="16960"/>
    <n v="1150"/>
    <n v="40"/>
    <s v="Paulo Souza"/>
    <d v="2026-04-10T00:00:00"/>
    <d v="1899-12-30T09:02:55"/>
    <s v=""/>
    <s v="Ativo"/>
    <m/>
    <m/>
    <s v=""/>
    <s v=""/>
    <s v=""/>
    <x v="207"/>
    <s v="Junior Lopes"/>
    <x v="228"/>
    <s v="06/05/2026"/>
    <m/>
    <n v="30"/>
    <s v=""/>
    <s v=""/>
    <s v=""/>
    <s v=""/>
    <n v="1"/>
  </r>
  <r>
    <x v="0"/>
    <n v="1096"/>
    <m/>
    <n v="3513"/>
    <s v=""/>
    <s v=""/>
    <x v="582"/>
    <m/>
    <s v=""/>
    <s v="Silvia"/>
    <s v="11996146290"/>
    <s v=""/>
    <s v="null"/>
    <s v=""/>
    <s v=""/>
    <s v=""/>
    <s v=""/>
    <s v=""/>
    <s v=""/>
    <s v=""/>
    <s v=""/>
    <s v=""/>
    <s v="Pipeline de Vendas"/>
    <s v="Em negociação (75%)"/>
    <s v=""/>
    <m/>
    <n v="26350"/>
    <n v="3450"/>
    <n v="38"/>
    <s v="Paulo Souza"/>
    <d v="2026-04-10T00:00:00"/>
    <d v="1899-12-30T09:15:28"/>
    <s v=""/>
    <s v="Perdido"/>
    <d v="2026-05-18T00:00:00"/>
    <d v="1899-12-30T17:01:15"/>
    <s v="Preço muito alto - fora do budget de investimento"/>
    <s v=""/>
    <s v=""/>
    <x v="0"/>
    <s v="Paulo Souza"/>
    <x v="0"/>
    <s v=""/>
    <d v="2026-04-20T00:00:00"/>
    <n v="30"/>
    <s v=""/>
    <s v=""/>
    <s v=""/>
    <s v=""/>
    <n v="1"/>
  </r>
  <r>
    <x v="2"/>
    <n v="1097"/>
    <m/>
    <n v="3514"/>
    <s v=""/>
    <s v="Green Flower Comercio, Importacao E Exportacao Ltda"/>
    <x v="583"/>
    <n v="7382350000109"/>
    <s v=""/>
    <s v="Green Flower Comercio, Importacao E Exportacao Ltda"/>
    <s v="(11) 4395-7650"/>
    <s v=""/>
    <s v="contato@acrosscontabil.com.br"/>
    <s v=""/>
    <s v=""/>
    <s v=""/>
    <s v="SAO PAULO"/>
    <s v="SP"/>
    <s v="Base de empresas Leads2b"/>
    <s v=""/>
    <s v=""/>
    <s v=""/>
    <s v="Pipeline de Vendas"/>
    <s v="Qualificação de Vendas (SQL) (25%)"/>
    <s v=""/>
    <m/>
    <m/>
    <m/>
    <n v="40"/>
    <s v="Rayssa Karapeticov"/>
    <d v="2026-04-10T00:00:00"/>
    <d v="1899-12-30T15:04:34"/>
    <s v=""/>
    <s v="Ativo"/>
    <m/>
    <m/>
    <s v=""/>
    <s v=""/>
    <s v=""/>
    <x v="0"/>
    <s v="Rayssa Karapeticov"/>
    <x v="0"/>
    <s v=""/>
    <d v="2026-05-07T00:00:00"/>
    <n v="30"/>
    <s v=""/>
    <s v=""/>
    <s v=""/>
    <s v=""/>
    <n v="1"/>
  </r>
  <r>
    <x v="2"/>
    <n v="1098"/>
    <m/>
    <n v="3516"/>
    <s v=""/>
    <s v="Santorini Atacadista Ltda"/>
    <x v="584"/>
    <n v="34355470000190"/>
    <s v=""/>
    <s v="Santorini Atacadista Ltda"/>
    <s v="(11) 8284-9672"/>
    <s v=""/>
    <s v="maluciarezende@gmail.com"/>
    <s v=""/>
    <s v=""/>
    <s v=""/>
    <s v="SAO PAULO"/>
    <s v="SP"/>
    <s v="Base de empresas Leads2b"/>
    <s v=""/>
    <s v=""/>
    <s v=""/>
    <s v="Pipeline de Vendas"/>
    <s v="Agendamento (0%)"/>
    <s v=""/>
    <m/>
    <m/>
    <m/>
    <n v="0"/>
    <s v="Rayssa Karapeticov"/>
    <d v="2026-04-10T00:00:00"/>
    <d v="1899-12-30T15:47:11"/>
    <s v=""/>
    <s v="Perdido"/>
    <d v="2026-04-10T00:00:00"/>
    <d v="1899-12-30T15:48:31"/>
    <s v="Fora do porte mínimo (sem fit estrutural)"/>
    <s v=""/>
    <s v=""/>
    <x v="0"/>
    <s v="Rayssa Karapeticov"/>
    <x v="0"/>
    <s v=""/>
    <m/>
    <n v="30"/>
    <s v=""/>
    <s v=""/>
    <s v=""/>
    <s v=""/>
    <n v="1"/>
  </r>
  <r>
    <x v="2"/>
    <n v="1099"/>
    <m/>
    <n v="3518"/>
    <s v=""/>
    <s v="Mabel Comercio De Importados Ltda"/>
    <x v="585"/>
    <n v="527682000195"/>
    <s v=""/>
    <s v="Mabel Comercio De Importados Ltda"/>
    <s v="(11) 3315-0052"/>
    <s v=""/>
    <s v="deptofiscal@mabelimport.com.br"/>
    <s v=""/>
    <s v=""/>
    <s v=""/>
    <s v="SOROCABA"/>
    <s v="SP"/>
    <s v="Base de empresas Leads2b"/>
    <s v=""/>
    <s v=""/>
    <s v=""/>
    <s v="Pipeline de Vendas"/>
    <s v="Qualificação de Vendas (SQL) (25%)"/>
    <s v=""/>
    <m/>
    <m/>
    <m/>
    <n v="27"/>
    <s v="Rayssa Karapeticov"/>
    <d v="2026-04-10T00:00:00"/>
    <d v="1899-12-30T17:12:21"/>
    <s v=""/>
    <s v="Perdido"/>
    <d v="2026-05-07T00:00:00"/>
    <d v="1899-12-30T10:09:44"/>
    <s v="Projeto adiado / sem prazo definido"/>
    <s v=""/>
    <s v=""/>
    <x v="0"/>
    <s v="Rayssa Karapeticov"/>
    <x v="0"/>
    <s v=""/>
    <m/>
    <n v="28"/>
    <s v=""/>
    <s v=""/>
    <s v=""/>
    <s v=""/>
    <n v="1"/>
  </r>
  <r>
    <x v="2"/>
    <n v="1100"/>
    <m/>
    <n v="3522"/>
    <s v=""/>
    <s v="U4 Home Artigos Domesticos Ltda"/>
    <x v="586"/>
    <n v="28516601000170"/>
    <s v=""/>
    <s v="U4 Home Artigos Domesticos Ltda"/>
    <s v="(13) 3303-9200"/>
    <s v=""/>
    <s v="financeiro@u4home.com.br"/>
    <s v=""/>
    <s v=""/>
    <s v=""/>
    <s v="ITANHAEM"/>
    <s v="SP"/>
    <s v="Base de empresas Leads2b"/>
    <s v=""/>
    <s v=""/>
    <s v=""/>
    <s v="Pipeline de Vendas"/>
    <s v="Qualificação de Vendas (SQL) (25%)"/>
    <s v=""/>
    <m/>
    <m/>
    <m/>
    <n v="40"/>
    <s v="Rayssa Karapeticov"/>
    <d v="2026-04-10T00:00:00"/>
    <d v="1899-12-30T17:23:16"/>
    <s v=""/>
    <s v="Ativo"/>
    <m/>
    <m/>
    <s v=""/>
    <s v=""/>
    <s v=""/>
    <x v="0"/>
    <s v="Rayssa Karapeticov"/>
    <x v="0"/>
    <s v=""/>
    <m/>
    <n v="30"/>
    <s v=""/>
    <s v=""/>
    <s v=""/>
    <s v=""/>
    <n v="1"/>
  </r>
  <r>
    <x v="2"/>
    <n v="1101"/>
    <m/>
    <n v="3530"/>
    <s v="16.14 - apresentação realizada"/>
    <s v="Ns Iguacu Eletronicos Ltda"/>
    <x v="587"/>
    <n v="12259254000108"/>
    <s v=""/>
    <s v="Leticia"/>
    <s v="(11) 96978-9804"/>
    <s v=""/>
    <s v="weisc@uol.com.br"/>
    <s v=""/>
    <s v=""/>
    <s v=""/>
    <s v="SAO PAULO"/>
    <s v="SP"/>
    <s v="Base de empresas Leads2b"/>
    <s v=""/>
    <s v=""/>
    <s v=""/>
    <s v="Pipeline de Vendas"/>
    <s v="Apresentar Proposta (50%)"/>
    <s v=""/>
    <d v="2026-07-31T00:00:00"/>
    <m/>
    <m/>
    <n v="37"/>
    <s v="Rayssa Karapeticov"/>
    <d v="2026-04-13T00:00:00"/>
    <d v="1899-12-30T12:31:55"/>
    <s v=""/>
    <s v="Ativo"/>
    <m/>
    <m/>
    <s v=""/>
    <s v=""/>
    <s v=""/>
    <x v="208"/>
    <s v="Rayssa Karapeticov"/>
    <x v="229"/>
    <s v="04/05/2026"/>
    <d v="2026-05-13T00:00:00"/>
    <n v="30"/>
    <s v=""/>
    <s v=""/>
    <s v=""/>
    <s v=""/>
    <n v="1"/>
  </r>
  <r>
    <x v="1"/>
    <n v="1102"/>
    <m/>
    <n v="3533"/>
    <s v="(23/04/2026) em ligação _x000a_adicionou meu numero de WhatsApp para enviar ao gerente comercial _x000a_10:49, 23/04/2026 Amanda Etilux Oliveira: Bom dia, tudo bem ?_x000a_10:50, 23/04/2026 Amanda Etilux Oliveira: Amanda da Etilux_x000a_10:50, 23/04/2026 Junior Lopes: Olá Amanda, bom dia! Tudo bem por aqui. Como posso te ajudar hoje?_x000a_10:57, 23/04/2026 Junior Lopes: Olá ! Muito obrigado_x000a_10:58, 23/04/2026 Amanda Etilux Oliveira: poderia me explicar de novo, para te encaminhar para o setor responsavel_x000a_10:58, 23/04/2026 Junior Lopes: Td bem Amanda ?_x000a_10:59, 23/04/2026 Amanda Etilux Oliveira: sim_x000a_11:01, 23/04/2026 Junior Lopes: Sou Junior Lopes da Guarani sistemas _x000a_A ideia é apresentar nossa soluções para automação da força de vendas _x000a_Nossa solução pode ajudar seu representante a vender mais com recursos de IA acoplado ao aplicativo, vendas B2B feitas pelo próprio representante/vendedor_x000a_11:01, 23/04/2026 Junior Lopes: A ideia é apresentar essa solução para seu gestor comercial_x000a_11:01, 23/04/2026 Junior Lopes: Acredito que seja o Rodrigo Fritoli_x000a_11:03, 23/04/2026 Amanda Etilux Oliveira: Sobre sistemas pode mandar e-mail ewerton.dias@etilux.com.br_x000a_11:04, 23/04/2026 Junior Lopes: Ta joia ! Vou enviar para Ewerton_x000a_11:04, 23/04/2026 Junior Lopes: Acredito que seja o Rodrigo Fritoli_x000a_Vc consegue me enviar o telefone do Rodrigo?_x000a_11:05, 23/04/2026 Amanda Etilux Oliveira: Consigo te enviar o e-mail _x000a_rodrigo.fritoli@etilux.com.br"/>
    <s v="Etilux Importacao E Distribuicao De Artigos De Cutelaria Ltda"/>
    <x v="588"/>
    <n v="50306471000524"/>
    <s v=""/>
    <s v="Etilux Importacao E Distribuicao De Artigos De Cutelaria Ltda"/>
    <s v="(11) 3227-3263"/>
    <s v=""/>
    <s v="askfiscal@askcontabil.com.br"/>
    <s v=""/>
    <s v=""/>
    <s v=""/>
    <s v="GUARULHOS"/>
    <s v="SP"/>
    <s v="Base de empresas Leads2b"/>
    <s v=""/>
    <s v=""/>
    <s v=""/>
    <s v="Pipeline de Vendas"/>
    <s v="Qualificação de Vendas (SQL) (25%)"/>
    <s v=""/>
    <m/>
    <m/>
    <m/>
    <n v="37"/>
    <s v="Junior Lopes"/>
    <d v="2026-04-13T00:00:00"/>
    <d v="1899-12-30T15:14:42"/>
    <s v=""/>
    <s v="Ativo"/>
    <m/>
    <m/>
    <s v=""/>
    <s v=""/>
    <s v=""/>
    <x v="0"/>
    <s v=""/>
    <x v="0"/>
    <s v=""/>
    <d v="2026-04-23T00:00:00"/>
    <n v="30"/>
    <s v=""/>
    <s v=""/>
    <s v="R$ 0,00"/>
    <s v=""/>
    <n v="1"/>
  </r>
  <r>
    <x v="2"/>
    <n v="1103"/>
    <m/>
    <n v="3534"/>
    <s v="14.04 - em ligação com o cliente, já conhecem o Guarani devido a clientes do mesmo segmento, e já tiveram uma conversa conosco a uns 15 anos atrás e não avançaram devido o valor. Retornou o contato pedindo uma apreentação do sistemas para os funcionários da empresa ainda essa semana, porque o diretor que estara presente viaja na proxima semana"/>
    <s v=""/>
    <x v="589"/>
    <n v="8822792000191"/>
    <s v=""/>
    <s v="Ana Cristina"/>
    <s v="(11) 95126-4832"/>
    <s v=""/>
    <s v="financeiro.sqcomercio@gmail.com"/>
    <s v=""/>
    <s v=""/>
    <s v=""/>
    <s v="SAO PAULO"/>
    <s v="SP"/>
    <s v="Site"/>
    <s v=""/>
    <s v=""/>
    <s v="Dentro Perfil;Solicita demo"/>
    <s v="Pipeline de Vendas"/>
    <s v="Em negociação (75%)"/>
    <s v=""/>
    <d v="2026-09-30T00:00:00"/>
    <n v="85600"/>
    <n v="66847"/>
    <n v="29"/>
    <s v="Paulo Souza"/>
    <d v="2026-04-14T00:00:00"/>
    <d v="1899-12-30T10:03:18"/>
    <s v=""/>
    <s v="Perdido"/>
    <d v="2026-05-13T00:00:00"/>
    <d v="1899-12-30T11:16:02"/>
    <s v="Fechou com o concorrente - funcionaliadade"/>
    <s v=""/>
    <s v=""/>
    <x v="208"/>
    <s v="Rayssa Karapeticov"/>
    <x v="230"/>
    <s v=""/>
    <d v="2026-05-13T00:00:00"/>
    <n v="30"/>
    <s v=""/>
    <s v="ERP, AFV, WMS, COMEX, CLOUD"/>
    <s v=""/>
    <s v=""/>
    <n v="1"/>
  </r>
  <r>
    <x v="2"/>
    <n v="1104"/>
    <m/>
    <n v="3527"/>
    <s v="14.04 Cliente vende auto peças, material de construção e ainda presta serviço. é um logista. _x000a_Fora do perfil"/>
    <s v=""/>
    <x v="590"/>
    <m/>
    <s v=""/>
    <s v="Comblocos Materiais de Construção"/>
    <s v="33988611992"/>
    <s v=""/>
    <s v="ittalo.tim@hotmail.com"/>
    <s v=""/>
    <s v=""/>
    <s v=""/>
    <s v=""/>
    <s v="Vvv"/>
    <s v="Inbound"/>
    <s v=""/>
    <s v=""/>
    <s v="Fora Perfil;Instagram"/>
    <s v="Pipeline de Vendas"/>
    <s v="Agendamento (0%)"/>
    <s v=""/>
    <d v="2026-04-30T00:00:00"/>
    <m/>
    <m/>
    <n v="0"/>
    <s v="Paulo Souza"/>
    <d v="2026-04-14T00:00:00"/>
    <d v="1899-12-30T10:05:58"/>
    <s v=""/>
    <s v="Perdido"/>
    <d v="2026-04-14T00:00:00"/>
    <d v="1899-12-30T10:31:19"/>
    <s v="Fora do porte mínimo (sem fit estrutural)"/>
    <s v=""/>
    <s v=""/>
    <x v="0"/>
    <s v="Rayssa Karapeticov"/>
    <x v="0"/>
    <s v=""/>
    <m/>
    <n v="30"/>
    <s v=""/>
    <s v=""/>
    <s v=""/>
    <s v=""/>
    <n v="1"/>
  </r>
  <r>
    <x v="1"/>
    <n v="1105"/>
    <m/>
    <n v="3524"/>
    <s v="(14/04/2026) em contato com Renan _x000a_10:42, 14/04/2026 Junior Lopes: Olá Renan, bom dia ! tudo bem ?_x000a_10:42, 14/04/2026 Junior Lopes: sou Junior Lopes da Guarani sistemas td bem ?_x000a_10:44, 14/04/2026 +55 66 9647-2785: Bom dia Junior_x000a_10:44, 14/04/2026 +55 66 9647-2785: Tudo bem e contigo?_x000a_10:45, 14/04/2026 Junior Lopes: Opa Td joia ! _x000a_Estou retornando para vc um contato que fez conosco sobre nosso software_x000a_11:03, 14/04/2026 +55 66 9647-2785: Vc tem sistema para materiais para construção_x000a_11:03, 14/04/2026 +55 66 9647-2785: ?_x000a_11:27, 14/04/2026 +55 66 9647-2785: A venda somente interna mesmo_x000a_11:27, 14/04/2026 +55 66 9647-2785: Não tem vendedores externos_x000a_11:36, 14/04/2026 Junior Lopes: Fiz uma análise rápida aqui Renan devido alguns pontos não consigo te atender! Ate pq nossa solução é mais focada em distribuição"/>
    <s v=""/>
    <x v="591"/>
    <m/>
    <s v=""/>
    <s v="Araguaia Materiais Para Construcao"/>
    <s v="66996472785"/>
    <s v=""/>
    <s v="renansimon@gmail.com"/>
    <s v=""/>
    <s v=""/>
    <s v=""/>
    <s v=""/>
    <s v=""/>
    <s v="Campanha"/>
    <s v=""/>
    <s v=""/>
    <s v="Fora Perfil;Instagram"/>
    <s v="Pipeline de Vendas"/>
    <s v="Qualificação de Vendas (SQL) (25%)"/>
    <s v=""/>
    <d v="2026-04-14T00:00:00"/>
    <m/>
    <m/>
    <n v="0"/>
    <s v="Paulo Souza"/>
    <d v="2026-04-14T00:00:00"/>
    <d v="1899-12-30T10:08:51"/>
    <s v=""/>
    <s v="Perdido"/>
    <d v="2026-04-14T00:00:00"/>
    <d v="1899-12-30T11:58:52"/>
    <s v="Fora do porte mínimo (sem fit estrutural)"/>
    <s v="em contato com Renan, precisa de um PDV para loja de material de construção com particularidades de entrega parcial e controle de medidas das para venda de terras e pedras"/>
    <s v=""/>
    <x v="0"/>
    <s v="Junior Lopes"/>
    <x v="0"/>
    <s v=""/>
    <m/>
    <n v="30"/>
    <s v=""/>
    <s v=""/>
    <s v=""/>
    <s v=""/>
    <n v="1"/>
  </r>
  <r>
    <x v="1"/>
    <n v="1106"/>
    <m/>
    <n v="3525"/>
    <s v=""/>
    <s v=""/>
    <x v="592"/>
    <m/>
    <s v=""/>
    <s v="Teodoro cosméticos"/>
    <s v="64999291080"/>
    <s v=""/>
    <s v="rogeriojtigo@hotmail.com"/>
    <s v=""/>
    <s v=""/>
    <s v=""/>
    <s v=""/>
    <s v="Jatai goais"/>
    <s v="Inbound"/>
    <s v=""/>
    <s v=""/>
    <s v="Dentro Perfil;Instagram"/>
    <s v="Pipeline de Vendas"/>
    <s v="Qualificação de Vendas (SQL) (25%)"/>
    <s v=""/>
    <d v="2026-04-14T00:00:00"/>
    <m/>
    <m/>
    <n v="36"/>
    <s v="Paulo Souza"/>
    <d v="2026-04-14T00:00:00"/>
    <d v="1899-12-30T10:09:44"/>
    <s v=""/>
    <s v="Ativo"/>
    <m/>
    <m/>
    <s v=""/>
    <s v=""/>
    <s v=""/>
    <x v="0"/>
    <s v="Junior Lopes"/>
    <x v="0"/>
    <s v=""/>
    <m/>
    <n v="30"/>
    <s v=""/>
    <s v=""/>
    <s v=""/>
    <s v=""/>
    <n v="1"/>
  </r>
  <r>
    <x v="1"/>
    <n v="1107"/>
    <m/>
    <n v="3526"/>
    <s v=""/>
    <s v=""/>
    <x v="593"/>
    <n v="52975803000165"/>
    <s v=""/>
    <s v="Dsg"/>
    <s v="85994341515"/>
    <s v=""/>
    <s v="euderi@hotmail.com"/>
    <s v=""/>
    <s v=""/>
    <s v=""/>
    <s v="MARACANAU"/>
    <s v="CE"/>
    <s v="Campanha"/>
    <s v=""/>
    <s v=""/>
    <s v="Fora Perfil;Instagram"/>
    <s v="Pipeline de Vendas"/>
    <s v="Agendamento (0%)"/>
    <s v=""/>
    <d v="2026-04-14T00:00:00"/>
    <m/>
    <m/>
    <n v="25"/>
    <s v="Paulo Souza"/>
    <d v="2026-04-14T00:00:00"/>
    <d v="1899-12-30T10:11:37"/>
    <s v=""/>
    <s v="Perdido"/>
    <d v="2026-05-09T00:00:00"/>
    <d v="1899-12-30T08:42:58"/>
    <s v="Fora do segmento atendido"/>
    <s v=""/>
    <s v=""/>
    <x v="0"/>
    <s v="Junior Lopes"/>
    <x v="0"/>
    <s v=""/>
    <m/>
    <n v="30"/>
    <s v=""/>
    <s v=""/>
    <s v=""/>
    <s v=""/>
    <n v="1"/>
  </r>
  <r>
    <x v="1"/>
    <n v="1113"/>
    <m/>
    <n v="3542"/>
    <s v=""/>
    <s v="Logrosoft Comercio, Importacao, Exportacao E Prestacao De Servicos Ltda"/>
    <x v="594"/>
    <n v="38116840000197"/>
    <s v=""/>
    <s v="Logrosoft Comercio, Importacao, Exportacao E Prestacao De Servicos Ltda"/>
    <s v="(31) 3378-0033"/>
    <s v=""/>
    <s v="supervisoroperacional@logrosoft.com.br"/>
    <s v=""/>
    <s v=""/>
    <s v=""/>
    <s v="BELO HORIZONTE"/>
    <s v="MG"/>
    <s v="Base de empresas Leads2b"/>
    <s v=""/>
    <s v=""/>
    <s v=""/>
    <s v="Pipeline de Vendas"/>
    <s v="Apresentar Solução (35%)"/>
    <s v=""/>
    <m/>
    <n v="13509779"/>
    <n v="899628"/>
    <n v="16"/>
    <s v="Junior Lopes"/>
    <d v="2026-04-14T00:00:00"/>
    <d v="1899-12-30T16:43:47"/>
    <s v=""/>
    <s v="Perdido"/>
    <d v="2026-04-30T00:00:00"/>
    <d v="1899-12-30T15:42:59"/>
    <s v="Não houve aprovação financeira"/>
    <s v="dois pontos que o cliente usou para não seguir ! busca um ERP Mais simples e com valor ,ais em conta"/>
    <s v=""/>
    <x v="209"/>
    <s v=""/>
    <x v="231"/>
    <s v=""/>
    <m/>
    <n v="50"/>
    <s v=""/>
    <s v=""/>
    <s v=""/>
    <s v=""/>
    <n v="1"/>
  </r>
  <r>
    <x v="1"/>
    <n v="1114"/>
    <m/>
    <n v="3544"/>
    <s v=""/>
    <s v=""/>
    <x v="595"/>
    <n v="38116840000197"/>
    <s v=""/>
    <s v="Logrosoft comercio CLOUD"/>
    <s v="3133780033"/>
    <s v=""/>
    <s v="supervisoroperacional@logrosoft.com.br"/>
    <s v=""/>
    <s v=""/>
    <s v=""/>
    <s v="BELO HORIZONTE"/>
    <s v="MG"/>
    <s v=""/>
    <s v=""/>
    <s v=""/>
    <s v=""/>
    <s v="Pipeline de Vendas"/>
    <s v="Em negociação (75%)"/>
    <s v=""/>
    <m/>
    <m/>
    <m/>
    <n v="16"/>
    <s v="Junior Lopes"/>
    <d v="2026-04-14T00:00:00"/>
    <d v="1899-12-30T16:46:18"/>
    <s v=""/>
    <s v="Perdido"/>
    <d v="2026-04-30T00:00:00"/>
    <d v="1899-12-30T15:42:07"/>
    <s v="Não houve aprovação financeira"/>
    <s v="dois pontos que o cliente usou para não seguir ! busca um ERP Mais simples e com valor ,ais em conta"/>
    <s v=""/>
    <x v="209"/>
    <s v=""/>
    <x v="232"/>
    <s v=""/>
    <m/>
    <n v="50"/>
    <s v=""/>
    <s v=""/>
    <s v=""/>
    <s v=""/>
    <n v="1"/>
  </r>
  <r>
    <x v="2"/>
    <n v="1116"/>
    <m/>
    <n v="3545"/>
    <s v="28.04"/>
    <s v=""/>
    <x v="596"/>
    <m/>
    <s v=""/>
    <s v="RK Assessoria Contábil"/>
    <s v="92981527777"/>
    <s v=""/>
    <s v="rcustodio777@gmail.com"/>
    <s v=""/>
    <s v=""/>
    <s v=""/>
    <s v=""/>
    <s v="Amazonas"/>
    <s v="Inbound"/>
    <s v=""/>
    <s v=""/>
    <s v="Dentro Perfil;Instagram"/>
    <s v="Pipeline de Vendas"/>
    <s v="Agendamento (0%)"/>
    <s v=""/>
    <d v="2026-04-15T00:00:00"/>
    <m/>
    <m/>
    <n v="24"/>
    <s v="Paulo Souza"/>
    <d v="2026-04-15T00:00:00"/>
    <d v="1899-12-30T12:27:42"/>
    <s v=""/>
    <s v="Perdido"/>
    <d v="2026-05-09T00:00:00"/>
    <d v="1899-12-30T08:29:42"/>
    <s v="Fora do segmento atendido"/>
    <s v=""/>
    <s v=""/>
    <x v="0"/>
    <s v="Rayssa Karapeticov"/>
    <x v="0"/>
    <s v=""/>
    <d v="2026-04-28T00:00:00"/>
    <n v="30"/>
    <s v=""/>
    <s v=""/>
    <s v=""/>
    <s v=""/>
    <n v="1"/>
  </r>
  <r>
    <x v="1"/>
    <n v="1117"/>
    <m/>
    <n v="3546"/>
    <s v="11:25, 16/04/2026 Junior Lopes: Olá bom dia !_x000a_11:25, 16/04/2026 Junior Lopes: Sou Junior Lopes da Guarani sistemas, Td bem ?_x000a_11:28, 16/04/2026 Junior Lopes: Estou retornando um contato que vc fez conosco_x000a_11:38, 16/04/2026 Big Alimentos: BIG Alimentos  agradece seu contato. Como podemos ajudar?_x000a_14:48, 16/04/2026 Big Alimentos: Olá_x000a_14:49, 16/04/2026 Big Alimentos: Júnior estou na estrada _x000a_Retorno na quarta_x000a_14:49, 16/04/2026 Big Alimentos: Aí falamos_x000a_14:49, 16/04/2026 Big Alimentos: Blz_x000a_14:54, 16/04/2026 Junior Lopes: Boa viagem 👊_x000a_🙏_x000a_(18/05/2026) cliente não responde aos contatos"/>
    <s v=""/>
    <x v="597"/>
    <m/>
    <s v=""/>
    <s v="AutoFoz"/>
    <s v="41991237979"/>
    <s v=""/>
    <s v="b8alimentos@gmail.com"/>
    <s v=""/>
    <s v=""/>
    <s v=""/>
    <s v=""/>
    <s v="Brasil"/>
    <s v="Inbound"/>
    <s v=""/>
    <s v=""/>
    <s v="Dentro Perfil;Instagram"/>
    <s v="Pipeline de Vendas"/>
    <s v="Qualificação de Vendas (SQL) (25%)"/>
    <s v=""/>
    <d v="2026-04-30T00:00:00"/>
    <m/>
    <m/>
    <n v="33"/>
    <s v="Paulo Souza"/>
    <d v="2026-04-15T00:00:00"/>
    <d v="1899-12-30T12:28:31"/>
    <s v=""/>
    <s v="Perdido"/>
    <d v="2026-05-18T00:00:00"/>
    <d v="1899-12-30T15:03:56"/>
    <s v="Sem qualificação — contato não atende ligações nem responde msg"/>
    <s v="inicialmente cliente chegou a responder , logo sumiu e não retorna mais"/>
    <s v=""/>
    <x v="0"/>
    <s v="Junior Lopes"/>
    <x v="0"/>
    <s v=""/>
    <d v="2026-05-18T00:00:00"/>
    <n v="30"/>
    <s v=""/>
    <s v=""/>
    <s v=""/>
    <s v=""/>
    <n v="1"/>
  </r>
  <r>
    <x v="1"/>
    <n v="1120"/>
    <m/>
    <n v="3556"/>
    <s v="14:26, 17/04/2026 Junior Lopes: Olá Danilo ,_x000a_Boa tarde _x000a_Sou Junior Lopes da Guarani sistemas! Td bem ? _x000a_Quem me passou seu contato foi o Jonas_x000a_14:26, 17/04/2026 Danillo Negrao Atac: ola tudo bem??_x000a_14:33, 17/04/2026 Junior Lopes: Imagine que o próprio representante/vendedor pode enviar loja B2B para o cliente dele e administrar essas lojas no dispositivo"/>
    <s v="Ferragens Negrao Comercial Ltda"/>
    <x v="598"/>
    <n v="76639285000339"/>
    <s v=""/>
    <s v="Ferragens Negrao Comercial Ltda"/>
    <s v="(41) 2109-8000"/>
    <s v=""/>
    <s v="fiscal@grupofn.com.br"/>
    <s v=""/>
    <s v=""/>
    <s v=""/>
    <s v="CURITIBA"/>
    <s v="PR"/>
    <s v="Base de empresas Leads2b"/>
    <s v=""/>
    <s v=""/>
    <s v=""/>
    <s v="Pipeline de Vendas"/>
    <s v="Qualificação de Vendas (SQL) (25%)"/>
    <s v=""/>
    <m/>
    <m/>
    <m/>
    <n v="33"/>
    <s v="Junior Lopes"/>
    <d v="2026-04-17T00:00:00"/>
    <d v="1899-12-30T14:41:48"/>
    <s v=""/>
    <s v="Ativo"/>
    <m/>
    <m/>
    <s v=""/>
    <s v=""/>
    <s v=""/>
    <x v="0"/>
    <s v=""/>
    <x v="0"/>
    <s v=""/>
    <m/>
    <n v="30"/>
    <s v=""/>
    <s v=""/>
    <s v=""/>
    <s v=""/>
    <n v="1"/>
  </r>
  <r>
    <x v="1"/>
    <n v="1121"/>
    <m/>
    <n v="3558"/>
    <s v="(23/04/2026 E mail enviado buscando agenda : _x000a_Olá Tito, Tudo bem ? _x000a_ _x000a_Meu nome é Junior Lopes , da Guarani Sistemas. Escrevo para apresentar uma solução que pode transformar a eficiência da equipe de vendas da Bartofil: o Guarani AFV._x000a_ _x000a_Em anexo, envio um folder com todos os detalhes, mas gostaria de destacar três pilares que fazem toda a diferença:_x000a_ _x000a_IA Iara, sua assistente virtual de vendas: Ela atua dentro do app do representante, analisando histórico, ramo de atividade e comportamento de compra para fazer predições e sugestões de venda inteligentes. A Iara aprende com cada cliente e ajuda a impulsionar o mix de produtos ativos, reduzindo rupturas no PDV._x000a_Integração nativa com qualquer ERP: O sistema se conecta perfeitamente ao seu software de gestão atual, seja qual for. Isso garante um fluxo de dados único (pedidos, estoque, clientes) sem retrabalho, duplicidade ou necessidade de mudar toda a operação._x000a_Loja B2B personalizada: Ofereça aos seus clientes um canal de compra 24/7, onde podem fazer pedidos de onde, quando e como quiserem. Isso amplia o ticket médio, libera a equipe de vendas para atividades mais estratégicas e garante que nenhuma oportunidade seja perdida fora do horário comercial._x000a_ _x000a_Além disso, a solução inclui catálogo digital, orçamento e proposta web, roteirização inteligente, controle de estoques em múltiplos locais e indicadores de desempenho em tempo real._x000a_ _x000a_Gostaria de agendar uma apresentação rápida (30–45 minutos) para mostrar, na prática, como o Guarani AFV pode apoiar a equipe da Bartofil e reduzir rupturas no ponto de venda, além de ampliar o mix de produtos ativos em cada cliente._x000a_ _x000a_Você teria disponibilidade na próxima semana, em algum desses horários?_x000a_ _x000a_Segunda-feira dia 27/04 às 10 horas _x000a_Terça-feira dia 28/04 às 14 horas _x000a_ _x000a_Se preferir, posso me adequar ao melhor dia e horário para você._x000a_ _x000a_Fico à disposição e agradeço desde já pela atenção."/>
    <s v="Nova Casa Distribuidora De Materiais Para Construcao S/a"/>
    <x v="599"/>
    <n v="74200403001605"/>
    <s v=""/>
    <s v="Nova Casa Distribuidora De Materiais Para Construcao S/a"/>
    <s v="(61) 3025-9500"/>
    <s v=""/>
    <s v="fiscal@ncdistribuidora.com.br"/>
    <s v=""/>
    <s v=""/>
    <s v=""/>
    <s v="SAO LUIS"/>
    <s v="MA"/>
    <s v="Base de empresas Leads2b"/>
    <s v=""/>
    <s v=""/>
    <s v=""/>
    <s v="Pipeline de Vendas"/>
    <s v="Qualificação de Vendas (SQL) (25%)"/>
    <s v=""/>
    <m/>
    <m/>
    <m/>
    <n v="33"/>
    <s v="Junior Lopes"/>
    <d v="2026-04-17T00:00:00"/>
    <d v="1899-12-30T14:51:26"/>
    <s v=""/>
    <s v="Ativo"/>
    <m/>
    <m/>
    <s v=""/>
    <s v=""/>
    <s v=""/>
    <x v="0"/>
    <s v=""/>
    <x v="0"/>
    <s v=""/>
    <d v="2026-04-23T00:00:00"/>
    <n v="30"/>
    <s v=""/>
    <s v=""/>
    <s v=""/>
    <s v=""/>
    <n v="1"/>
  </r>
  <r>
    <x v="1"/>
    <n v="1122"/>
    <m/>
    <n v="3560"/>
    <s v=""/>
    <s v="Bartofil Distribuidora Sa"/>
    <x v="600"/>
    <n v="23797376005567"/>
    <s v=""/>
    <s v="Bartofil Distribuidora Sa"/>
    <s v="(31) 3819-2000"/>
    <s v=""/>
    <s v="contabilidade@bartofil.com.br"/>
    <s v=""/>
    <s v=""/>
    <s v=""/>
    <s v="NOVA FRIBURGO"/>
    <s v="RJ"/>
    <s v="Base de empresas Leads2b"/>
    <s v=""/>
    <s v=""/>
    <s v=""/>
    <s v="Pipeline de Vendas"/>
    <s v="Qualificação de Vendas (SQL) (25%)"/>
    <s v=""/>
    <m/>
    <m/>
    <m/>
    <n v="33"/>
    <s v="Junior Lopes"/>
    <d v="2026-04-17T00:00:00"/>
    <d v="1899-12-30T15:36:58"/>
    <s v=""/>
    <s v="Ativo"/>
    <m/>
    <m/>
    <s v=""/>
    <s v=""/>
    <s v=""/>
    <x v="0"/>
    <s v=""/>
    <x v="0"/>
    <s v=""/>
    <d v="2026-05-06T00:00:00"/>
    <n v="30"/>
    <s v=""/>
    <s v=""/>
    <s v=""/>
    <s v=""/>
    <n v="1"/>
  </r>
  <r>
    <x v="1"/>
    <n v="1123"/>
    <m/>
    <n v="3562"/>
    <s v=""/>
    <s v="L.l.e. Ferragens Ltda."/>
    <x v="601"/>
    <n v="5953543000147"/>
    <s v=""/>
    <s v="L.l.e. Ferragens Ltda."/>
    <s v="(21) 2131-8511"/>
    <s v=""/>
    <s v="fiscal@grupolle.com.br"/>
    <s v=""/>
    <s v=""/>
    <s v=""/>
    <s v="RIO DE JANEIRO"/>
    <s v="RJ"/>
    <s v="Base de empresas Leads2b"/>
    <s v=""/>
    <s v=""/>
    <s v=""/>
    <s v="Pipeline de Vendas"/>
    <s v="Qualificação de Vendas (SQL) (25%)"/>
    <s v=""/>
    <m/>
    <m/>
    <m/>
    <n v="33"/>
    <s v="Junior Lopes"/>
    <d v="2026-04-17T00:00:00"/>
    <d v="1899-12-30T16:48:26"/>
    <s v=""/>
    <s v="Ativo"/>
    <m/>
    <m/>
    <s v=""/>
    <s v=""/>
    <s v=""/>
    <x v="0"/>
    <s v=""/>
    <x v="0"/>
    <s v=""/>
    <d v="2026-05-06T00:00:00"/>
    <n v="30"/>
    <s v=""/>
    <s v=""/>
    <s v=""/>
    <s v=""/>
    <n v="1"/>
  </r>
  <r>
    <x v="2"/>
    <n v="1126"/>
    <m/>
    <n v="3553"/>
    <s v="22.04 caixa postal_x000a_10:19, 22/04/2026 Rayssa Karapeticov - Comercial - Guarani Sistemas: Bom dia Valéria, tudo bem?_x000a_Meu nome é Rayssa, sou executiva de vendas na Guarani Sistemas_x000a_Estou retornando seu contato com interesse em nossa soluções,_x000a_10:20, 22/04/2026 Rayssa Karapeticov - Comercial - Guarani Sistemas: Para seguirmos com seu atendimento, preciso entender seus processos e mais sobre sua empresa_x000a_Qual a melhor forma para retornar o contato, prefere falar por aqui ou prefere que te ligue?"/>
    <s v=""/>
    <x v="602"/>
    <m/>
    <s v=""/>
    <s v="Brasil Rural"/>
    <s v="17997762600"/>
    <s v=""/>
    <s v="valeria.rod312@gmail.com"/>
    <s v=""/>
    <s v=""/>
    <s v=""/>
    <s v=""/>
    <s v="Brasil"/>
    <s v="Inbound"/>
    <s v=""/>
    <s v=""/>
    <s v="Fora Perfil;Instagram"/>
    <s v="Pipeline de Vendas"/>
    <s v="Agendamento (0%)"/>
    <s v=""/>
    <m/>
    <m/>
    <m/>
    <n v="19"/>
    <s v="Paulo Souza"/>
    <d v="2026-04-20T00:00:00"/>
    <d v="1899-12-30T14:16:55"/>
    <s v=""/>
    <s v="Perdido"/>
    <d v="2026-05-09T00:00:00"/>
    <d v="1899-12-30T08:28:25"/>
    <s v="Sem qualificação — contato não atende ligações nem responde msg"/>
    <s v=""/>
    <s v=""/>
    <x v="0"/>
    <s v="Rayssa Karapeticov"/>
    <x v="0"/>
    <s v=""/>
    <d v="2026-04-30T00:00:00"/>
    <n v="30"/>
    <s v=""/>
    <s v=""/>
    <s v=""/>
    <s v=""/>
    <n v="1"/>
  </r>
  <r>
    <x v="1"/>
    <n v="1127"/>
    <m/>
    <n v="3555"/>
    <s v="e mail enviado _x000a_(30/04/2026) em contato com Manoel vendo melhor data para apresentação _x000a_Olá Manoel ! _x000a_Meu nome é Junior Lopes, sou Executivo de Contas Corporativas na Guarani Sistemas, empresa especializada em soluções de gestão empresarial e comercial para toda a cadeia de abastecimento de artigos para o lar._x000a_ _x000a_Desde 2006, desenvolvemos e implementamos ferramentas que fomentam o crescimento dos nossos clientes. Hoje, contamos com mais de 900 clientes ativos, 40 mil usuários e cerca de 65 mil notas fiscais geradas diariamente em nossa plataforma, mantendo um crescimento médio anual de 20%. Nosso propósito é transformar nossos clientes em referência comercial e operacional em seus mercados, criando em conjunto soluções flexíveis que promovam diretamente o crescimento do negócio._x000a_ _x000a_Atendemos indústrias, importadores, distribuidores, atacadistas e varejistas dos segmentos de utilidades domésticas, brinquedos, presentes, decoração, metalúrgica, química, alimentos, têxtil, agro e outros generalistas. Entre nossos clientes, temos casos de sucesso como Plasútil, Paramount, Ingá Import, Alumínio Nacional e Dolce Home, que ampliaram sua eficiência e cresceram fortemente com o apoio de nossas soluções._x000a_ _x000a_Para a Home Market 24h, enxergamos grande potencial de apoio principalmente em três frentes:_x000a_Gestão integrada da operação, com nosso ERP (on-premise ou em nuvem), módulos de PCP e WMS, garantindo controle de estoques, compras, vendas, faturamento, financeiro e logística em um único ambiente._x000a_Automação da força de vendas, com o Guarani AFV, levando mais produtividade, controle e inteligência comercial para a equipe, com informações em tempo real e apoio à expansão da carteira de clientes._x000a_E-commerce B2B integrado, com o Power B2B, permitindo que seus clientes realizem pedidos de maneira simples, rápida e totalmente integrada ao ERP, ampliando o alcance da Home Market 24h no mercado corporativo._x000a_ _x000a_ _x000a_Gostaria de agendar uma breve conversa para entender melhor o cenário atual da Home Market 24h e apresentar de forma objetiva como a Guarani Sistemas pode contribuir com a operação de vocês?_x000a_ _x000a_Fico à disposição para alinhar o melhor dia e horário._x000a_ _x000a_ _x000a_Atenciosamente,"/>
    <s v=""/>
    <x v="603"/>
    <m/>
    <s v=""/>
    <s v="Comercial O Manoel"/>
    <s v="85999874743"/>
    <s v=""/>
    <s v="comercialomanoel@gmail.com"/>
    <s v=""/>
    <s v=""/>
    <s v=""/>
    <s v=""/>
    <s v="Ceara"/>
    <s v="Inbound"/>
    <s v=""/>
    <s v=""/>
    <s v="Dentro Perfil;Instagram"/>
    <s v="Pipeline de Vendas"/>
    <s v="Qualificação de Vendas (SQL) (25%)"/>
    <s v=""/>
    <m/>
    <m/>
    <m/>
    <n v="30"/>
    <s v="Paulo Souza"/>
    <d v="2026-04-20T00:00:00"/>
    <d v="1899-12-30T14:26:57"/>
    <s v=""/>
    <s v="Ativo"/>
    <m/>
    <m/>
    <s v=""/>
    <s v=""/>
    <s v=""/>
    <x v="0"/>
    <s v="Junior Lopes"/>
    <x v="0"/>
    <s v=""/>
    <d v="2026-04-30T00:00:00"/>
    <n v="30"/>
    <s v=""/>
    <s v=""/>
    <s v=""/>
    <s v=""/>
    <n v="1"/>
  </r>
  <r>
    <x v="2"/>
    <n v="1128"/>
    <m/>
    <n v="3565"/>
    <s v="22.04 Não atendeu _x000a_Bom dia, Sergio. Como vai? _x000a_Meu nome é Rayssa, sou Executiva de Vendas na Guarani Sistemas, e estou retornando seu contato com nossa empresa para conhecer mais sobre nossas soluções_x000a_Para seguirmos preciso entender sua empresa e seus processos. _x000a_Você prefere seguir o atendimento por aqui ou prefere que te ligue?"/>
    <s v=""/>
    <x v="604"/>
    <m/>
    <s v=""/>
    <s v="Garrama com essência eirele"/>
    <s v="11986111998"/>
    <s v=""/>
    <s v="ss.sergiofaertes@gmail.com"/>
    <s v=""/>
    <s v=""/>
    <s v=""/>
    <s v=""/>
    <s v=""/>
    <s v="Campanha"/>
    <s v=""/>
    <s v=""/>
    <s v="Fora Perfil;Instagram"/>
    <s v="Pipeline de Vendas"/>
    <s v="Qualificação de Vendas (SQL) (25%)"/>
    <s v=""/>
    <d v="2026-04-30T00:00:00"/>
    <m/>
    <m/>
    <n v="19"/>
    <s v="Paulo Souza"/>
    <d v="2026-04-20T00:00:00"/>
    <d v="1899-12-30T15:22:35"/>
    <s v=""/>
    <s v="Perdido"/>
    <d v="2026-05-09T00:00:00"/>
    <d v="1899-12-30T08:36:06"/>
    <s v="Sem qualificação — contato não atende ligações nem responde msg"/>
    <s v=""/>
    <s v=""/>
    <x v="0"/>
    <s v="Rayssa Karapeticov"/>
    <x v="0"/>
    <s v=""/>
    <d v="2026-04-24T00:00:00"/>
    <n v="30"/>
    <s v=""/>
    <s v=""/>
    <s v=""/>
    <s v=""/>
    <n v="1"/>
  </r>
  <r>
    <x v="1"/>
    <n v="1129"/>
    <m/>
    <n v="3566"/>
    <s v=""/>
    <s v=""/>
    <x v="605"/>
    <m/>
    <s v=""/>
    <s v="Supermercado Mathur"/>
    <s v="11954971535"/>
    <s v=""/>
    <s v="renato@mathur.com.br"/>
    <s v=""/>
    <s v=""/>
    <s v=""/>
    <s v=""/>
    <s v="Sao paulo"/>
    <s v="Inbound"/>
    <s v=""/>
    <s v=""/>
    <s v="Fora Perfil;Instagram"/>
    <s v="Pipeline de Vendas"/>
    <s v="Agendamento (0%)"/>
    <s v=""/>
    <m/>
    <m/>
    <m/>
    <n v="0"/>
    <s v="Paulo Souza"/>
    <d v="2026-04-20T00:00:00"/>
    <d v="1899-12-30T15:23:29"/>
    <s v=""/>
    <s v="Perdido"/>
    <d v="2026-04-20T00:00:00"/>
    <d v="1899-12-30T16:43:51"/>
    <s v="Fora do porte mínimo (sem fit estrutural)"/>
    <s v="Supermercado, fora do perfil"/>
    <s v=""/>
    <x v="0"/>
    <s v="Junior Lopes"/>
    <x v="0"/>
    <s v=""/>
    <m/>
    <n v="30"/>
    <s v=""/>
    <s v=""/>
    <s v=""/>
    <s v=""/>
    <n v="1"/>
  </r>
  <r>
    <x v="2"/>
    <n v="1130"/>
    <m/>
    <n v="3567"/>
    <s v="Falei com o Arthur,. porem quem esta cuidando disso é o Rodrigo, vai passar meu contato para ele para seguir com o Atendimento"/>
    <s v=""/>
    <x v="606"/>
    <m/>
    <s v=""/>
    <s v="Cafe Santa Monica"/>
    <s v="11981430800"/>
    <s v=""/>
    <s v="arthurmosco@gmail.com"/>
    <s v=""/>
    <s v=""/>
    <s v=""/>
    <s v=""/>
    <s v=""/>
    <s v="Campanha"/>
    <s v=""/>
    <s v=""/>
    <s v="Dentro Perfil;Instagram"/>
    <s v="Pipeline de Vendas"/>
    <s v="Qualificação de Vendas (SQL) (25%)"/>
    <s v=""/>
    <m/>
    <m/>
    <m/>
    <n v="30"/>
    <s v="Paulo Souza"/>
    <d v="2026-04-20T00:00:00"/>
    <d v="1899-12-30T15:25:17"/>
    <s v=""/>
    <s v="Ativo"/>
    <m/>
    <m/>
    <s v=""/>
    <s v=""/>
    <s v=""/>
    <x v="0"/>
    <s v="Rayssa Karapeticov"/>
    <x v="0"/>
    <s v=""/>
    <d v="2026-05-07T00:00:00"/>
    <n v="30"/>
    <s v=""/>
    <s v=""/>
    <s v=""/>
    <s v=""/>
    <n v="1"/>
  </r>
  <r>
    <x v="1"/>
    <n v="1131"/>
    <m/>
    <n v="3568"/>
    <s v="(20/04/2026) em contato com Kamilla"/>
    <s v=""/>
    <x v="607"/>
    <n v="36955063000149"/>
    <s v=""/>
    <s v="NORTH EXPORTACAO"/>
    <s v="(91) 9343-5475"/>
    <s v=""/>
    <s v="northacaifoods@gmail.com"/>
    <s v=""/>
    <s v=""/>
    <s v=""/>
    <s v="BELEM"/>
    <s v="PA"/>
    <s v="Campanha"/>
    <s v=""/>
    <s v=""/>
    <s v="Dentro Perfil;Instagram"/>
    <s v="Pipeline de Vendas"/>
    <s v="Qualificação de Vendas (SQL) (25%)"/>
    <s v=""/>
    <m/>
    <m/>
    <m/>
    <n v="19"/>
    <s v="Paulo Souza"/>
    <d v="2026-04-20T00:00:00"/>
    <d v="1899-12-30T15:26:13"/>
    <s v=""/>
    <s v="Perdido"/>
    <d v="2026-05-09T00:00:00"/>
    <d v="1899-12-30T08:36:50"/>
    <s v="Sem qualificação — contato não atende ligações nem responde msg"/>
    <s v=""/>
    <s v=""/>
    <x v="0"/>
    <s v="Junior Lopes"/>
    <x v="0"/>
    <s v=""/>
    <d v="2026-04-28T00:00:00"/>
    <n v="30"/>
    <s v=""/>
    <s v=""/>
    <s v=""/>
    <s v=""/>
    <n v="1"/>
  </r>
  <r>
    <x v="2"/>
    <n v="1132"/>
    <m/>
    <n v="3569"/>
    <s v="22.04 liguei e deu caixa postal _x000a_Bom dia Rafael, tudo bem? _x000a_Meu nome e Rayssa, sou Executiva de Vendas na Guarani Sistemas, estou retornando seu contato para falar sobre seu interesse em um novo software. _x000a_Para seguirmos com esse contato preciso entender o processo de sua empresa e o que esta buscando _x000a_Como prefere seguir o atendimento, por aqui ou quer que eu te ligue?"/>
    <s v=""/>
    <x v="608"/>
    <m/>
    <s v=""/>
    <s v="Lpx"/>
    <s v="9282770000"/>
    <s v=""/>
    <s v="atakadaoeletrica@gmail.com"/>
    <s v=""/>
    <s v=""/>
    <s v=""/>
    <s v=""/>
    <s v="Brasil"/>
    <s v="Inbound"/>
    <s v=""/>
    <s v=""/>
    <s v="Fora Perfil;Instagram"/>
    <s v="Pipeline de Vendas"/>
    <s v="Agendamento (0%)"/>
    <s v=""/>
    <m/>
    <m/>
    <m/>
    <n v="19"/>
    <s v="Paulo Souza"/>
    <d v="2026-04-20T00:00:00"/>
    <d v="1899-12-30T15:27:43"/>
    <s v=""/>
    <s v="Perdido"/>
    <d v="2026-05-09T00:00:00"/>
    <d v="1899-12-30T08:43:51"/>
    <s v="Sem qualificação — contato não atende ligações nem responde msg"/>
    <s v=""/>
    <s v=""/>
    <x v="0"/>
    <s v="Rayssa Karapeticov"/>
    <x v="0"/>
    <s v=""/>
    <d v="2026-04-29T00:00:00"/>
    <n v="30"/>
    <s v=""/>
    <s v=""/>
    <s v=""/>
    <s v=""/>
    <n v="1"/>
  </r>
  <r>
    <x v="1"/>
    <n v="1133"/>
    <m/>
    <n v="3571"/>
    <s v="16:55, 20/04/2026 Junior Lopes: Olá Marcos , boa tarde_x000a_16:55, 20/04/2026 Junior Lopes: sou Junior lopes da Guarani sistemas, td bem ?_x000a_16:55, 20/04/2026 Junior Lopes: estou retornando contato que vc fez conosco_x000a_17:18, 20/04/2026 +55 18 99701-9440: Olá boa tarde."/>
    <s v=""/>
    <x v="609"/>
    <m/>
    <s v=""/>
    <s v="Governo do Estado de São Paulo"/>
    <s v="18997019440"/>
    <s v=""/>
    <s v="marcosleitao37@hotmail.com"/>
    <s v=""/>
    <s v=""/>
    <s v=""/>
    <s v=""/>
    <s v="Presidente Epitácio Sp"/>
    <s v="Inbound"/>
    <s v=""/>
    <s v=""/>
    <s v="Fora Perfil;Instagram"/>
    <s v="Pipeline de Vendas"/>
    <s v="Agendamento (0%)"/>
    <s v=""/>
    <m/>
    <m/>
    <m/>
    <n v="19"/>
    <s v="Paulo Souza"/>
    <d v="2026-04-20T00:00:00"/>
    <d v="1899-12-30T15:29:11"/>
    <s v=""/>
    <s v="Perdido"/>
    <d v="2026-05-09T00:00:00"/>
    <d v="1899-12-30T08:45:24"/>
    <s v="Fora do segmento atendido"/>
    <s v=""/>
    <s v=""/>
    <x v="0"/>
    <s v="Junior Lopes"/>
    <x v="0"/>
    <s v=""/>
    <m/>
    <n v="30"/>
    <s v=""/>
    <s v=""/>
    <s v=""/>
    <s v=""/>
    <n v="1"/>
  </r>
  <r>
    <x v="0"/>
    <n v="1134"/>
    <m/>
    <n v="3575"/>
    <s v=""/>
    <s v=""/>
    <x v="610"/>
    <n v="67846790000100"/>
    <s v=""/>
    <s v="Andrea"/>
    <s v="(11) 4526-2313"/>
    <s v=""/>
    <s v="financeiro@hoberplasticos.com.br"/>
    <s v=""/>
    <s v=""/>
    <s v=""/>
    <s v="JUNDIAI"/>
    <s v="SP"/>
    <s v=""/>
    <s v=""/>
    <s v=""/>
    <s v=""/>
    <s v="Pipeline de Vendas"/>
    <s v="Em negociação (75%)"/>
    <s v=""/>
    <d v="2026-05-31T00:00:00"/>
    <n v="1364029"/>
    <n v="563118"/>
    <n v="30"/>
    <s v="Paulo Souza"/>
    <d v="2026-04-20T00:00:00"/>
    <d v="1899-12-30T16:00:02"/>
    <s v=""/>
    <s v="Ativo"/>
    <m/>
    <m/>
    <s v=""/>
    <s v=""/>
    <s v=""/>
    <x v="210"/>
    <s v="Paulo Souza"/>
    <x v="233"/>
    <s v=""/>
    <d v="2026-05-18T00:00:00"/>
    <n v="30"/>
    <s v=""/>
    <s v=""/>
    <s v=""/>
    <s v=""/>
    <n v="1"/>
  </r>
  <r>
    <x v="0"/>
    <n v="1135"/>
    <m/>
    <n v="3578"/>
    <s v=""/>
    <s v=""/>
    <x v="490"/>
    <n v="7730144000142"/>
    <s v=""/>
    <s v="Alexandre"/>
    <s v="(11) 4151-2564/ (11) 4551-2554"/>
    <s v=""/>
    <s v="comercial@kopermax.com.br"/>
    <s v=""/>
    <s v=""/>
    <s v=""/>
    <s v="CARAPICUIBA"/>
    <s v="SP"/>
    <s v=""/>
    <s v=""/>
    <s v=""/>
    <s v=""/>
    <s v="Pipeline de Vendas"/>
    <s v="Apresentar Proposta (50%)"/>
    <s v=""/>
    <d v="2026-05-31T00:00:00"/>
    <m/>
    <m/>
    <n v="21"/>
    <s v="Paulo Souza"/>
    <d v="2026-04-20T00:00:00"/>
    <d v="1899-12-30T16:52:52"/>
    <s v=""/>
    <s v="Perdido"/>
    <d v="2026-05-11T00:00:00"/>
    <d v="1899-12-30T11:58:02"/>
    <s v="Projeto adiado / sem prazo definido"/>
    <s v=""/>
    <s v=""/>
    <x v="211"/>
    <s v="Paulo Souza"/>
    <x v="233"/>
    <s v=""/>
    <m/>
    <n v="30"/>
    <s v=""/>
    <s v=""/>
    <s v=""/>
    <s v=""/>
    <n v="1"/>
  </r>
  <r>
    <x v="1"/>
    <n v="1136"/>
    <m/>
    <n v="3582"/>
    <s v="(23/04/2026) em contato com João Netto via telefone _x000a_atualmente busca um software para automação da sua produção e controle de estoque que contempla a gestão financeira e fiscal , sua equipe de venda precisa de um aplicativo para estrada e controle de pedidos"/>
    <s v=""/>
    <x v="611"/>
    <n v="25356414000189"/>
    <s v=""/>
    <s v="Bia alimentos"/>
    <s v="75992608709"/>
    <s v=""/>
    <s v="jjneto28@gmail.com"/>
    <s v=""/>
    <s v=""/>
    <s v=""/>
    <s v="SAO GONCALO DOS CAMPOS"/>
    <s v="BA"/>
    <s v="Campanha"/>
    <s v=""/>
    <s v=""/>
    <s v="Dentro Perfil;Instagram"/>
    <s v="Pipeline de Vendas"/>
    <s v="Apresentar Solução (35%)"/>
    <s v=""/>
    <m/>
    <m/>
    <m/>
    <n v="27"/>
    <s v="Paulo Souza"/>
    <d v="2026-04-23T00:00:00"/>
    <d v="1899-12-30T14:05:58"/>
    <s v=""/>
    <s v="Ativo"/>
    <m/>
    <m/>
    <s v=""/>
    <s v=""/>
    <s v=""/>
    <x v="0"/>
    <s v="Junior Lopes"/>
    <x v="0"/>
    <s v=""/>
    <m/>
    <n v="30"/>
    <s v=""/>
    <s v=""/>
    <s v=""/>
    <s v=""/>
    <n v="1"/>
  </r>
  <r>
    <x v="2"/>
    <n v="1137"/>
    <m/>
    <n v="3581"/>
    <s v=""/>
    <s v=""/>
    <x v="612"/>
    <m/>
    <s v=""/>
    <s v="Quality medical"/>
    <s v="6592542913"/>
    <s v=""/>
    <s v="marcosrobertosilvestre@hotmail.com"/>
    <s v=""/>
    <s v=""/>
    <s v=""/>
    <s v=""/>
    <s v=""/>
    <s v="Campanha"/>
    <s v=""/>
    <s v=""/>
    <s v="Dentro Perfil;Instagram"/>
    <s v="Pipeline de Vendas"/>
    <s v="Qualificação de Vendas (SQL) (25%)"/>
    <s v=""/>
    <m/>
    <m/>
    <m/>
    <n v="27"/>
    <s v="Paulo Souza"/>
    <d v="2026-04-23T00:00:00"/>
    <d v="1899-12-30T14:08:08"/>
    <s v=""/>
    <s v="Ativo"/>
    <m/>
    <m/>
    <s v=""/>
    <s v=""/>
    <s v=""/>
    <x v="0"/>
    <s v="Rayssa Karapeticov"/>
    <x v="0"/>
    <s v=""/>
    <d v="2026-05-07T00:00:00"/>
    <n v="30"/>
    <s v=""/>
    <s v=""/>
    <s v=""/>
    <s v=""/>
    <n v="1"/>
  </r>
  <r>
    <x v="2"/>
    <n v="1138"/>
    <m/>
    <n v="3586"/>
    <s v=""/>
    <s v=""/>
    <x v="613"/>
    <m/>
    <s v=""/>
    <s v="Autônomo"/>
    <s v="94991836683"/>
    <s v=""/>
    <s v="gersondsvasconcelos@gmail.com"/>
    <s v=""/>
    <s v=""/>
    <s v=""/>
    <s v=""/>
    <s v=""/>
    <s v="Campanha"/>
    <s v=""/>
    <s v=""/>
    <s v="Fora Perfil;Instagram"/>
    <s v="Pipeline de Vendas"/>
    <s v="Agendamento (0%)"/>
    <s v=""/>
    <m/>
    <m/>
    <m/>
    <n v="15"/>
    <s v="Paulo Souza"/>
    <d v="2026-04-24T00:00:00"/>
    <d v="1899-12-30T10:11:26"/>
    <s v=""/>
    <s v="Perdido"/>
    <d v="2026-05-09T00:00:00"/>
    <d v="1899-12-30T08:45:54"/>
    <s v="Sem qualificação — contato não atende ligações nem responde msg"/>
    <s v=""/>
    <s v=""/>
    <x v="0"/>
    <s v="Rayssa Karapeticov"/>
    <x v="0"/>
    <s v=""/>
    <m/>
    <n v="30"/>
    <s v=""/>
    <s v=""/>
    <s v=""/>
    <s v=""/>
    <n v="1"/>
  </r>
  <r>
    <x v="1"/>
    <n v="1139"/>
    <m/>
    <n v="3603"/>
    <s v="(27/04/2026) em contato com Carol, Sr. Paulo não estava na empresa ! Carol anotou meu WhatsApp para retorno"/>
    <s v=""/>
    <x v="614"/>
    <n v="7598229000119"/>
    <s v=""/>
    <s v="plaslumy"/>
    <s v="(35) 3232-2223 / (35) 3234-1578 / (35) 3232-2223"/>
    <s v=""/>
    <s v="fiscal@plaslumy.com.br"/>
    <s v=""/>
    <s v=""/>
    <s v=""/>
    <s v="TRES CORACOES"/>
    <s v="MG"/>
    <s v="Inbound"/>
    <s v=""/>
    <s v=""/>
    <s v="Dentro Perfil;Instagram"/>
    <s v="Pipeline de Vendas"/>
    <s v="Qualificação de Vendas (SQL) (25%)"/>
    <s v=""/>
    <m/>
    <m/>
    <m/>
    <n v="23"/>
    <s v="Paulo Souza"/>
    <d v="2026-04-27T00:00:00"/>
    <d v="1899-12-30T15:32:48"/>
    <s v=""/>
    <s v="Ativo"/>
    <m/>
    <m/>
    <s v=""/>
    <s v=""/>
    <s v=""/>
    <x v="0"/>
    <s v="Junior Lopes"/>
    <x v="0"/>
    <s v=""/>
    <m/>
    <n v="30"/>
    <s v=""/>
    <s v=""/>
    <s v=""/>
    <s v=""/>
    <n v="1"/>
  </r>
  <r>
    <x v="2"/>
    <n v="1140"/>
    <m/>
    <n v="3588"/>
    <s v=""/>
    <s v=""/>
    <x v="615"/>
    <n v="7403402000186"/>
    <s v=""/>
    <s v="Shopping do Parafuso"/>
    <s v="31996583027"/>
    <s v=""/>
    <s v="comercial@shoppingdoparafuso.com.br"/>
    <s v=""/>
    <s v=""/>
    <s v=""/>
    <s v=""/>
    <s v=""/>
    <s v="Campanha"/>
    <s v=""/>
    <s v=""/>
    <s v="Fora Perfil;Instagram;Perfil Indefinido"/>
    <s v="Pipeline de Vendas"/>
    <s v="Qualificação de Vendas (SQL) (25%)"/>
    <s v=""/>
    <m/>
    <m/>
    <m/>
    <n v="10"/>
    <s v="Paulo Souza"/>
    <d v="2026-04-27T00:00:00"/>
    <d v="1899-12-30T15:48:50"/>
    <s v=""/>
    <s v="Perdido"/>
    <d v="2026-05-07T00:00:00"/>
    <d v="1899-12-30T10:40:49"/>
    <s v="Fora do porte mínimo (sem fit estrutural)"/>
    <s v=""/>
    <s v=""/>
    <x v="0"/>
    <s v="Rayssa Karapeticov"/>
    <x v="0"/>
    <s v=""/>
    <d v="2026-04-29T00:00:00"/>
    <n v="30"/>
    <s v=""/>
    <s v=""/>
    <s v=""/>
    <s v=""/>
    <n v="1"/>
  </r>
  <r>
    <x v="2"/>
    <n v="1141"/>
    <m/>
    <n v="3589"/>
    <s v=""/>
    <s v=""/>
    <x v="616"/>
    <n v="24094663000180"/>
    <s v=""/>
    <s v="Max LED"/>
    <s v="(11) 2181-1005 / (11) 6735-4750 / (11) 2181-1005"/>
    <s v=""/>
    <s v="alexfelixsantos@hotmail.com"/>
    <s v=""/>
    <s v=""/>
    <s v=""/>
    <s v="SAO PAULO"/>
    <s v="SP"/>
    <s v="Campanha"/>
    <s v=""/>
    <s v=""/>
    <s v="Dentro Perfil;Instagram"/>
    <s v="Pipeline de Vendas"/>
    <s v="Apresentar Solução (35%)"/>
    <s v=""/>
    <m/>
    <m/>
    <m/>
    <n v="23"/>
    <s v="Paulo Souza"/>
    <d v="2026-04-27T00:00:00"/>
    <d v="1899-12-30T15:49:56"/>
    <s v=""/>
    <s v="Ativo"/>
    <m/>
    <m/>
    <s v=""/>
    <s v=""/>
    <s v=""/>
    <x v="0"/>
    <s v="Rayssa Karapeticov"/>
    <x v="234"/>
    <s v=""/>
    <d v="2026-05-18T00:00:00"/>
    <n v="30"/>
    <s v=""/>
    <s v=""/>
    <s v=""/>
    <s v=""/>
    <n v="1"/>
  </r>
  <r>
    <x v="1"/>
    <n v="1142"/>
    <m/>
    <n v="3590"/>
    <s v=""/>
    <s v=""/>
    <x v="617"/>
    <m/>
    <s v=""/>
    <s v="Tres americas alimentos"/>
    <s v="65992888768"/>
    <s v=""/>
    <s v="jctransportess.mt@gmail.com"/>
    <s v=""/>
    <s v=""/>
    <s v=""/>
    <s v=""/>
    <s v=""/>
    <s v="Campanha"/>
    <s v=""/>
    <s v=""/>
    <s v="Dentro Perfil;Instagram"/>
    <s v="Pipeline de Vendas"/>
    <s v="Qualificação de Vendas (SQL) (25%)"/>
    <s v=""/>
    <m/>
    <m/>
    <m/>
    <n v="23"/>
    <s v="Paulo Souza"/>
    <d v="2026-04-27T00:00:00"/>
    <d v="1899-12-30T15:52:31"/>
    <s v=""/>
    <s v="Ativo"/>
    <m/>
    <m/>
    <s v=""/>
    <s v=""/>
    <s v=""/>
    <x v="0"/>
    <s v="Junior Lopes"/>
    <x v="0"/>
    <s v=""/>
    <d v="2026-05-06T00:00:00"/>
    <n v="30"/>
    <s v=""/>
    <s v=""/>
    <s v=""/>
    <s v=""/>
    <n v="1"/>
  </r>
  <r>
    <x v="2"/>
    <n v="1143"/>
    <m/>
    <n v="3591"/>
    <s v="Todos os dados preenchidos:_x000a_empresa: Alexdan _x000a_name: Alexandre Biassio _x000a_cargo: Diretor _x000a_whatsapp: 11982599832 _x000a_email: alexandre@alexdan.com.br _x000a_referrer: https://www.guaranisistemas.com.br/"/>
    <s v=""/>
    <x v="618"/>
    <n v="3098281000155"/>
    <s v=""/>
    <s v="Alexandre Biassio"/>
    <s v=""/>
    <s v=""/>
    <s v="alexandre@alexdan.com.br"/>
    <s v=""/>
    <s v=""/>
    <s v=""/>
    <s v="Santo André"/>
    <s v=""/>
    <s v="Inbound"/>
    <s v=""/>
    <s v=""/>
    <s v=""/>
    <s v="Pipeline de Vendas"/>
    <s v="Apresentar Solução (35%)"/>
    <s v=""/>
    <m/>
    <m/>
    <m/>
    <n v="23"/>
    <s v="Paulo Souza"/>
    <d v="2026-04-27T00:00:00"/>
    <d v="1899-12-30T15:53:51"/>
    <s v=""/>
    <s v="Ativo"/>
    <m/>
    <m/>
    <s v=""/>
    <s v=""/>
    <s v=""/>
    <x v="0"/>
    <s v="Rayssa Karapeticov"/>
    <x v="0"/>
    <s v=""/>
    <d v="2026-05-19T00:00:00"/>
    <n v="30"/>
    <s v=""/>
    <s v=""/>
    <s v=""/>
    <s v=""/>
    <n v="1"/>
  </r>
  <r>
    <x v="1"/>
    <n v="1144"/>
    <m/>
    <n v="3592"/>
    <s v="(28/04/2026) em contato com Janayna"/>
    <s v=""/>
    <x v="619"/>
    <m/>
    <s v=""/>
    <s v="Bitilila Nails"/>
    <s v="17997180789"/>
    <s v=""/>
    <s v="janaynamundial@hotmail.com"/>
    <s v=""/>
    <s v=""/>
    <s v=""/>
    <s v=""/>
    <s v=""/>
    <s v="Campanha"/>
    <s v=""/>
    <s v=""/>
    <s v="Dentro Perfil;Instagram"/>
    <s v="Pipeline de Vendas"/>
    <s v="Agendamento (0%)"/>
    <s v=""/>
    <m/>
    <m/>
    <m/>
    <n v="12"/>
    <s v="Paulo Souza"/>
    <d v="2026-04-27T00:00:00"/>
    <d v="1899-12-30T15:54:58"/>
    <s v=""/>
    <s v="Perdido"/>
    <d v="2026-05-09T00:00:00"/>
    <d v="1899-12-30T08:46:25"/>
    <s v="Sem qualificação — contato não atende ligações nem responde msg"/>
    <s v=""/>
    <s v=""/>
    <x v="0"/>
    <s v="Junior Lopes"/>
    <x v="0"/>
    <s v=""/>
    <d v="2026-05-06T00:00:00"/>
    <n v="32"/>
    <s v=""/>
    <s v=""/>
    <s v=""/>
    <s v=""/>
    <n v="1"/>
  </r>
  <r>
    <x v="2"/>
    <n v="1145"/>
    <m/>
    <n v="3599"/>
    <s v=""/>
    <s v="Abc Internacional Comercio Importacao E Exportacao Ltda"/>
    <x v="620"/>
    <n v="58846435000131"/>
    <s v=""/>
    <s v="Abc Internacional Comercio Importacao E Exportacao Ltda"/>
    <s v="(47) 3021-7932"/>
    <s v=""/>
    <s v="contato@contabilidadestacatarina.com.br"/>
    <s v=""/>
    <s v=""/>
    <s v=""/>
    <s v="SAO PAULO"/>
    <s v="SP"/>
    <s v="Base de empresas Leads2b"/>
    <s v=""/>
    <s v=""/>
    <s v=""/>
    <s v="Pipeline de Vendas"/>
    <s v="Qualificação de Vendas (SQL) (25%)"/>
    <s v=""/>
    <m/>
    <m/>
    <m/>
    <n v="23"/>
    <s v="Rayssa Karapeticov"/>
    <d v="2026-04-27T00:00:00"/>
    <d v="1899-12-30T15:55:21"/>
    <s v=""/>
    <s v="Ativo"/>
    <m/>
    <m/>
    <s v=""/>
    <s v=""/>
    <s v=""/>
    <x v="0"/>
    <s v="Rayssa Karapeticov"/>
    <x v="0"/>
    <s v=""/>
    <d v="2026-05-13T00:00:00"/>
    <n v="30"/>
    <s v=""/>
    <s v="ERP"/>
    <s v=""/>
    <s v=""/>
    <n v="1"/>
  </r>
  <r>
    <x v="2"/>
    <n v="1146"/>
    <m/>
    <n v="3593"/>
    <s v=""/>
    <s v=""/>
    <x v="621"/>
    <m/>
    <s v=""/>
    <s v="Oneclick"/>
    <s v="31999499091"/>
    <s v=""/>
    <s v="hm2matoa@gmail.com"/>
    <s v=""/>
    <s v=""/>
    <s v=""/>
    <s v=""/>
    <s v=""/>
    <s v="Campanha"/>
    <s v=""/>
    <s v=""/>
    <s v="Dentro Perfil;Instagram"/>
    <s v="Pipeline de Vendas"/>
    <s v="Qualificação de Vendas (SQL) (25%)"/>
    <s v=""/>
    <m/>
    <m/>
    <m/>
    <n v="16"/>
    <s v="Paulo Souza"/>
    <d v="2026-04-27T00:00:00"/>
    <d v="1899-12-30T15:56:24"/>
    <s v=""/>
    <s v="Perdido"/>
    <d v="2026-05-13T00:00:00"/>
    <d v="1899-12-30T12:58:25"/>
    <s v="Sem qualificação — contato não atende ligações nem responde msg"/>
    <s v=""/>
    <s v=""/>
    <x v="0"/>
    <s v="Rayssa Karapeticov"/>
    <x v="0"/>
    <s v=""/>
    <d v="2026-05-13T00:00:00"/>
    <n v="30"/>
    <s v=""/>
    <s v=""/>
    <s v=""/>
    <s v=""/>
    <n v="1"/>
  </r>
  <r>
    <x v="1"/>
    <n v="1147"/>
    <m/>
    <n v="3594"/>
    <s v="16:13, 27/04/2026 Junior Lopes: Olá Manuel , boa tarde_x000a_16:14, 27/04/2026 Junior Lopes: Junior da Guarani sistemas por aqui_x000a_(28/04/2026) em contato com Manuel, empresa de construção civil , fora do perfil"/>
    <s v=""/>
    <x v="622"/>
    <m/>
    <s v=""/>
    <s v="JJ SOLUÇÕES INDUSTRIAIS"/>
    <s v="9294614731"/>
    <s v=""/>
    <s v="manuel.rivero@jjsoluempresa.com"/>
    <s v=""/>
    <s v=""/>
    <s v=""/>
    <s v=""/>
    <s v=""/>
    <s v="Campanha"/>
    <s v=""/>
    <s v=""/>
    <s v="Fora Perfil;Instagram"/>
    <s v="Pipeline de Vendas"/>
    <s v="Agendamento (0%)"/>
    <s v=""/>
    <m/>
    <m/>
    <m/>
    <n v="1"/>
    <s v="Paulo Souza"/>
    <d v="2026-04-27T00:00:00"/>
    <d v="1899-12-30T15:57:32"/>
    <s v=""/>
    <s v="Perdido"/>
    <d v="2026-04-28T00:00:00"/>
    <d v="1899-12-30T11:42:44"/>
    <s v="Fora do porte mínimo (sem fit estrutural)"/>
    <s v="construção civil"/>
    <s v=""/>
    <x v="0"/>
    <s v="Junior Lopes"/>
    <x v="0"/>
    <s v=""/>
    <m/>
    <n v="30"/>
    <s v=""/>
    <s v=""/>
    <s v=""/>
    <s v=""/>
    <n v="1"/>
  </r>
  <r>
    <x v="2"/>
    <n v="1148"/>
    <m/>
    <n v="3595"/>
    <s v=""/>
    <s v=""/>
    <x v="623"/>
    <n v="10255338000148"/>
    <s v=""/>
    <s v="JA ind plástica"/>
    <s v="62981282665"/>
    <s v=""/>
    <s v="big@biglixos.com.br"/>
    <s v=""/>
    <s v=""/>
    <s v=""/>
    <s v=""/>
    <s v=""/>
    <s v="Campanha"/>
    <s v=""/>
    <s v=""/>
    <s v="Dentro Perfil;Instagram"/>
    <s v="Pipeline de Vendas"/>
    <s v="Qualificação de Vendas (SQL) (25%)"/>
    <s v=""/>
    <m/>
    <m/>
    <m/>
    <n v="23"/>
    <s v="Paulo Souza"/>
    <d v="2026-04-27T00:00:00"/>
    <d v="1899-12-30T15:58:51"/>
    <s v=""/>
    <s v="Ativo"/>
    <m/>
    <m/>
    <s v=""/>
    <s v=""/>
    <s v=""/>
    <x v="0"/>
    <s v="Rayssa Karapeticov"/>
    <x v="0"/>
    <s v=""/>
    <d v="2026-05-13T00:00:00"/>
    <n v="30"/>
    <s v=""/>
    <s v=""/>
    <s v=""/>
    <s v=""/>
    <n v="1"/>
  </r>
  <r>
    <x v="2"/>
    <n v="1149"/>
    <m/>
    <n v="3596"/>
    <s v=""/>
    <s v=""/>
    <x v="624"/>
    <n v="44922087000120"/>
    <s v=""/>
    <s v="Invictus Soluções Integradas Ltda"/>
    <s v="(34) 3817-8240"/>
    <s v=""/>
    <s v="licitacao.invictus@gmail.com"/>
    <s v=""/>
    <s v=""/>
    <s v=""/>
    <s v="COROMANDEL"/>
    <s v="MG"/>
    <s v="Campanha"/>
    <s v=""/>
    <s v=""/>
    <s v="Fora Perfil;Instagram"/>
    <s v="Pipeline de Vendas"/>
    <s v="Agendamento (0%)"/>
    <s v=""/>
    <m/>
    <m/>
    <m/>
    <n v="12"/>
    <s v="Paulo Souza"/>
    <d v="2026-04-27T00:00:00"/>
    <d v="1899-12-30T16:00:22"/>
    <s v=""/>
    <s v="Perdido"/>
    <d v="2026-05-09T00:00:00"/>
    <d v="1899-12-30T08:50:26"/>
    <s v="Fora do segmento atendido"/>
    <s v=""/>
    <s v=""/>
    <x v="0"/>
    <s v="Rayssa Karapeticov"/>
    <x v="0"/>
    <s v=""/>
    <m/>
    <n v="30"/>
    <s v=""/>
    <s v=""/>
    <s v=""/>
    <s v=""/>
    <n v="1"/>
  </r>
  <r>
    <x v="1"/>
    <n v="1150"/>
    <m/>
    <n v="3597"/>
    <s v="16:36, 27/04/2026 Junior Lopes: Olá Paulo , boa tarde_x000a_16:37, 27/04/2026 Junior Lopes: Junior da Guarani sistemas por aqui_x000a_16:37, 27/04/2026 Junior Lopes: Td bem ?_x000a_11:46, 28/04/2026 Junior Lopes: Paulo , tudo bem ? _x000a_Não tive seu retorno _x000a_De qualquer forma pode me chamar caso queira dar continuidade _x000a_Um abraço"/>
    <s v=""/>
    <x v="625"/>
    <m/>
    <s v=""/>
    <s v="Paulo Sergio"/>
    <s v="(67) 99341-4113"/>
    <s v=""/>
    <s v="paulopedradagua@gmail.com"/>
    <s v=""/>
    <s v=""/>
    <s v=""/>
    <s v="Campo Grande"/>
    <s v=""/>
    <s v="Site"/>
    <s v=""/>
    <s v=""/>
    <s v="Solicita demo"/>
    <s v="Pipeline de Vendas"/>
    <s v="Agendamento (0%)"/>
    <s v=""/>
    <m/>
    <m/>
    <m/>
    <n v="1"/>
    <s v="Paulo Souza"/>
    <d v="2026-04-27T00:00:00"/>
    <d v="1899-12-30T16:01:20"/>
    <s v=""/>
    <s v="Perdido"/>
    <d v="2026-04-28T00:00:00"/>
    <d v="1899-12-30T11:47:45"/>
    <s v="Nossa solução não atende - falta funcionalidade"/>
    <s v="16:36, 27/04/2026 Junior Lopes: Olá Paulo , boa tarde_x000a_16:37, 27/04/2026 Junior Lopes: Junior da Guarani sistemas por aqui_x000a_16:37, 27/04/2026 Junior Lopes: Td bem ?_x000a_11:46, 28/04/2026 Junior Lopes: Paulo , tudo bem ? _x000a_Não tive seu retorno _x000a_De qualquer forma pode me chamar caso queira dar continuidade _x000a_Um abraço"/>
    <s v=""/>
    <x v="0"/>
    <s v="Junior Lopes"/>
    <x v="0"/>
    <s v=""/>
    <m/>
    <n v="30"/>
    <s v=""/>
    <s v=""/>
    <s v=""/>
    <s v=""/>
    <n v="1"/>
  </r>
  <r>
    <x v="1"/>
    <n v="1151"/>
    <m/>
    <n v="3602"/>
    <s v="28/04/2026) tentativa de contato não atendida , em uma busca sobre o lead, percebi que esta fora do perfil , revendedor de têni"/>
    <s v=""/>
    <x v="626"/>
    <m/>
    <s v=""/>
    <s v="GRIJALBA AGUIAR LINHARES"/>
    <s v="85985507327"/>
    <s v=""/>
    <s v="grijalbalinhares@gmail.com"/>
    <s v=""/>
    <s v=""/>
    <s v=""/>
    <s v=""/>
    <s v=""/>
    <s v="Campanha"/>
    <s v=""/>
    <s v=""/>
    <s v="Fora Perfil;Instagram"/>
    <s v="Pipeline de Vendas"/>
    <s v="Agendamento (0%)"/>
    <s v=""/>
    <m/>
    <m/>
    <m/>
    <n v="1"/>
    <s v="Paulo Souza"/>
    <d v="2026-04-27T00:00:00"/>
    <d v="1899-12-30T16:02:02"/>
    <s v=""/>
    <s v="Perdido"/>
    <d v="2026-04-28T00:00:00"/>
    <d v="1899-12-30T11:21:54"/>
    <s v="Fora do porte mínimo (sem fit estrutural)"/>
    <s v="fora do perfil, revendedor de tenis"/>
    <s v=""/>
    <x v="0"/>
    <s v="Junior Lopes"/>
    <x v="0"/>
    <s v=""/>
    <m/>
    <n v="30"/>
    <s v=""/>
    <s v=""/>
    <s v=""/>
    <s v=""/>
    <n v="1"/>
  </r>
  <r>
    <x v="2"/>
    <n v="1152"/>
    <m/>
    <n v="3608"/>
    <s v=""/>
    <s v=""/>
    <x v="627"/>
    <n v="9073191000196"/>
    <s v=""/>
    <s v="Megacenter trading"/>
    <s v="45999334900"/>
    <s v=""/>
    <s v="eduardo@megacenteratacado.com.br"/>
    <s v=""/>
    <s v=""/>
    <s v=""/>
    <s v=""/>
    <s v="Foz do iguaçu"/>
    <s v="Inbound"/>
    <s v=""/>
    <s v=""/>
    <s v="Dentro Perfil;Instagram"/>
    <s v="Pipeline de Vendas"/>
    <s v="Qualificação de Vendas (SQL) (25%)"/>
    <s v=""/>
    <m/>
    <m/>
    <m/>
    <n v="21"/>
    <s v="Paulo Souza"/>
    <d v="2026-04-29T00:00:00"/>
    <d v="1899-12-30T07:28:01"/>
    <s v=""/>
    <s v="Ativo"/>
    <m/>
    <m/>
    <s v=""/>
    <s v=""/>
    <s v=""/>
    <x v="0"/>
    <s v="Rayssa Karapeticov"/>
    <x v="0"/>
    <s v=""/>
    <d v="2026-05-13T00:00:00"/>
    <n v="30"/>
    <s v=""/>
    <s v=""/>
    <s v=""/>
    <s v=""/>
    <n v="1"/>
  </r>
  <r>
    <x v="1"/>
    <n v="1153"/>
    <m/>
    <n v="3609"/>
    <s v=""/>
    <s v=""/>
    <x v="628"/>
    <m/>
    <s v=""/>
    <s v="Distribuidora Robaski"/>
    <s v="51998484595"/>
    <s v=""/>
    <s v="edson@robaski.com.br"/>
    <s v=""/>
    <s v=""/>
    <s v=""/>
    <s v=""/>
    <s v=""/>
    <s v="Campanha"/>
    <s v=""/>
    <s v=""/>
    <s v="Dentro Perfil;Instagram"/>
    <s v="Pipeline de Vendas"/>
    <s v="Qualificação de Vendas (SQL) (25%)"/>
    <s v=""/>
    <m/>
    <m/>
    <m/>
    <n v="21"/>
    <s v="Paulo Souza"/>
    <d v="2026-04-29T00:00:00"/>
    <d v="1899-12-30T07:29:14"/>
    <s v=""/>
    <s v="Ativo"/>
    <m/>
    <m/>
    <s v=""/>
    <s v=""/>
    <s v=""/>
    <x v="0"/>
    <s v="Junior Lopes"/>
    <x v="0"/>
    <s v=""/>
    <d v="2026-05-06T00:00:00"/>
    <n v="30"/>
    <s v=""/>
    <s v=""/>
    <s v=""/>
    <s v=""/>
    <n v="1"/>
  </r>
  <r>
    <x v="2"/>
    <n v="1154"/>
    <m/>
    <n v="3610"/>
    <s v=""/>
    <s v=""/>
    <x v="629"/>
    <n v="8051809000154"/>
    <s v=""/>
    <s v="Rc distribuidora"/>
    <s v="93991455102"/>
    <s v=""/>
    <s v="dis.aliaca@gemai.com"/>
    <s v=""/>
    <s v=""/>
    <s v=""/>
    <s v=""/>
    <s v=""/>
    <s v="Campanha"/>
    <s v=""/>
    <s v=""/>
    <s v="Dentro Perfil;Instagram"/>
    <s v="Pipeline de Vendas"/>
    <s v="Qualificação de Vendas (SQL) (25%)"/>
    <s v=""/>
    <m/>
    <m/>
    <m/>
    <n v="14"/>
    <s v="Paulo Souza"/>
    <d v="2026-04-29T00:00:00"/>
    <d v="1899-12-30T07:30:18"/>
    <s v=""/>
    <s v="Perdido"/>
    <d v="2026-05-13T00:00:00"/>
    <d v="1899-12-30T12:45:34"/>
    <s v="Sem qualificação — contato não atende ligações nem responde msg"/>
    <s v=""/>
    <s v=""/>
    <x v="0"/>
    <s v="Rayssa Karapeticov"/>
    <x v="0"/>
    <s v=""/>
    <d v="2026-05-04T00:00:00"/>
    <n v="30"/>
    <s v=""/>
    <s v=""/>
    <s v=""/>
    <s v=""/>
    <n v="1"/>
  </r>
  <r>
    <x v="1"/>
    <n v="1155"/>
    <m/>
    <n v="3611"/>
    <s v="08:59, 29/04/2026 Junior Lopes: Olá Antonio , bom dia_x000a_09:00, 29/04/2026 Junior Lopes: Junior da Guarani sistemas por aqui_x000a_16:55, 04/05/2026 Junior Lopes: Olá Antonio ! Boa tarde"/>
    <s v=""/>
    <x v="630"/>
    <n v="8962163000167"/>
    <s v=""/>
    <s v="Antonio Rodriguez"/>
    <s v="31992924902"/>
    <s v=""/>
    <s v="ar@linexgel.com.br"/>
    <s v=""/>
    <s v=""/>
    <s v=""/>
    <s v=""/>
    <s v="Contagem"/>
    <s v="Inbound"/>
    <s v=""/>
    <s v=""/>
    <s v="Dentro Perfil;Instagram"/>
    <s v="Pipeline de Vendas"/>
    <s v="Qualificação de Vendas (SQL) (25%)"/>
    <s v=""/>
    <m/>
    <m/>
    <m/>
    <n v="21"/>
    <s v="Paulo Souza"/>
    <d v="2026-04-29T00:00:00"/>
    <d v="1899-12-30T07:31:11"/>
    <s v=""/>
    <s v="Ativo"/>
    <m/>
    <m/>
    <s v=""/>
    <s v=""/>
    <s v=""/>
    <x v="0"/>
    <s v="Junior Lopes"/>
    <x v="0"/>
    <s v=""/>
    <d v="2026-05-04T00:00:00"/>
    <n v="30"/>
    <s v=""/>
    <s v=""/>
    <s v=""/>
    <s v=""/>
    <n v="1"/>
  </r>
  <r>
    <x v="2"/>
    <n v="1156"/>
    <m/>
    <n v="3612"/>
    <s v=""/>
    <s v=""/>
    <x v="631"/>
    <n v="11513572000190"/>
    <s v=""/>
    <s v="Brsafe Comércio de Epis Ltda"/>
    <s v="43999150512"/>
    <s v=""/>
    <s v="comercial@brsafeepi.com.br"/>
    <s v=""/>
    <s v=""/>
    <s v=""/>
    <s v=""/>
    <s v="Arapongas"/>
    <s v="Inbound"/>
    <s v=""/>
    <s v=""/>
    <s v="Dentro Perfil;Instagram"/>
    <s v="Pipeline de Vendas"/>
    <s v="Qualificação de Vendas (SQL) (25%)"/>
    <s v=""/>
    <d v="2026-05-13T00:00:00"/>
    <m/>
    <m/>
    <n v="14"/>
    <s v="Paulo Souza"/>
    <d v="2026-04-29T00:00:00"/>
    <d v="1899-12-30T07:32:06"/>
    <s v=""/>
    <s v="Perdido"/>
    <d v="2026-05-13T00:00:00"/>
    <d v="1899-12-30T12:42:56"/>
    <s v="Sem qualificação — contato não atende ligações nem responde msg"/>
    <s v=""/>
    <s v=""/>
    <x v="0"/>
    <s v="Rayssa Karapeticov"/>
    <x v="0"/>
    <s v=""/>
    <d v="2026-05-04T00:00:00"/>
    <n v="30"/>
    <s v=""/>
    <s v=""/>
    <s v=""/>
    <s v=""/>
    <n v="1"/>
  </r>
  <r>
    <x v="1"/>
    <n v="1159"/>
    <m/>
    <n v="3692"/>
    <s v=""/>
    <s v=""/>
    <x v="632"/>
    <m/>
    <s v=""/>
    <s v="MDL (HOras)"/>
    <s v="11910695515"/>
    <s v=""/>
    <s v="janaina@mdlimport.com.br"/>
    <s v=""/>
    <s v=""/>
    <s v=""/>
    <s v=""/>
    <s v=""/>
    <s v=""/>
    <s v=""/>
    <s v=""/>
    <s v=""/>
    <s v="Pipeline de Vendas"/>
    <s v="Em Fechamento (100%)"/>
    <s v=""/>
    <m/>
    <n v="1485378"/>
    <n v="0"/>
    <n v="14"/>
    <s v="Junior Lopes"/>
    <d v="2026-04-30T00:00:00"/>
    <d v="1899-12-30T14:26:58"/>
    <s v=""/>
    <s v="Ganho"/>
    <d v="2026-05-14T00:00:00"/>
    <d v="1899-12-30T09:17:07"/>
    <s v=""/>
    <s v=""/>
    <s v=""/>
    <x v="212"/>
    <s v=""/>
    <x v="0"/>
    <s v=""/>
    <d v="2026-05-14T00:00:00"/>
    <n v="90"/>
    <s v=""/>
    <s v=""/>
    <s v=""/>
    <s v=""/>
    <n v="1"/>
  </r>
  <r>
    <x v="1"/>
    <n v="1160"/>
    <m/>
    <n v="3693"/>
    <s v="em contato com Dayane, vamos nos reunir na segunda feira dia 18/05"/>
    <s v=""/>
    <x v="633"/>
    <m/>
    <s v=""/>
    <s v="Tecelagem Castilho (E-commerce)"/>
    <s v="62993609476"/>
    <s v=""/>
    <s v="null"/>
    <s v=""/>
    <s v=""/>
    <s v=""/>
    <s v=""/>
    <s v=""/>
    <s v=""/>
    <s v=""/>
    <s v=""/>
    <s v=""/>
    <s v="Pipeline de Vendas"/>
    <s v="Em negociação (75%)"/>
    <s v=""/>
    <m/>
    <n v="4240"/>
    <n v="7128"/>
    <n v="20"/>
    <s v="Junior Lopes"/>
    <d v="2026-04-30T00:00:00"/>
    <d v="1899-12-30T14:36:01"/>
    <s v=""/>
    <s v="Ativo"/>
    <m/>
    <m/>
    <s v=""/>
    <s v=""/>
    <s v=""/>
    <x v="213"/>
    <s v=""/>
    <x v="234"/>
    <s v=""/>
    <d v="2026-05-18T00:00:00"/>
    <n v="50"/>
    <s v=""/>
    <s v=""/>
    <s v=""/>
    <s v=""/>
    <n v="1"/>
  </r>
  <r>
    <x v="1"/>
    <n v="1161"/>
    <m/>
    <n v="3694"/>
    <s v=""/>
    <s v=""/>
    <x v="634"/>
    <m/>
    <s v=""/>
    <s v="Logro Soft - Comex"/>
    <s v="3133780033"/>
    <s v=""/>
    <s v="supervisoroperacional@logrosoft.com.br"/>
    <s v=""/>
    <s v=""/>
    <s v=""/>
    <s v=""/>
    <s v=""/>
    <s v=""/>
    <s v=""/>
    <s v=""/>
    <s v=""/>
    <s v="Pipeline de Vendas"/>
    <s v="Em negociação (75%)"/>
    <s v=""/>
    <m/>
    <n v="6000"/>
    <n v="2000"/>
    <n v="0"/>
    <s v="Junior Lopes"/>
    <d v="2026-04-30T00:00:00"/>
    <d v="1899-12-30T14:59:00"/>
    <s v=""/>
    <s v="Perdido"/>
    <d v="2026-04-30T00:00:00"/>
    <d v="1899-12-30T15:41:47"/>
    <s v="Não houve aprovação financeira"/>
    <s v="dois pontos que o cliente usou para não seguir ! busca um ERP Mais simples e com valor ,ais em conta"/>
    <s v=""/>
    <x v="214"/>
    <s v=""/>
    <x v="231"/>
    <s v=""/>
    <m/>
    <n v="50"/>
    <s v=""/>
    <s v=""/>
    <s v=""/>
    <s v=""/>
    <n v="1"/>
  </r>
  <r>
    <x v="1"/>
    <n v="1162"/>
    <m/>
    <n v="3637"/>
    <s v="Todos os dados preenchidos:empresa: InfinitTec  name: Pedro Paulo cargo: Proprietário  whatsapp: 69981362005 email: adm@infinittec.com.br referrer: https://www.guaranisistemas.com.br/ _x000a_(04/05/2026) em busca sobre o lead ! _x000a_Infinitec é uma casa de software e controladoria financeira"/>
    <s v=""/>
    <x v="635"/>
    <m/>
    <s v=""/>
    <s v="Pedro Paulo"/>
    <s v=""/>
    <s v=""/>
    <s v="adm@infinittec.com.br"/>
    <s v=""/>
    <s v=""/>
    <s v=""/>
    <s v="Cacoal"/>
    <s v=""/>
    <s v="Inbound"/>
    <s v=""/>
    <s v=""/>
    <s v="Fora Perfil"/>
    <s v="Pipeline de Vendas"/>
    <s v="Agendamento (0%)"/>
    <s v=""/>
    <m/>
    <m/>
    <m/>
    <n v="0"/>
    <s v="Paulo Souza"/>
    <d v="2026-05-04T00:00:00"/>
    <d v="1899-12-30T08:07:13"/>
    <s v=""/>
    <s v="Perdido"/>
    <d v="2026-05-04T00:00:00"/>
    <d v="1899-12-30T09:31:01"/>
    <s v="Fora do porte mínimo (sem fit estrutural)"/>
    <s v="casa de software"/>
    <s v=""/>
    <x v="0"/>
    <s v="Junior Lopes"/>
    <x v="0"/>
    <s v=""/>
    <m/>
    <n v="30"/>
    <s v=""/>
    <s v=""/>
    <s v=""/>
    <s v=""/>
    <n v="1"/>
  </r>
  <r>
    <x v="3"/>
    <n v="1163"/>
    <m/>
    <n v="3638"/>
    <s v="Falei com o Chico: a empresa (atacado) possui 4 lojas e está prestes a inaugurar uma nova filial. Conta com 110 colaboradores (incluindo a equipe interna de vendas/televendas) e 6 representantes comerciais. Atualmente utiliza o sistema RP ERP e demonstrou interesse em conhecer novas opções. Também solicitou referências de clientes da região._x000a_Apresentação agendada para 11/05 às 10h._x000a_(18/05) Enviado msg para Chico a fim de agendar um bate-papo."/>
    <s v=""/>
    <x v="636"/>
    <n v="42263870000101"/>
    <s v=""/>
    <s v="eficaz atacadao da limpeza"/>
    <s v="(67) 9895-2961"/>
    <s v=""/>
    <s v="gerentedevendas@eficazatacadaodalimpeza.com.br"/>
    <s v=""/>
    <s v=""/>
    <s v=""/>
    <s v="CAMPO GRANDE"/>
    <s v="MS"/>
    <s v="Campanha"/>
    <s v=""/>
    <s v=""/>
    <s v="Dentro Perfil;Instagram"/>
    <s v="Pipeline de Vendas"/>
    <s v="Qualificação de Vendas (SQL) (25%)"/>
    <s v=""/>
    <m/>
    <m/>
    <m/>
    <n v="16"/>
    <s v="Paulo Souza"/>
    <d v="2026-05-04T00:00:00"/>
    <d v="1899-12-30T08:10:13"/>
    <s v=""/>
    <s v="Ativo"/>
    <m/>
    <m/>
    <s v=""/>
    <s v=""/>
    <s v=""/>
    <x v="0"/>
    <s v="Ronaldo Nascimento"/>
    <x v="0"/>
    <s v=""/>
    <m/>
    <n v="30"/>
    <s v=""/>
    <s v="AFV, ERP"/>
    <s v=""/>
    <s v=""/>
    <n v="1"/>
  </r>
  <r>
    <x v="2"/>
    <n v="1164"/>
    <m/>
    <n v="3695"/>
    <s v=""/>
    <s v=""/>
    <x v="637"/>
    <n v="64508464000196"/>
    <s v=""/>
    <s v="Shirley"/>
    <s v="41998464626"/>
    <s v=""/>
    <s v="zahrahcezar@gmail.com"/>
    <s v=""/>
    <s v=""/>
    <s v=""/>
    <s v="PIRAQUARA"/>
    <s v="PR"/>
    <s v="Campanha"/>
    <s v=""/>
    <s v=""/>
    <s v="Fora Perfil;Instagram"/>
    <s v="Pipeline de Vendas"/>
    <s v="Qualificação de Vendas (SQL) (25%)"/>
    <s v=""/>
    <m/>
    <m/>
    <m/>
    <n v="4"/>
    <s v="Paulo Souza"/>
    <d v="2026-05-04T00:00:00"/>
    <d v="1899-12-30T08:11:30"/>
    <s v=""/>
    <s v="Perdido"/>
    <d v="2026-05-08T00:00:00"/>
    <d v="1899-12-30T10:31:28"/>
    <s v="Fora do porte mínimo (sem fit estrutural)"/>
    <s v=""/>
    <s v=""/>
    <x v="0"/>
    <s v="Rayssa Karapeticov"/>
    <x v="0"/>
    <s v=""/>
    <d v="2026-05-08T00:00:00"/>
    <n v="31"/>
    <s v=""/>
    <s v=""/>
    <s v=""/>
    <s v=""/>
    <n v="1"/>
  </r>
  <r>
    <x v="1"/>
    <n v="1165"/>
    <m/>
    <n v="3698"/>
    <s v=""/>
    <s v=""/>
    <x v="638"/>
    <n v="15725079000195"/>
    <s v=""/>
    <s v="Edu Autoparts"/>
    <s v="8196028924"/>
    <s v=""/>
    <s v="eduardo@edusomautoparts.com.br"/>
    <s v=""/>
    <s v=""/>
    <s v=""/>
    <s v=""/>
    <s v=""/>
    <s v="Campanha"/>
    <s v=""/>
    <s v=""/>
    <s v="Dentro Perfil;Instagram"/>
    <s v="Pipeline de Vendas"/>
    <s v="Qualificação de Vendas (SQL) (25%)"/>
    <s v=""/>
    <m/>
    <m/>
    <m/>
    <n v="10"/>
    <s v="Paulo Souza"/>
    <d v="2026-05-04T00:00:00"/>
    <d v="1899-12-30T08:13:17"/>
    <s v=""/>
    <s v="Perdido"/>
    <d v="2026-05-14T00:00:00"/>
    <d v="1899-12-30T11:31:32"/>
    <s v="Sem qualificação — contato não atende ligações nem responde msg"/>
    <s v="(14/05/2026) cliente não responde aos contatos"/>
    <s v=""/>
    <x v="0"/>
    <s v="Junior Lopes"/>
    <x v="0"/>
    <s v=""/>
    <d v="2026-05-14T00:00:00"/>
    <n v="28"/>
    <s v=""/>
    <s v=""/>
    <s v=""/>
    <s v=""/>
    <n v="1"/>
  </r>
  <r>
    <x v="3"/>
    <n v="1166"/>
    <m/>
    <n v="3699"/>
    <s v="(04/05) Falei com o Leandro. A empresa utiliza o ERP Excellent Sistemas, mas ele relatou insatisfação principalmente nos módulos de compras e controle de estoque. Está em busca de um sistema mais completo._x000a_Solicitou que eu envie mais informações pelo WhatsApp para, em seguida, agendarmos uma reunião._x000a_Atualmente, a equipe conta com 3 representantes e 3 vendedores internos._x000a_(11/05) Enviado e-mail ao Leandro com informações sobre nossas soluções e possíveis ganhos operacionais nas áreas de compras e controle de estoque. Aguardando retorno para agendamento da apresentação._x000a_(18/05) Enviado WhatsApp para Leandro a fim de agendarmos uma apresentação."/>
    <s v=""/>
    <x v="639"/>
    <m/>
    <s v=""/>
    <s v="Bornia Metais Ltda."/>
    <s v="44991022838"/>
    <s v=""/>
    <s v="gallo.bornia@hotmail.com"/>
    <s v=""/>
    <s v=""/>
    <s v=""/>
    <s v=""/>
    <s v=""/>
    <s v="Campanha"/>
    <s v=""/>
    <s v=""/>
    <s v="Dentro Perfil;Instagram"/>
    <s v="Pipeline de Vendas"/>
    <s v="Qualificação de Vendas (SQL) (25%)"/>
    <s v=""/>
    <m/>
    <m/>
    <m/>
    <n v="16"/>
    <s v="Paulo Souza"/>
    <d v="2026-05-04T00:00:00"/>
    <d v="1899-12-30T08:14:23"/>
    <s v=""/>
    <s v="Ativo"/>
    <m/>
    <m/>
    <s v=""/>
    <s v=""/>
    <s v=""/>
    <x v="0"/>
    <s v="Ronaldo Nascimento"/>
    <x v="0"/>
    <s v=""/>
    <d v="2026-05-11T00:00:00"/>
    <n v="30"/>
    <s v=""/>
    <s v=""/>
    <s v=""/>
    <s v=""/>
    <n v="1"/>
  </r>
  <r>
    <x v="2"/>
    <n v="1167"/>
    <m/>
    <n v="3700"/>
    <s v=""/>
    <s v=""/>
    <x v="640"/>
    <m/>
    <s v=""/>
    <s v="Proprietario"/>
    <s v="5591420014"/>
    <s v=""/>
    <s v="lucasmaslonik@hotmail.com"/>
    <s v=""/>
    <s v=""/>
    <s v=""/>
    <s v=""/>
    <s v=""/>
    <s v="Campanha"/>
    <s v=""/>
    <s v=""/>
    <s v="Fora Perfil;Instagram"/>
    <s v="Pipeline de Vendas"/>
    <s v="Qualificação de Vendas (SQL) (25%)"/>
    <s v=""/>
    <m/>
    <m/>
    <m/>
    <n v="4"/>
    <s v="Paulo Souza"/>
    <d v="2026-05-04T00:00:00"/>
    <d v="1899-12-30T08:15:36"/>
    <s v=""/>
    <s v="Perdido"/>
    <d v="2026-05-08T00:00:00"/>
    <d v="1899-12-30T10:29:39"/>
    <s v="Fora do porte mínimo (sem fit estrutural)"/>
    <s v=""/>
    <s v=""/>
    <x v="0"/>
    <s v="Rayssa Karapeticov"/>
    <x v="0"/>
    <s v=""/>
    <d v="2026-05-08T00:00:00"/>
    <n v="30"/>
    <s v=""/>
    <s v=""/>
    <s v=""/>
    <s v=""/>
    <n v="1"/>
  </r>
  <r>
    <x v="2"/>
    <n v="1168"/>
    <m/>
    <n v="3701"/>
    <s v=""/>
    <s v=""/>
    <x v="641"/>
    <m/>
    <s v=""/>
    <s v="BC"/>
    <s v="14999125373"/>
    <s v=""/>
    <s v="jeruzamocluciano@gmail.com"/>
    <s v=""/>
    <s v=""/>
    <s v=""/>
    <s v=""/>
    <s v=""/>
    <s v="Campanha"/>
    <s v=""/>
    <s v=""/>
    <s v="Dentro Perfil;Instagram"/>
    <s v="Pipeline de Vendas"/>
    <s v="Agendamento (0%)"/>
    <s v=""/>
    <m/>
    <m/>
    <m/>
    <n v="5"/>
    <s v="Paulo Souza"/>
    <d v="2026-05-04T00:00:00"/>
    <d v="1899-12-30T08:16:29"/>
    <s v=""/>
    <s v="Perdido"/>
    <d v="2026-05-09T00:00:00"/>
    <d v="1899-12-30T08:46:59"/>
    <s v="Inválido - empresa não existe / dados errados"/>
    <s v=""/>
    <s v=""/>
    <x v="0"/>
    <s v="Rayssa Karapeticov"/>
    <x v="0"/>
    <s v=""/>
    <m/>
    <n v="30"/>
    <s v=""/>
    <s v=""/>
    <s v=""/>
    <s v=""/>
    <n v="1"/>
  </r>
  <r>
    <x v="1"/>
    <n v="1169"/>
    <m/>
    <n v="3702"/>
    <s v="(04/05/2026) em ligação com Paulo Rosa , _x000a_atualmente usa ERP https://www.etoerp.com.br/_x000a_atualmente esta com dificuldade com PCP em controlar insumos para produção ! esto8u enviando material via e -mail para logo seguirmos com apresentação _x000a_(15/05/2026) após envio de material não obtive mais retorno do Paulo"/>
    <s v=""/>
    <x v="642"/>
    <n v="29795322000156"/>
    <s v=""/>
    <s v="Presystem Projetos e Sistemas Eletrônicos"/>
    <s v="(11) 2031-1273"/>
    <s v=""/>
    <s v="contato@bepcontabilidade.com"/>
    <s v=""/>
    <s v=""/>
    <s v=""/>
    <s v="SAO PAULO"/>
    <s v="SP"/>
    <s v="Campanha"/>
    <s v=""/>
    <s v=""/>
    <s v="Dentro Perfil;Instagram"/>
    <s v="Pipeline de Vendas"/>
    <s v="Qualificação de Vendas (SQL) (25%)"/>
    <s v=""/>
    <m/>
    <m/>
    <m/>
    <n v="11"/>
    <s v="Paulo Souza"/>
    <d v="2026-05-04T00:00:00"/>
    <d v="1899-12-30T08:18:58"/>
    <s v=""/>
    <s v="Perdido"/>
    <d v="2026-05-15T00:00:00"/>
    <d v="1899-12-30T16:29:44"/>
    <s v="Sem qualificação — contato não atende ligações nem responde msg"/>
    <s v="no dia 05/05 cheguei a falar com Paulo, porem após envio do material e esboço de investimento  nao tive mais retorno"/>
    <s v=""/>
    <x v="0"/>
    <s v="Junior Lopes"/>
    <x v="0"/>
    <s v=""/>
    <d v="2026-05-15T00:00:00"/>
    <n v="31"/>
    <s v=""/>
    <s v=""/>
    <s v=""/>
    <s v=""/>
    <n v="1"/>
  </r>
  <r>
    <x v="1"/>
    <n v="1170"/>
    <m/>
    <n v="3704"/>
    <s v="Oi_x000a_hj sou socio na magnus transformadores_x000a_cnpj 27.569.814/0001-06_x000a_utilizamos um erp da empresa unicode_x000a_vou iniciar uma nova empresa de forma individual com a mesma atividade fabricação de transformadores_x000a_preciso de um sistema para gerir todas as estapas do processo da empresa_x000a_vendas, compras, produção, financeiro_x000a_(15/05/2026) depois da ultima conversa com Raul , dei um esboço do investimento logo não tivemos mais retorno"/>
    <s v=""/>
    <x v="643"/>
    <m/>
    <s v=""/>
    <s v="Ivan Edson Dias"/>
    <s v="(11) 95811-0104"/>
    <s v=""/>
    <s v="ivanedson77@gmail.com"/>
    <s v=""/>
    <s v=""/>
    <s v=""/>
    <s v="São Paulo"/>
    <s v=""/>
    <s v="Site"/>
    <s v=""/>
    <s v=""/>
    <s v="Dentro Perfil;Solicita demo"/>
    <s v="Pipeline de Vendas"/>
    <s v="Qualificação de Vendas (SQL) (25%)"/>
    <s v=""/>
    <m/>
    <m/>
    <m/>
    <n v="11"/>
    <s v="Paulo Souza"/>
    <d v="2026-05-04T00:00:00"/>
    <d v="1899-12-30T08:20:31"/>
    <s v=""/>
    <s v="Perdido"/>
    <d v="2026-05-15T00:00:00"/>
    <d v="1899-12-30T16:22:29"/>
    <s v="Não houve aprovação financeira"/>
    <s v="(15/05/2026) depois da ultima conversa com Ivan , dei um esboço do investimento logo não tivemos mais retorno"/>
    <s v=""/>
    <x v="0"/>
    <s v="Junior Lopes"/>
    <x v="0"/>
    <s v=""/>
    <d v="2026-05-15T00:00:00"/>
    <n v="30"/>
    <s v=""/>
    <s v=""/>
    <s v=""/>
    <s v=""/>
    <n v="1"/>
  </r>
  <r>
    <x v="3"/>
    <n v="1171"/>
    <m/>
    <n v="3705"/>
    <s v="(04/05) Realizado ligação, porém, caiu na caixa postal. Enviado msg por WhatsApp._x000a_(11/05) Enviado WhatsApp para Raimundo com o objetivo de verificar o melhor horário para realizar contato telefônico."/>
    <s v=""/>
    <x v="644"/>
    <m/>
    <s v=""/>
    <s v="Ellform"/>
    <s v="7187881309"/>
    <s v=""/>
    <s v="racoelhoneto@hotmail.com"/>
    <s v=""/>
    <s v=""/>
    <s v=""/>
    <s v=""/>
    <s v=""/>
    <s v="Campanha"/>
    <s v=""/>
    <s v=""/>
    <s v="Dentro Perfil;Instagram"/>
    <s v="Pipeline de Vendas"/>
    <s v="Qualificação de Vendas (SQL) (25%)"/>
    <s v=""/>
    <m/>
    <m/>
    <m/>
    <n v="14"/>
    <s v="Paulo Souza"/>
    <d v="2026-05-04T00:00:00"/>
    <d v="1899-12-30T08:21:13"/>
    <s v=""/>
    <s v="Perdido"/>
    <d v="2026-05-18T00:00:00"/>
    <d v="1899-12-30T09:31:54"/>
    <s v="Sem qualificação — contato não atende ligações nem responde msg"/>
    <s v="(18/05) Raimundo não retornou meus contatos. Enviei uma mensagem encerrando o atendimento no momento, mas deixei meu contato à disposição para um possível retorno futuro."/>
    <s v=""/>
    <x v="0"/>
    <s v="Ronaldo Nascimento"/>
    <x v="0"/>
    <s v=""/>
    <d v="2026-05-11T00:00:00"/>
    <n v="30"/>
    <s v=""/>
    <s v=""/>
    <s v=""/>
    <s v=""/>
    <n v="1"/>
  </r>
  <r>
    <x v="3"/>
    <n v="1172"/>
    <m/>
    <n v="3706"/>
    <s v="(04/05) Realizado ligação, porém, caiu na caixa postal. Enviado msg por WhatsApp._x000a_(11/05) Enviado WhatsApp para Márcio com o objetivo de verificar o melhor horário para realizar contato telefônico._x000a_(18/05) Tentei contato novamente com Márcio, porém, sem sucesso (Ligação e WhatsApp). Enviado e-mail antes de perder o negócio."/>
    <s v=""/>
    <x v="645"/>
    <n v="32268865000391"/>
    <s v=""/>
    <s v="Morefix"/>
    <s v="19991043105"/>
    <s v=""/>
    <s v="marcio.soares@morefix.com.br"/>
    <s v=""/>
    <s v=""/>
    <s v=""/>
    <s v=""/>
    <s v=""/>
    <s v="Campanha"/>
    <s v=""/>
    <s v=""/>
    <s v="Dentro Perfil;Instagram"/>
    <s v="Pipeline de Vendas"/>
    <s v="Qualificação de Vendas (SQL) (25%)"/>
    <s v=""/>
    <m/>
    <m/>
    <m/>
    <n v="16"/>
    <s v="Paulo Souza"/>
    <d v="2026-05-04T00:00:00"/>
    <d v="1899-12-30T08:22:02"/>
    <s v=""/>
    <s v="Ativo"/>
    <m/>
    <m/>
    <s v=""/>
    <s v=""/>
    <s v=""/>
    <x v="0"/>
    <s v="Ronaldo Nascimento"/>
    <x v="0"/>
    <s v=""/>
    <d v="2026-05-11T00:00:00"/>
    <n v="30"/>
    <s v=""/>
    <s v=""/>
    <s v=""/>
    <s v=""/>
    <n v="1"/>
  </r>
  <r>
    <x v="1"/>
    <n v="1173"/>
    <m/>
    <n v="3707"/>
    <s v="(04/05/2026) tentativa de ligação ! porem numero somente WhatsApp_x000a_(04/05/2026) em contato com Sérgio ! _x000a_em ligação se identificou e já foi cliente Guarani na oportunidade migrou para Winthor ! _x000a_pediu uma ideia de investimento para entender sobre uma eventual mudança ! estou batalhando para nos reunirmos para uma breve apresentação _x000a_Tentativa de contato : _x000a_ 14:51, 04/05/2026 Junior Lopes: Olá Sérgio ! Boa tarde_x000a_14:51, 04/05/2026 Junior Lopes: Junior da Guarani sistemas por aqui ! Td bem ?_x000a_(15/05/2026) tentaiva de ligação não atendia com Sérgio, a ideia é fazer apresentação"/>
    <s v=""/>
    <x v="646"/>
    <n v="1784943000115"/>
    <s v=""/>
    <s v="Astrum Distribuidora"/>
    <s v="38988234018"/>
    <s v=""/>
    <s v="sergio@resendesantos.com.br"/>
    <s v=""/>
    <s v=""/>
    <s v=""/>
    <s v=""/>
    <s v="Montes Claros"/>
    <s v="Inbound"/>
    <s v=""/>
    <s v=""/>
    <s v="Dentro Perfil;Instagram"/>
    <s v="Pipeline de Vendas"/>
    <s v="Qualificação de Vendas (SQL) (25%)"/>
    <s v=""/>
    <m/>
    <m/>
    <m/>
    <n v="16"/>
    <s v="Paulo Souza"/>
    <d v="2026-05-04T00:00:00"/>
    <d v="1899-12-30T08:23:02"/>
    <s v=""/>
    <s v="Ativo"/>
    <m/>
    <m/>
    <s v=""/>
    <s v=""/>
    <s v=""/>
    <x v="0"/>
    <s v="Junior Lopes"/>
    <x v="0"/>
    <s v=""/>
    <d v="2026-05-15T00:00:00"/>
    <n v="30"/>
    <s v=""/>
    <s v=""/>
    <s v=""/>
    <s v=""/>
    <n v="1"/>
  </r>
  <r>
    <x v="3"/>
    <n v="1174"/>
    <m/>
    <n v="3708"/>
    <s v="(04/05) Entrei em contato e falei com Luis. Informou que João estará na empresa à partir das 16h, pediu para retornar neste horário._x000a_(06/05) Entrei em contato com o Luis, que solicitou o envio das informações por e-mail ao João. Ficou combinado retorno amanhã às 11h30._x000a_(11/05) Realizada nova tentativa de contato com João, porém sem sucesso. Enviado e-mail com o objetivo de agendar um bate-papo para apresentação das soluções._x000a_(18/05) Como não tive retorno (ligação), enviado e-mail para João antes de perder o negócio."/>
    <s v=""/>
    <x v="647"/>
    <n v="10667844000144"/>
    <s v=""/>
    <s v="ferragens renova"/>
    <s v="5134904475"/>
    <s v=""/>
    <s v="diretoria@ferragensrenova.com.br"/>
    <s v=""/>
    <s v=""/>
    <s v=""/>
    <s v=""/>
    <s v=""/>
    <s v="Campanha"/>
    <s v=""/>
    <s v=""/>
    <s v="Dentro Perfil;Instagram"/>
    <s v="Pipeline de Vendas"/>
    <s v="Qualificação de Vendas (SQL) (25%)"/>
    <s v=""/>
    <m/>
    <m/>
    <m/>
    <n v="16"/>
    <s v="Paulo Souza"/>
    <d v="2026-05-04T00:00:00"/>
    <d v="1899-12-30T08:23:51"/>
    <s v=""/>
    <s v="Ativo"/>
    <m/>
    <m/>
    <s v=""/>
    <s v=""/>
    <s v=""/>
    <x v="0"/>
    <s v="Ronaldo Nascimento"/>
    <x v="0"/>
    <s v=""/>
    <d v="2026-05-11T00:00:00"/>
    <n v="30"/>
    <s v=""/>
    <s v=""/>
    <s v=""/>
    <s v=""/>
    <n v="1"/>
  </r>
  <r>
    <x v="3"/>
    <n v="1175"/>
    <n v="213"/>
    <n v="3714"/>
    <s v="(04/05) Falei com o Thiago: ele está em fechamento e com dois colaboradores do administrativo em férias. Após essa semana, irá verificar uma agenda para conversarmos. Retornar na segunda-feira._x000a_(11/05) Enviado msg para Thiago a fim de agendar um bate-papo."/>
    <s v=""/>
    <x v="648"/>
    <n v="3670607000177"/>
    <s v="RV DISTRIBUIDORA DE GENEROS ALIMENTICIOS LTDA"/>
    <s v="Thiago Barbosa"/>
    <s v="(16) 98127-4870"/>
    <s v="16981274870"/>
    <s v="rvdistribuidora123@gmail.com"/>
    <s v="Matriz"/>
    <s v=""/>
    <s v="AV LUIZ ALFREDO DE MELO ROSA 460"/>
    <s v="IBATE"/>
    <s v="SP"/>
    <s v="Outbound"/>
    <s v="Outbound"/>
    <s v=""/>
    <s v="Dentro Perfil"/>
    <s v="Pipeline de Vendas"/>
    <s v="Qualificação de Vendas (SQL) (25%)"/>
    <s v=""/>
    <m/>
    <m/>
    <m/>
    <n v="16"/>
    <s v="Paulo Souza"/>
    <d v="2026-05-04T00:00:00"/>
    <d v="1899-12-30T08:43:59"/>
    <s v=""/>
    <s v="Ativo"/>
    <m/>
    <m/>
    <s v=""/>
    <s v=""/>
    <s v=""/>
    <x v="0"/>
    <s v="Ronaldo Nascimento"/>
    <x v="0"/>
    <s v=""/>
    <d v="2026-05-11T00:00:00"/>
    <n v="30"/>
    <s v=""/>
    <s v=""/>
    <s v=""/>
    <s v=""/>
    <n v="1"/>
  </r>
  <r>
    <x v="2"/>
    <n v="1176"/>
    <m/>
    <n v="3716"/>
    <s v=""/>
    <s v=""/>
    <x v="649"/>
    <n v="52696640000181"/>
    <s v=""/>
    <s v="Aparecido Ribeiro Molina Junior"/>
    <s v="(19) 99788-2241"/>
    <s v=""/>
    <s v="gerencia@grupogadulog.com.br"/>
    <s v=""/>
    <s v=""/>
    <s v=""/>
    <s v="DESCALVADO"/>
    <s v="SP"/>
    <s v="Site"/>
    <s v=""/>
    <s v=""/>
    <s v="Fora Perfil;Solicita demo"/>
    <s v="Pipeline de Vendas"/>
    <s v="Qualificação de Vendas (SQL) (25%)"/>
    <s v=""/>
    <m/>
    <m/>
    <m/>
    <n v="4"/>
    <s v="Paulo Souza"/>
    <d v="2026-05-04T00:00:00"/>
    <d v="1899-12-30T15:45:58"/>
    <s v=""/>
    <s v="Perdido"/>
    <d v="2026-05-08T00:00:00"/>
    <d v="1899-12-30T12:09:14"/>
    <s v="Fora do porte mínimo (sem fit estrutural)"/>
    <s v=""/>
    <s v=""/>
    <x v="0"/>
    <s v="Rayssa Karapeticov"/>
    <x v="0"/>
    <s v=""/>
    <d v="2026-05-05T00:00:00"/>
    <n v="30"/>
    <s v=""/>
    <s v=""/>
    <s v=""/>
    <s v=""/>
    <n v="1"/>
  </r>
  <r>
    <x v="1"/>
    <n v="1177"/>
    <m/>
    <n v="3732"/>
    <s v=""/>
    <s v=""/>
    <x v="650"/>
    <n v="36356922000183"/>
    <s v=""/>
    <s v="Istok comércio"/>
    <s v="(11) 2361-7746"/>
    <s v=""/>
    <s v="diogo.contabilidade@yahoo.com.br"/>
    <s v=""/>
    <s v=""/>
    <s v=""/>
    <s v="SAO PAULO"/>
    <s v="SP"/>
    <s v=""/>
    <s v=""/>
    <s v=""/>
    <s v=""/>
    <s v="Pipeline de Vendas"/>
    <s v="Em Fechamento (100%)"/>
    <s v=""/>
    <m/>
    <n v="694512"/>
    <n v="201348"/>
    <n v="14"/>
    <s v="Junior Lopes"/>
    <d v="2026-05-05T00:00:00"/>
    <d v="1899-12-30T16:57:12"/>
    <s v=""/>
    <s v="Ganho"/>
    <d v="2026-05-19T00:00:00"/>
    <d v="1899-12-30T14:28:32"/>
    <s v=""/>
    <s v=""/>
    <s v=""/>
    <x v="215"/>
    <s v=""/>
    <x v="235"/>
    <s v="12/05/2026"/>
    <m/>
    <n v="50"/>
    <s v=""/>
    <s v=""/>
    <s v=""/>
    <s v=""/>
    <n v="1"/>
  </r>
  <r>
    <x v="3"/>
    <n v="1178"/>
    <n v="263"/>
    <n v="3734"/>
    <s v="(11/05) Enviada nova mensagem via LinkedIn para Rodrigo Buzinari. Em 05/05, também foi encaminhado e-mail para Rodrigo Furtado (diretor)._x000a_(18/05) Enviado e-mail para Rodrigo, antes de perder o negócio."/>
    <s v=""/>
    <x v="651"/>
    <n v="20718183000192"/>
    <s v="PETIKO COMERCIO E DISTRIBUICAO DE PRODUTOS PET S.A"/>
    <s v="Rodrigo José Buzinari"/>
    <s v="(16) 33712-3681"/>
    <s v=""/>
    <s v="eucuidoparavoce@doutorcontabil.com.br"/>
    <s v="Matriz"/>
    <s v=""/>
    <s v="R FRANCISCO MARICONDI 254"/>
    <s v="SAO CARLOS"/>
    <s v="SP"/>
    <s v=""/>
    <s v=""/>
    <s v=""/>
    <s v="Dentro Perfil"/>
    <s v="Pipeline de Vendas"/>
    <s v="Qualificação de Vendas (SQL) (25%)"/>
    <s v=""/>
    <m/>
    <m/>
    <m/>
    <n v="15"/>
    <s v="Ronaldo Nascimento"/>
    <d v="2026-05-05T00:00:00"/>
    <d v="1899-12-30T17:25:14"/>
    <s v=""/>
    <s v="Ativo"/>
    <m/>
    <m/>
    <s v=""/>
    <s v=""/>
    <s v=""/>
    <x v="0"/>
    <s v=""/>
    <x v="0"/>
    <s v=""/>
    <d v="2026-05-11T00:00:00"/>
    <n v="30"/>
    <s v=""/>
    <s v=""/>
    <s v=""/>
    <s v=""/>
    <n v="1"/>
  </r>
  <r>
    <x v="3"/>
    <n v="1179"/>
    <m/>
    <n v="3735"/>
    <s v="(06/05) Realizei contato telefônico com Lucianei, que informou não poder falar no momento e que retornaria assim que possível. Também enviei mensagem via WhatsApp para acompanhamento._x000a_(07/05) Realizo novo contato por WhatsApp. (Telefone deu caixa portal)_x000a_(11/05) Realizada nova tentativa de contato com Luciane, porém sem sucesso. Enviada nova mensagem via WhatsApp._x000a_(18/05) Luciane não retornou meus contatos. Enviei uma mensagem encerrando o atendimento no momento, mas deixei meu contato à disposição para um possível retorno futuro."/>
    <s v=""/>
    <x v="652"/>
    <m/>
    <s v=""/>
    <s v="Querosmais"/>
    <s v="41988659245"/>
    <s v=""/>
    <s v="querosmais@ig.com.br"/>
    <s v=""/>
    <s v=""/>
    <s v=""/>
    <s v=""/>
    <s v=""/>
    <s v="Campanha"/>
    <s v=""/>
    <s v=""/>
    <s v="Dentro Perfil;Instagram"/>
    <s v="Pipeline de Vendas"/>
    <s v="Qualificação de Vendas (SQL) (25%)"/>
    <s v=""/>
    <m/>
    <m/>
    <m/>
    <n v="12"/>
    <s v="Paulo Souza"/>
    <d v="2026-05-06T00:00:00"/>
    <d v="1899-12-30T03:15:00"/>
    <s v=""/>
    <s v="Perdido"/>
    <d v="2026-05-18T00:00:00"/>
    <d v="1899-12-30T10:08:21"/>
    <s v="Sem qualificação — contato não atende ligações nem responde msg"/>
    <s v="(18/05) Luciane não retornou meus contatos. Enviei uma mensagem encerrando o atendimento no momento, mas deixei meu contato à disposição para um possível retorno futuro."/>
    <s v=""/>
    <x v="0"/>
    <s v="Ronaldo Nascimento"/>
    <x v="0"/>
    <s v=""/>
    <d v="2026-05-11T00:00:00"/>
    <n v="30"/>
    <s v=""/>
    <s v=""/>
    <s v=""/>
    <s v=""/>
    <n v="1"/>
  </r>
  <r>
    <x v="3"/>
    <n v="1180"/>
    <m/>
    <n v="3718"/>
    <s v="(06/05) Realizei contato telefônico com Marcelo. A empresa utiliza o sistema Sankhya e demonstrou insatisfação. Possuem vendedores internos e representantes comerciais. Apresentação agendada para quinta-feira (07/05), às 15h._x000a_(07/05) Realizada apresentação para o Marcelo. A reunião foi conduzida pelo Paulo, eu acompanhei._x000a_O projeto contempla aproximadamente 13 usuários entre ERP e AFV. Foi enviado o formulário para preenchimento e, posteriormente, será realizada a emissão da proposta._x000a_Obs.: Marcelo está ciente das horas de implantação._x000a_(14/05) Enviado WhatsApp para Marcelo solicitando um retorno sobre a proposta apresentada."/>
    <s v=""/>
    <x v="653"/>
    <n v="4184739000151"/>
    <s v=""/>
    <s v="Fikssar distribuidora LTDA"/>
    <s v="34996787403"/>
    <s v=""/>
    <s v="marcelojsilva@fikssar.com.br"/>
    <s v=""/>
    <s v=""/>
    <s v=""/>
    <s v=""/>
    <s v="Patos  de Minas"/>
    <s v="Inbound"/>
    <s v=""/>
    <s v=""/>
    <s v="Dentro Perfil;Instagram"/>
    <s v="Pipeline de Vendas"/>
    <s v="Em negociação (75%)"/>
    <s v=""/>
    <m/>
    <n v="8585802"/>
    <m/>
    <n v="14"/>
    <s v="Paulo Souza"/>
    <d v="2026-05-06T00:00:00"/>
    <d v="1899-12-30T03:16:48"/>
    <s v=""/>
    <s v="Ativo"/>
    <m/>
    <m/>
    <s v=""/>
    <s v=""/>
    <s v=""/>
    <x v="215"/>
    <s v="Ronaldo Nascimento"/>
    <x v="236"/>
    <s v=""/>
    <d v="2026-05-12T00:00:00"/>
    <n v="50"/>
    <s v=""/>
    <s v="AFV, ERP"/>
    <s v=""/>
    <s v=""/>
    <n v="1"/>
  </r>
  <r>
    <x v="3"/>
    <n v="1181"/>
    <m/>
    <n v="3720"/>
    <s v="(06/05) Tentei contato telefônico, porém a chamada foi direcionada para a caixa postal. Enviei mensagem via WhatsApp para identificar o melhor horário para retorno da ligação._x000a_(07/05) Johnny retornou a mensagem informando que estava em viagem, cuidando da saúde do pai, e que nesta semana não seria possível falarmos. Disse que na próxima semana entrará em contato. Caso isso não ocorra, realizar novo contato._x000a_(18/05) Enviado nova msg para Johnny a fim de verificar melhor horário para ligação."/>
    <s v=""/>
    <x v="654"/>
    <m/>
    <s v=""/>
    <s v="Krieger ind e com fé madeiras"/>
    <s v="66984172640"/>
    <s v=""/>
    <s v="kriegermadeiraspga@gmail.com"/>
    <s v=""/>
    <s v=""/>
    <s v=""/>
    <s v=""/>
    <s v="Porto dos Gaúchos MT"/>
    <s v="Inbound"/>
    <s v=""/>
    <s v=""/>
    <s v="Dentro Perfil;Instagram"/>
    <s v="Pipeline de Vendas"/>
    <s v="Qualificação de Vendas (SQL) (25%)"/>
    <s v=""/>
    <m/>
    <m/>
    <m/>
    <n v="14"/>
    <s v="Paulo Souza"/>
    <d v="2026-05-06T00:00:00"/>
    <d v="1899-12-30T03:17:57"/>
    <s v=""/>
    <s v="Ativo"/>
    <m/>
    <m/>
    <s v=""/>
    <s v=""/>
    <s v=""/>
    <x v="0"/>
    <s v="Ronaldo Nascimento"/>
    <x v="0"/>
    <s v=""/>
    <m/>
    <n v="30"/>
    <s v=""/>
    <s v=""/>
    <s v=""/>
    <s v=""/>
    <n v="1"/>
  </r>
  <r>
    <x v="3"/>
    <n v="1184"/>
    <m/>
    <n v="3737"/>
    <s v="(07/05) Tentei contato telefônico, porém sem sucesso. Foi enviado WhatsApp para Tiago, com o objetivo de verificar o melhor horário para conversarmos."/>
    <s v=""/>
    <x v="655"/>
    <m/>
    <s v=""/>
    <s v="Tiago sandavid"/>
    <s v="93991009174"/>
    <s v=""/>
    <s v="souzamaia2010@hotmail.com"/>
    <s v=""/>
    <s v=""/>
    <s v=""/>
    <s v=""/>
    <s v=""/>
    <s v="Campanha"/>
    <s v=""/>
    <s v=""/>
    <s v="Fora Perfil;Instagram"/>
    <s v="Pipeline de Vendas"/>
    <s v="Qualificação de Vendas (SQL) (25%)"/>
    <s v=""/>
    <m/>
    <m/>
    <m/>
    <n v="0"/>
    <s v="Paulo Souza"/>
    <d v="2026-05-07T00:00:00"/>
    <d v="1899-12-30T08:39:53"/>
    <s v=""/>
    <s v="Perdido"/>
    <d v="2026-05-07T00:00:00"/>
    <d v="1899-12-30T14:21:16"/>
    <s v="Fora do porte mínimo (sem fit estrutural)"/>
    <s v="Empresa de pequeno porte, com 3 vendedores internos._x000a_Atualmente utilizam o sistema Vendr, do Grupo IOB."/>
    <s v=""/>
    <x v="0"/>
    <s v="Ronaldo Nascimento"/>
    <x v="0"/>
    <s v=""/>
    <m/>
    <n v="30"/>
    <s v=""/>
    <s v=""/>
    <s v=""/>
    <s v=""/>
    <n v="1"/>
  </r>
  <r>
    <x v="1"/>
    <n v="1185"/>
    <m/>
    <n v="3741"/>
    <s v="(07/05/2026) tentativa de ligação _x000a_08:45, 07/05/2026 Junior Lopes: Olá Fran , bom dia_x000a_08:45, 07/05/2026 Fran dantas Cafe Espressiata: Espressiata agradece seu contato. Como podemos ajudar?_x000a_08:45, 07/05/2026 Junior Lopes: Sou Junior Lopes da Guarani sistemas! Td bem ?"/>
    <s v=""/>
    <x v="656"/>
    <n v="40904398000105"/>
    <s v=""/>
    <s v="Espressiata Cafés Especiais"/>
    <s v="34999008780"/>
    <s v=""/>
    <s v="franciele@espressiata.com.br"/>
    <s v=""/>
    <s v=""/>
    <s v=""/>
    <s v=""/>
    <s v="Frutal MG"/>
    <s v="Inbound"/>
    <s v=""/>
    <s v=""/>
    <s v="Dentro Perfil;Instagram"/>
    <s v="Pipeline de Vendas"/>
    <s v="Qualificação de Vendas (SQL) (25%)"/>
    <s v=""/>
    <m/>
    <m/>
    <m/>
    <n v="7"/>
    <s v="Paulo Souza"/>
    <d v="2026-05-07T00:00:00"/>
    <d v="1899-12-30T08:41:59"/>
    <s v=""/>
    <s v="Perdido"/>
    <d v="2026-05-14T00:00:00"/>
    <d v="1899-12-30T15:40:42"/>
    <s v="Sem qualificação — contato não atende ligações nem responde msg"/>
    <s v="Olá boa tarde ! Junior da Guarani sistemas por aqui _x000a_Logo que nós tivemos retorno ao contato estou finalizando por aqui ! _x000a_Caso mude de ideia por favor só me chamar _x000a_Sucesso por aí"/>
    <s v=""/>
    <x v="0"/>
    <s v="Junior Lopes"/>
    <x v="0"/>
    <s v=""/>
    <d v="2026-05-14T00:00:00"/>
    <n v="30"/>
    <s v=""/>
    <s v=""/>
    <s v=""/>
    <s v=""/>
    <n v="1"/>
  </r>
  <r>
    <x v="0"/>
    <n v="1186"/>
    <m/>
    <n v="3745"/>
    <s v=""/>
    <s v=""/>
    <x v="657"/>
    <n v="62956379000165"/>
    <s v=""/>
    <s v="Mirian"/>
    <s v="(16) 99705-1588"/>
    <s v=""/>
    <s v="mirian@jcsperfis.com.br"/>
    <s v=""/>
    <s v=""/>
    <s v=""/>
    <s v="SAO CARLOS"/>
    <s v="SP"/>
    <s v="Inbound"/>
    <s v=""/>
    <s v=""/>
    <s v="Dentro Perfil;Instagram"/>
    <s v="Pipeline de Vendas"/>
    <s v="Apresentar Solução (35%)"/>
    <s v=""/>
    <d v="2026-05-31T00:00:00"/>
    <m/>
    <m/>
    <n v="13"/>
    <s v="Paulo Souza"/>
    <d v="2026-05-07T00:00:00"/>
    <d v="1899-12-30T08:43:39"/>
    <s v=""/>
    <s v="Ativo"/>
    <m/>
    <m/>
    <s v=""/>
    <s v=""/>
    <s v=""/>
    <x v="0"/>
    <s v="Paulo Souza"/>
    <x v="0"/>
    <s v=""/>
    <d v="2026-05-18T00:00:00"/>
    <n v="30"/>
    <s v="-1"/>
    <s v=""/>
    <s v=""/>
    <s v=""/>
    <n v="1"/>
  </r>
  <r>
    <x v="2"/>
    <n v="1187"/>
    <m/>
    <n v="3744"/>
    <s v="Todos os dados preenchidos:_x000a_empresa: andreingrati@gmail.com _x000a_name: Andre  _x000a_cargo: andreingrati@gmail.com _x000a_whatsapp: 18997028677 _x000a_email: andreingrati@gmail.com _x000a_referrer: https://www.guaranisistemas.com.br/"/>
    <s v=""/>
    <x v="658"/>
    <m/>
    <s v=""/>
    <s v="Andre"/>
    <s v=""/>
    <s v=""/>
    <s v="andreingrati@gmail.com"/>
    <s v=""/>
    <s v=""/>
    <s v=""/>
    <s v="Andradina"/>
    <s v=""/>
    <s v="Inbound"/>
    <s v=""/>
    <s v=""/>
    <s v="Fora Perfil"/>
    <s v="Pipeline de Vendas"/>
    <s v="Agendamento (0%)"/>
    <s v=""/>
    <m/>
    <m/>
    <m/>
    <n v="0"/>
    <s v="Paulo Souza"/>
    <d v="2026-05-07T00:00:00"/>
    <d v="1899-12-30T08:45:42"/>
    <s v=""/>
    <s v="Perdido"/>
    <d v="2026-05-07T00:00:00"/>
    <d v="1899-12-30T09:53:22"/>
    <s v="Fora do porte mínimo (sem fit estrutural)"/>
    <s v=""/>
    <s v=""/>
    <x v="0"/>
    <s v="Rayssa Karapeticov"/>
    <x v="0"/>
    <s v=""/>
    <m/>
    <n v="30"/>
    <s v=""/>
    <s v=""/>
    <s v=""/>
    <s v=""/>
    <n v="1"/>
  </r>
  <r>
    <x v="2"/>
    <n v="1188"/>
    <m/>
    <n v="3743"/>
    <s v=""/>
    <s v=""/>
    <x v="659"/>
    <m/>
    <s v=""/>
    <s v="GSH Marketing Solutions"/>
    <s v="8496757596"/>
    <s v=""/>
    <s v="gleydson.silva@live.com"/>
    <s v=""/>
    <s v=""/>
    <s v=""/>
    <s v=""/>
    <s v=""/>
    <s v="Campanha"/>
    <s v=""/>
    <s v=""/>
    <s v="Dentro Perfil;Instagram"/>
    <s v="Pipeline de Vendas"/>
    <s v="Agendamento (0%)"/>
    <s v=""/>
    <d v="2026-05-31T00:00:00"/>
    <m/>
    <m/>
    <n v="2"/>
    <s v="Paulo Souza"/>
    <d v="2026-05-07T00:00:00"/>
    <d v="1899-12-30T08:47:19"/>
    <s v=""/>
    <s v="Perdido"/>
    <d v="2026-05-09T00:00:00"/>
    <d v="1899-12-30T08:54:10"/>
    <s v="Nossa solução não atende - falta funcionalidade"/>
    <s v=""/>
    <s v=""/>
    <x v="0"/>
    <s v="Rayssa Karapeticov"/>
    <x v="0"/>
    <s v=""/>
    <m/>
    <n v="30"/>
    <s v=""/>
    <s v=""/>
    <s v=""/>
    <s v=""/>
    <n v="1"/>
  </r>
  <r>
    <x v="1"/>
    <n v="1189"/>
    <m/>
    <n v="3742"/>
    <s v="08:52, 07/05/2026 Junior Lopes: Olá bom dia !_x000a_08:52, 07/05/2026 Junior Lopes: Sou Junior Lopes da Guarani sistemas! Td bem ?_x000a_11:51, 07/05/2026 Junior Lopes: qual o melhor horario para falarmos"/>
    <s v=""/>
    <x v="660"/>
    <m/>
    <s v=""/>
    <s v="Contade"/>
    <s v="4399777609"/>
    <s v=""/>
    <s v="arianagrandepequenasim@gmail.com"/>
    <s v=""/>
    <s v=""/>
    <s v=""/>
    <s v=""/>
    <s v="N sei"/>
    <s v="Inbound"/>
    <s v=""/>
    <s v=""/>
    <s v="Fora Perfil;Instagram"/>
    <s v="Pipeline de Vendas"/>
    <s v="Qualificação de Vendas (SQL) (25%)"/>
    <s v=""/>
    <m/>
    <m/>
    <m/>
    <n v="7"/>
    <s v="Paulo Souza"/>
    <d v="2026-05-07T00:00:00"/>
    <d v="1899-12-30T08:48:50"/>
    <s v=""/>
    <s v="Perdido"/>
    <d v="2026-05-14T00:00:00"/>
    <d v="1899-12-30T15:37:01"/>
    <s v="Inválido - empresa não existe / dados errados"/>
    <s v="(14/05/2026) _x000a_contato não responde _x000a_as informações inseridas não encontram dados da empresa ! ideal exigir CNPJ para uma melhor busca"/>
    <s v=""/>
    <x v="0"/>
    <s v="Junior Lopes"/>
    <x v="0"/>
    <s v=""/>
    <d v="2026-05-14T00:00:00"/>
    <n v="30"/>
    <s v=""/>
    <s v=""/>
    <s v=""/>
    <s v=""/>
    <n v="1"/>
  </r>
  <r>
    <x v="3"/>
    <n v="1190"/>
    <n v="276"/>
    <n v="3748"/>
    <s v="(07/05) Falei com Leila. Eles realizaram recentemente a troca de ERP e estão em busca de um novo CRM. Apresentei as soluções que oferecemos, com foco no AFV._x000a_No momento, estamos aguardando o retorno do Gestor Comercial para avançarmos com o agendamento de uma reunião._x000a_(12/05): Leila gostaria de uma reunião para entender melhor as nossa soluções. Como mudaram recentemente de ERP, a idéia é conhecer o nosso força de vendas e o BI para companhamento das vendas/metas._x000a_A Estilo Ar atua como distribuidora de peças e soluções para ar-condicionado automotivo. Filiais em: Uberlândia/MG (matriz), Belo Horizonte/MG, Juiz de Fora/MG, Montes Claros/MG, Goiânia/GO, Itumbiara/GO, Duque de Caxias/RJ e Cuiabá/MT. Então abrindo a nova filial Cuiabá._x000a_Produros que trabalham: Produtos que trabalham: Peças para ar-condicionado automotivo, Componentes Denso e Delphi, Produtos da marca própria Estilo Ar,  Filtros de cabine, Óleos, Higienizadores, Ferramentas e itens para manutenção automotiva. ERP atual: Sankhya e CRM Kommo integrado._x000a_Paulo: o foco é no AFV e BI, pois estão insatisfeito com o CRM atual. _x000a_(12/05) Reunião agendada para 12/05, as 14h30._x000a_(13/05) Reunião realizada. Leila informou que utilizam o CRM da Sankhya há aproximadamente 3 anos, porém estão insatisfeitos com a usabilidade da ferramenta. Atualmente, contam apenas com vendedores internos, mas a intenção é também trabalhar com representantes comerciais a partir do segundo semestre._x000a_Durante a reunião, foram apresentadas a Guarani Sistemas, as soluções AFV, Loja B2B e BI. Também foi enviado, via WhatsApp, o link do CRM Leads2b , juntamente com nossa apresentação institucional."/>
    <s v=""/>
    <x v="661"/>
    <n v="15338344000182"/>
    <s v="ESTILO AR COMERCIO DE PECAS LTDA"/>
    <s v="Leila Oliveira"/>
    <s v="(34) 3291-9100"/>
    <s v=""/>
    <s v="irpf@aserco.com.br"/>
    <s v="Matriz"/>
    <s v=""/>
    <s v="AV ENGENHEIRO DINIZ 848"/>
    <s v="UBERLANDIA"/>
    <s v="MG"/>
    <s v=""/>
    <s v=""/>
    <s v=""/>
    <s v="Dentro Perfil"/>
    <s v="Pipeline de Vendas"/>
    <s v="Apresentar Solução (35%)"/>
    <s v=""/>
    <m/>
    <m/>
    <m/>
    <n v="7"/>
    <s v="Ronaldo Nascimento"/>
    <d v="2026-05-07T00:00:00"/>
    <d v="1899-12-30T12:06:01"/>
    <s v=""/>
    <s v="Perdido"/>
    <d v="2026-05-14T00:00:00"/>
    <d v="1899-12-30T08:08:53"/>
    <s v="Projeto adiado / sem prazo definido"/>
    <s v="(14/05) Conforme Leila, a ideia é trabalhar com vendedor externo no segundo semestre. Criado atividade para contatar cliente em ago/26."/>
    <s v=""/>
    <x v="0"/>
    <s v=""/>
    <x v="237"/>
    <s v=""/>
    <m/>
    <n v="30"/>
    <s v=""/>
    <s v=""/>
    <s v=""/>
    <s v=""/>
    <n v="1"/>
  </r>
  <r>
    <x v="2"/>
    <n v="1191"/>
    <m/>
    <n v="3749"/>
    <s v=""/>
    <s v=""/>
    <x v="662"/>
    <n v="8333878000150"/>
    <s v=""/>
    <s v="Danielle"/>
    <s v="(74) 8124-8767"/>
    <s v=""/>
    <s v="maristela@kisolpiscinas.com"/>
    <s v=""/>
    <s v=""/>
    <s v=""/>
    <s v="FERNANDOPOLIS"/>
    <s v="SP"/>
    <s v=""/>
    <s v=""/>
    <s v=""/>
    <s v=""/>
    <s v="Pipeline de Vendas"/>
    <s v="Apresentar Solução (35%)"/>
    <s v=""/>
    <m/>
    <m/>
    <m/>
    <n v="13"/>
    <s v="Rayssa Karapeticov"/>
    <d v="2026-05-07T00:00:00"/>
    <d v="1899-12-30T16:38:45"/>
    <s v=""/>
    <s v="Ativo"/>
    <m/>
    <m/>
    <s v=""/>
    <s v=""/>
    <s v=""/>
    <x v="216"/>
    <s v="Rayssa Karapeticov"/>
    <x v="0"/>
    <s v=""/>
    <d v="2026-05-13T00:00:00"/>
    <n v="30"/>
    <s v=""/>
    <s v="ERP"/>
    <s v=""/>
    <s v=""/>
    <n v="1"/>
  </r>
  <r>
    <x v="3"/>
    <n v="1192"/>
    <n v="273"/>
    <n v="3754"/>
    <s v="(08/05) Apresentação agendada para 13/08 às 10h. Conforme informado pelo Milton, a empresa está em busca de um novo sistema de gestão e atualmente não possui uma ferramenta de força de vendas."/>
    <s v=""/>
    <x v="663"/>
    <n v="40220751000138"/>
    <s v="MARDEN MEDICAL LTDA."/>
    <s v="Milton Cavalieri"/>
    <s v="(16) 2121-0858"/>
    <s v=""/>
    <s v="administracao@mardenmedical.com.br"/>
    <s v="Matriz"/>
    <s v=""/>
    <s v="R GASTAO VIEIRA 229"/>
    <s v="SAO CARLOS"/>
    <s v="SP"/>
    <s v=""/>
    <s v=""/>
    <s v=""/>
    <s v="Dentro Perfil"/>
    <s v="Pipeline de Vendas"/>
    <s v="Apresentar Solução (35%)"/>
    <s v=""/>
    <m/>
    <m/>
    <m/>
    <n v="13"/>
    <s v="Ronaldo Nascimento"/>
    <d v="2026-05-07T00:00:00"/>
    <d v="1899-12-30T16:57:47"/>
    <s v=""/>
    <s v="Ativo"/>
    <m/>
    <m/>
    <s v=""/>
    <s v=""/>
    <s v=""/>
    <x v="0"/>
    <s v=""/>
    <x v="238"/>
    <s v=""/>
    <d v="2026-05-13T00:00:00"/>
    <n v="30"/>
    <s v=""/>
    <s v="ERP, AFV"/>
    <s v=""/>
    <s v=""/>
    <n v="1"/>
  </r>
  <r>
    <x v="3"/>
    <n v="1193"/>
    <n v="279"/>
    <m/>
    <s v="(08/05) Enviada mensagem via LinkedIn para Hugo Oliveira (gestor comercial), com o objetivo de apresentar as soluções da Guarani Sistemas e alinhar um possível bate-papo comercial."/>
    <s v=""/>
    <x v="221"/>
    <n v="89738173000115"/>
    <s v="SANREMO S/A"/>
    <s v=""/>
    <s v=""/>
    <s v=""/>
    <s v="bt_contabilidade@bettanin.com.br"/>
    <s v="Matriz"/>
    <s v=""/>
    <s v="AV INDEPENDENCIA 8885"/>
    <s v="ESTEIO"/>
    <s v="RS"/>
    <s v=""/>
    <s v=""/>
    <s v=""/>
    <s v="Dentro Perfil"/>
    <s v="Pipeline de Vendas"/>
    <s v="Agendamento (0%)"/>
    <s v=""/>
    <m/>
    <m/>
    <m/>
    <n v="12"/>
    <s v="Ronaldo Nascimento"/>
    <d v="2026-05-08T00:00:00"/>
    <d v="1899-12-30T10:00:51"/>
    <s v=""/>
    <s v="Ativo"/>
    <m/>
    <m/>
    <s v=""/>
    <s v=""/>
    <s v=""/>
    <x v="0"/>
    <s v=""/>
    <x v="0"/>
    <s v=""/>
    <m/>
    <n v="30"/>
    <s v=""/>
    <s v=""/>
    <s v=""/>
    <s v=""/>
    <n v="1"/>
  </r>
  <r>
    <x v="3"/>
    <n v="1194"/>
    <n v="281"/>
    <m/>
    <s v="(08/05) Enviada mensagem via LinkedIn para Vagner (gestor comercial), com o objetivo de apresentar as soluções da Guarani Sistemas e alinhar um possível bate-papo comercial._x000a_(18/05) Gestor comercial: Paulo Pimentel. Enviado msg a fim de agendar uma apresentação."/>
    <s v=""/>
    <x v="664"/>
    <n v="4381287000106"/>
    <s v="ORDENE S/A"/>
    <s v=""/>
    <s v=""/>
    <s v=""/>
    <s v="bt_contabilidade@bettanin.com.br"/>
    <s v="Matriz"/>
    <s v=""/>
    <s v="RUA GILBERTO TADEU MORAIS S/N"/>
    <s v="ESTEIO"/>
    <s v="RS"/>
    <s v=""/>
    <s v=""/>
    <s v=""/>
    <s v="Dentro Perfil"/>
    <s v="Pipeline de Vendas"/>
    <s v="Qualificação de Vendas (SQL) (25%)"/>
    <s v=""/>
    <m/>
    <m/>
    <m/>
    <n v="12"/>
    <s v="Ronaldo Nascimento"/>
    <d v="2026-05-08T00:00:00"/>
    <d v="1899-12-30T10:07:26"/>
    <s v=""/>
    <s v="Ativo"/>
    <m/>
    <m/>
    <s v=""/>
    <s v=""/>
    <s v=""/>
    <x v="0"/>
    <s v=""/>
    <x v="0"/>
    <s v=""/>
    <m/>
    <n v="30"/>
    <s v=""/>
    <s v=""/>
    <s v=""/>
    <s v=""/>
    <n v="1"/>
  </r>
  <r>
    <x v="3"/>
    <n v="1195"/>
    <n v="282"/>
    <n v="3760"/>
    <s v="(08/05) Enviada mensagem via LinkedIn para Lucimara (gestora comercial), com o objetivo de apresentar as soluções da Guarani Sistemas e alinhar um possível bate-papo comercial._x000a_(11/05) Consegui o contato de WhatsApp do Adm. Felix Carvalho. Enviei mensagem com o objetivo de verificar um melhor horário para realizarmos um bate-papo."/>
    <s v=""/>
    <x v="665"/>
    <n v="43948561000120"/>
    <s v="NIGRO ALUMINIO LTDA"/>
    <s v="Lucimara Zenatti"/>
    <s v="16210844221"/>
    <s v=""/>
    <s v="contabil@nigro.com.br"/>
    <s v="Matriz"/>
    <s v=""/>
    <s v="AV ARCANGELO NIGRO 166"/>
    <s v="ARARAQUARA"/>
    <s v="SP"/>
    <s v=""/>
    <s v=""/>
    <s v=""/>
    <s v="Dentro Perfil"/>
    <s v="Pipeline de Vendas"/>
    <s v="Qualificação de Vendas (SQL) (25%)"/>
    <s v=""/>
    <m/>
    <m/>
    <m/>
    <n v="12"/>
    <s v="Ronaldo Nascimento"/>
    <d v="2026-05-08T00:00:00"/>
    <d v="1899-12-30T10:30:00"/>
    <s v=""/>
    <s v="Ativo"/>
    <m/>
    <m/>
    <s v=""/>
    <s v=""/>
    <s v=""/>
    <x v="0"/>
    <s v=""/>
    <x v="0"/>
    <s v=""/>
    <m/>
    <n v="30"/>
    <s v=""/>
    <s v=""/>
    <s v=""/>
    <s v=""/>
    <n v="1"/>
  </r>
  <r>
    <x v="0"/>
    <n v="1196"/>
    <m/>
    <n v="3746"/>
    <s v=""/>
    <s v=""/>
    <x v="666"/>
    <n v="5659821000239"/>
    <s v=""/>
    <s v="Alexandre"/>
    <s v="11988734899"/>
    <s v=""/>
    <s v="alexandre@emblemax.com.br"/>
    <s v=""/>
    <s v=""/>
    <s v=""/>
    <s v=""/>
    <s v="SP"/>
    <s v="Inbound"/>
    <s v=""/>
    <s v=""/>
    <s v="Dentro Perfil;Instagram"/>
    <s v="Pipeline de Vendas"/>
    <s v="Qualificação de Vendas (SQL) (25%)"/>
    <s v=""/>
    <m/>
    <m/>
    <m/>
    <n v="12"/>
    <s v="Paulo Souza"/>
    <d v="2026-05-08T00:00:00"/>
    <d v="1899-12-30T11:46:39"/>
    <s v=""/>
    <s v="Ativo"/>
    <m/>
    <m/>
    <s v=""/>
    <s v=""/>
    <s v=""/>
    <x v="0"/>
    <s v="Paulo Souza"/>
    <x v="0"/>
    <s v=""/>
    <d v="2026-05-18T00:00:00"/>
    <n v="30"/>
    <s v=""/>
    <s v=""/>
    <s v=""/>
    <s v=""/>
    <n v="1"/>
  </r>
  <r>
    <x v="3"/>
    <n v="1197"/>
    <n v="270"/>
    <m/>
    <s v="(08/05) Enviado WhatsApp para Luiz (amigo pessoal) para entender melhor a estrutura comercial da MMO, incluindo modelo de equipe de vendas (interna e/ou externa) e sistemas utilizados atualmente para gestão e vendas._x000a_(11/05) Enviado msg para Gabriela (filha do Luis e amiga pessoal)."/>
    <s v=""/>
    <x v="667"/>
    <n v="2466212000194"/>
    <s v="MM OPTICS LTDA"/>
    <s v=""/>
    <s v=""/>
    <s v=""/>
    <s v="mmo@com.br"/>
    <s v="Matriz"/>
    <s v=""/>
    <s v="RUA GEMINIANO COSTA 143"/>
    <s v="SAO CARLOS"/>
    <s v="SP"/>
    <s v=""/>
    <s v=""/>
    <s v=""/>
    <s v="Dentro Perfil"/>
    <s v="Pipeline de Vendas"/>
    <s v="Qualificação de Vendas (SQL) (25%)"/>
    <s v=""/>
    <m/>
    <m/>
    <m/>
    <n v="12"/>
    <s v="Ronaldo Nascimento"/>
    <d v="2026-05-08T00:00:00"/>
    <d v="1899-12-30T12:05:35"/>
    <s v=""/>
    <s v="Ativo"/>
    <m/>
    <m/>
    <s v=""/>
    <s v=""/>
    <s v=""/>
    <x v="0"/>
    <s v=""/>
    <x v="0"/>
    <s v=""/>
    <d v="2026-05-11T00:00:00"/>
    <n v="30"/>
    <s v=""/>
    <s v=""/>
    <s v=""/>
    <s v=""/>
    <n v="1"/>
  </r>
  <r>
    <x v="3"/>
    <n v="1198"/>
    <n v="256"/>
    <n v="3773"/>
    <s v="(08/05) Enviado WhatsApp para Fabiana (amiga pessoal) com o objetivo de alinhar e agendar uma apresentação das nossas soluções."/>
    <s v=""/>
    <x v="668"/>
    <n v="20137275000189"/>
    <s v="VOLMED BRASIL EQUIPAMENTOS LTDA"/>
    <s v="Fabiana Voltatódio"/>
    <s v="(16) 3419-1794"/>
    <s v=""/>
    <s v="financeiro@volmed.com.br"/>
    <s v="Matriz"/>
    <s v=""/>
    <s v="RUA FRANCISCO CORREA BUENO 435"/>
    <s v="SAO CARLOS"/>
    <s v="SP"/>
    <s v=""/>
    <s v=""/>
    <s v=""/>
    <s v="TAG1SEM"/>
    <s v="Pipeline de Vendas"/>
    <s v="Agendamento (0%)"/>
    <s v=""/>
    <m/>
    <m/>
    <m/>
    <n v="0"/>
    <s v="Ronaldo Nascimento"/>
    <d v="2026-05-11T00:00:00"/>
    <d v="1899-12-30T09:33:58"/>
    <s v=""/>
    <s v="Perdido"/>
    <d v="2026-05-11T00:00:00"/>
    <d v="1899-12-30T09:35:54"/>
    <s v="Nossa solução não atende - falta funcionalidade"/>
    <s v="Em contato com Fabiana, foi informado que a empresa utiliza ferramentas específicas para o segmento (ERP e Força de Vendas), incluindo validações e exigências da Anvisa."/>
    <s v=""/>
    <x v="0"/>
    <s v=""/>
    <x v="0"/>
    <s v=""/>
    <m/>
    <n v="30"/>
    <s v=""/>
    <s v=""/>
    <s v=""/>
    <s v=""/>
    <n v="1"/>
  </r>
  <r>
    <x v="3"/>
    <n v="1199"/>
    <n v="283"/>
    <n v="3776"/>
    <s v="(08/05) Enviada mensagem via LinkedIn para Nádia (gestora comercial), com o objetivo de apresentar as soluções da Guarani Sistemas e alinhar um possível bate-papo comercial._x000a_(11/05) Nádia aceitou a conexão no LinkedIn. Enviada mensagem inicial apresentando as soluções da Guarani Sistemas."/>
    <s v=""/>
    <x v="669"/>
    <n v="88610191000154"/>
    <s v="MUNDIAL S.A. - PRODUTOS DE CONSUMO"/>
    <s v="Nádia C. da Silva"/>
    <s v="(51) 3358-5000"/>
    <s v=""/>
    <s v="lara.nunes@mundial.com"/>
    <s v="Matriz"/>
    <s v=""/>
    <s v="R DO PARAISO 148"/>
    <s v="SAO JOAO DE MERITI"/>
    <s v="RJ"/>
    <s v=""/>
    <s v=""/>
    <s v=""/>
    <s v="Dentro Perfil"/>
    <s v="Pipeline de Vendas"/>
    <s v="Qualificação de Vendas (SQL) (25%)"/>
    <s v=""/>
    <m/>
    <m/>
    <m/>
    <n v="9"/>
    <s v="Ronaldo Nascimento"/>
    <d v="2026-05-11T00:00:00"/>
    <d v="1899-12-30T10:28:33"/>
    <s v=""/>
    <s v="Ativo"/>
    <m/>
    <m/>
    <s v=""/>
    <s v=""/>
    <s v=""/>
    <x v="0"/>
    <s v=""/>
    <x v="0"/>
    <s v=""/>
    <m/>
    <n v="30"/>
    <s v=""/>
    <s v=""/>
    <s v=""/>
    <s v=""/>
    <n v="1"/>
  </r>
  <r>
    <x v="2"/>
    <n v="1200"/>
    <m/>
    <n v="3777"/>
    <s v=""/>
    <s v=""/>
    <x v="670"/>
    <n v="8821632000128"/>
    <s v=""/>
    <s v="LUCIANO CARBONARO DE OLIVEIRA"/>
    <s v=""/>
    <s v=""/>
    <s v=""/>
    <s v=""/>
    <s v=""/>
    <s v=""/>
    <s v=""/>
    <s v=""/>
    <s v="Campanha"/>
    <s v=""/>
    <s v=""/>
    <s v="Dentro Perfil;Instagram"/>
    <s v="Pipeline de Vendas"/>
    <s v="Qualificação de Vendas (SQL) (25%)"/>
    <s v=""/>
    <d v="2026-05-31T00:00:00"/>
    <m/>
    <m/>
    <n v="9"/>
    <s v="Paulo Souza"/>
    <d v="2026-05-11T00:00:00"/>
    <d v="1899-12-30T11:03:53"/>
    <s v=""/>
    <s v="Ativo"/>
    <m/>
    <m/>
    <s v=""/>
    <s v=""/>
    <s v=""/>
    <x v="0"/>
    <s v="Rayssa Karapeticov"/>
    <x v="0"/>
    <s v=""/>
    <d v="2026-05-13T00:00:00"/>
    <n v="30"/>
    <s v=""/>
    <s v=""/>
    <s v=""/>
    <s v=""/>
    <n v="1"/>
  </r>
  <r>
    <x v="1"/>
    <n v="1201"/>
    <m/>
    <n v="3771"/>
    <s v="(11/05/2026) tentativa de ligação porem o telefone esta bloqueado para chamadas _x000a_contato via WhatsApp_x000a_12:02, 11/05/2026 Junior Lopes: Olá Tone Oliveira, bom dia_x000a_12:02, 11/05/2026 Junior Lopes: sou Junior Lopes da Guarani sistemas_x000a_12:02, 11/05/2026 Junior Lopes: td bem ?_x000a_(14/05/2026) avançando com informações da solução ! direcionando para uma apresentação"/>
    <s v="N. K. Distribuidora Ltda"/>
    <x v="671"/>
    <n v="12084237000187"/>
    <s v=""/>
    <s v="NK Distribuidora De Cosmeticos"/>
    <s v="6699942807"/>
    <s v=""/>
    <s v="toneoliveira@hotmail.com"/>
    <s v=""/>
    <s v=""/>
    <s v=""/>
    <s v="RONDONOPOLIS"/>
    <s v="MT"/>
    <s v="Campanha"/>
    <s v=""/>
    <s v=""/>
    <s v="Dentro Perfil;Instagram"/>
    <s v="Pipeline de Vendas"/>
    <s v="Qualificação de Vendas (SQL) (25%)"/>
    <s v=""/>
    <d v="2026-05-31T00:00:00"/>
    <m/>
    <m/>
    <n v="9"/>
    <s v="Paulo Souza"/>
    <d v="2026-05-11T00:00:00"/>
    <d v="1899-12-30T11:18:41"/>
    <s v=""/>
    <s v="Ativo"/>
    <m/>
    <m/>
    <s v=""/>
    <s v=""/>
    <s v=""/>
    <x v="0"/>
    <s v="Junior Lopes"/>
    <x v="0"/>
    <s v=""/>
    <m/>
    <n v="30"/>
    <s v=""/>
    <s v=""/>
    <s v=""/>
    <s v=""/>
    <n v="1"/>
  </r>
  <r>
    <x v="3"/>
    <n v="1202"/>
    <n v="241"/>
    <n v="3779"/>
    <s v="(11/05) Em contato com Paula, foi informado que a empresa utiliza diferentes sistemas separados por departamento. Solicitou o envio de uma apresentação por e-mail para encaminhamento ao João. Atualmente, a empresa possui equipe de vendas interna e apenas um vendedor externo (João)."/>
    <s v=""/>
    <x v="672"/>
    <n v="6269527000100"/>
    <s v="LA ROCHA INDUSTRIA E COMERCIO DE FIBRAS MINERAIS LTDA"/>
    <s v="Paula Franzin"/>
    <s v="(01) 63911-7784"/>
    <s v=""/>
    <s v=""/>
    <s v="Matriz"/>
    <s v=""/>
    <s v="EST VICINAL VITO GAIA PUOLI, KM 2 + S/N"/>
    <s v="DESCALVADO"/>
    <s v="SP"/>
    <s v=""/>
    <s v=""/>
    <s v=""/>
    <s v="Dentro Perfil"/>
    <s v="Pipeline de Vendas"/>
    <s v="Qualificação de Vendas (SQL) (25%)"/>
    <s v=""/>
    <m/>
    <m/>
    <m/>
    <n v="9"/>
    <s v="Ronaldo Nascimento"/>
    <d v="2026-05-11T00:00:00"/>
    <d v="1899-12-30T11:23:29"/>
    <s v=""/>
    <s v="Ativo"/>
    <m/>
    <m/>
    <s v=""/>
    <s v=""/>
    <s v=""/>
    <x v="0"/>
    <s v=""/>
    <x v="0"/>
    <s v=""/>
    <m/>
    <n v="30"/>
    <s v=""/>
    <s v=""/>
    <s v=""/>
    <s v=""/>
    <n v="1"/>
  </r>
  <r>
    <x v="0"/>
    <n v="1203"/>
    <m/>
    <n v="3770"/>
    <s v=""/>
    <s v=""/>
    <x v="673"/>
    <n v="48579170000107"/>
    <s v=""/>
    <s v="Belapin ind com"/>
    <s v="11970330999"/>
    <s v=""/>
    <s v="junior@arcobello.com.br"/>
    <s v=""/>
    <s v=""/>
    <s v=""/>
    <s v=""/>
    <s v=""/>
    <s v="Campanha"/>
    <s v=""/>
    <s v=""/>
    <s v="Dentro Perfil;Instagram"/>
    <s v="Pipeline de Vendas"/>
    <s v="Qualificação de Vendas (SQL) (25%)"/>
    <s v=""/>
    <d v="2026-05-31T00:00:00"/>
    <m/>
    <m/>
    <n v="9"/>
    <s v="Paulo Souza"/>
    <d v="2026-05-11T00:00:00"/>
    <d v="1899-12-30T11:24:21"/>
    <s v=""/>
    <s v="Ativo"/>
    <m/>
    <m/>
    <s v=""/>
    <s v=""/>
    <s v=""/>
    <x v="0"/>
    <s v="Paulo Souza"/>
    <x v="0"/>
    <s v=""/>
    <m/>
    <n v="30"/>
    <s v=""/>
    <s v=""/>
    <s v=""/>
    <s v=""/>
    <n v="1"/>
  </r>
  <r>
    <x v="3"/>
    <n v="1204"/>
    <n v="231"/>
    <n v="3780"/>
    <s v="(11/05) Falei com Orlei (Compras), que indicou o Rodrigo, da área Comercial, como responsável para continuidade da conversa. Atualmente a empresa utiliza o sistema WBC, desenvolvido para o segmento, porém cada departamento trabalha com um sistema diferente._x000a_Comentou também que, há algum tempo, chegaram a conversar com a TOTVS sobre implantação de ERP, mas o projeto acabou não avançando devido à dificuldade relacionada à migração/estruturação dos dados._x000a_Realizei contato com o Rodrigo, porém a ligação caiu na caixa postal. Enviei mensagem via WhatsApp para tentar agendar um bate-papo."/>
    <s v=""/>
    <x v="674"/>
    <n v="490414000146"/>
    <s v="N S F INDUSTRIA E COMERCIO DE EQUIPAMENTOS PARA INSTALACOES COMERCIAIS LTDA"/>
    <s v="Antonio Marcos Real"/>
    <s v="(16) 3377-9700"/>
    <s v=""/>
    <s v="financeiro@nsf.ind.br"/>
    <s v="Matriz"/>
    <s v=""/>
    <s v="ROD WASHINGTON LUIZ S/N"/>
    <s v="SAO CARLOS"/>
    <s v="SP"/>
    <s v=""/>
    <s v=""/>
    <s v=""/>
    <s v="Dentro Perfil"/>
    <s v="Pipeline de Vendas"/>
    <s v="Qualificação de Vendas (SQL) (25%)"/>
    <s v=""/>
    <m/>
    <m/>
    <m/>
    <n v="9"/>
    <s v="Ronaldo Nascimento"/>
    <d v="2026-05-11T00:00:00"/>
    <d v="1899-12-30T14:29:08"/>
    <s v=""/>
    <s v="Ativo"/>
    <m/>
    <m/>
    <s v=""/>
    <s v=""/>
    <s v=""/>
    <x v="0"/>
    <s v=""/>
    <x v="0"/>
    <s v=""/>
    <m/>
    <n v="30"/>
    <s v=""/>
    <s v=""/>
    <s v=""/>
    <s v=""/>
    <n v="1"/>
  </r>
  <r>
    <x v="3"/>
    <n v="1205"/>
    <n v="252"/>
    <n v="3781"/>
    <s v="(08/05) Enviado WhatsApp para Lana (amiga pessoal), atualmente representante comercial da empresa, solicitando o contato do gestor comercial para possível apresentação das soluções._x000a_(11/05) Falei com a Lana. No momento, a empresa está concentrada na preparação para a Feira Hospitalar, que acontecerá entre os dias 19 e 22 de maio._x000a_Comentou que atualmente utilizam as soluções da Sectra para a área comercial (possivelmente ERP também). Sugeriu retomarmos o contato durante a feira ou após o evento para conversarmos com mais tranquilidade."/>
    <s v=""/>
    <x v="675"/>
    <n v="13459890000146"/>
    <s v="HORTRON INDUSTRIA E COMERCIO DE PRODUTOS ELETRONICOS LTDA"/>
    <s v="Willian Zanon"/>
    <s v="(16) 3419-0892"/>
    <s v=""/>
    <s v="hortron@hortron.com.br"/>
    <s v="Matriz"/>
    <s v=""/>
    <s v="AV GETULIO VARGAS 2831"/>
    <s v="SAO CARLOS"/>
    <s v="SP"/>
    <s v=""/>
    <s v=""/>
    <s v=""/>
    <s v="Dentro Perfil"/>
    <s v="Pipeline de Vendas"/>
    <s v="Qualificação de Vendas (SQL) (25%)"/>
    <s v=""/>
    <m/>
    <m/>
    <m/>
    <n v="9"/>
    <s v="Ronaldo Nascimento"/>
    <d v="2026-05-11T00:00:00"/>
    <d v="1899-12-30T14:44:21"/>
    <s v=""/>
    <s v="Ativo"/>
    <m/>
    <m/>
    <s v=""/>
    <s v=""/>
    <s v=""/>
    <x v="0"/>
    <s v=""/>
    <x v="0"/>
    <s v=""/>
    <m/>
    <n v="30"/>
    <s v=""/>
    <s v=""/>
    <s v=""/>
    <s v=""/>
    <n v="1"/>
  </r>
  <r>
    <x v="3"/>
    <n v="1206"/>
    <n v="226"/>
    <n v="3782"/>
    <s v="(11/05) Falei com Denise (contato pessoal da área de RH). Apresentei brevemente a Guarani Sistemas e algumas das soluções que oferecemos, principalmente na área comercial. Solicitei o contato do gestor/com responsável pela área comercial para apresentar nossa solução de vendas. Aguardando retorno._x000a_(12/05) Falei com a Denise, que me passou o contato (e-mail) do Farid, Gestor Comercial da Hece Máquinas. Denise comentou que a empresa atualmente trabalha com um ERP próprio. Enviado e-mail a fim de agendarmos um bate-papo."/>
    <s v=""/>
    <x v="676"/>
    <n v="59602144000160"/>
    <s v="HECE MAQUINAS LTDA"/>
    <s v="Denise Rodrigues Ferreira"/>
    <s v="(16) 98198-8289"/>
    <s v="16981988289"/>
    <s v="rh@hece.com.br"/>
    <s v="Matriz"/>
    <s v=""/>
    <s v="R JOAO ABDELNUR 99"/>
    <s v="SAO CARLOS"/>
    <s v="SP"/>
    <s v=""/>
    <s v=""/>
    <s v=""/>
    <s v="Dentro Perfil"/>
    <s v="Pipeline de Vendas"/>
    <s v="Qualificação de Vendas (SQL) (25%)"/>
    <s v=""/>
    <m/>
    <m/>
    <m/>
    <n v="9"/>
    <s v="Ronaldo Nascimento"/>
    <d v="2026-05-11T00:00:00"/>
    <d v="1899-12-30T14:54:52"/>
    <s v=""/>
    <s v="Ativo"/>
    <m/>
    <m/>
    <s v=""/>
    <s v=""/>
    <s v=""/>
    <x v="0"/>
    <s v=""/>
    <x v="0"/>
    <s v=""/>
    <d v="2026-05-12T00:00:00"/>
    <n v="30"/>
    <s v=""/>
    <s v=""/>
    <s v=""/>
    <s v=""/>
    <n v="1"/>
  </r>
  <r>
    <x v="3"/>
    <n v="1208"/>
    <n v="255"/>
    <n v="3788"/>
    <s v="(11/05) Enviado msg para Nathalia a fim de agendarmos um bate-papo._x000a_(12/05) Falei com a Nathalia, que me passou o contato (e-mail) da Vanessa, Gerente Comercial da Setormed. Enviado e-mail a fim de agendarmos um bate-papo."/>
    <s v=""/>
    <x v="677"/>
    <n v="13533397000129"/>
    <s v="SETORMED INDUSTRIA E COMERCIO DE EQUIPAMENTOS MEDICOS E ODONTOLOGICOS S.A."/>
    <s v="Nathalia C. S. Santos"/>
    <s v="(16) 34165-3681"/>
    <s v=""/>
    <s v="setormed@setormed.com.br"/>
    <s v="Matriz"/>
    <s v=""/>
    <s v="RUA ARTHUR RODRIGUES DE CASTRO 150"/>
    <s v="SAO CARLOS"/>
    <s v="SP"/>
    <s v=""/>
    <s v=""/>
    <s v=""/>
    <s v="Dentro Perfil"/>
    <s v="Pipeline de Vendas"/>
    <s v="Qualificação de Vendas (SQL) (25%)"/>
    <s v=""/>
    <m/>
    <m/>
    <m/>
    <n v="8"/>
    <s v="Ronaldo Nascimento"/>
    <d v="2026-05-12T00:00:00"/>
    <d v="1899-12-30T11:50:46"/>
    <s v=""/>
    <s v="Ativo"/>
    <m/>
    <m/>
    <s v=""/>
    <s v=""/>
    <s v=""/>
    <x v="0"/>
    <s v=""/>
    <x v="0"/>
    <s v=""/>
    <m/>
    <n v="30"/>
    <s v=""/>
    <s v=""/>
    <s v=""/>
    <s v=""/>
    <n v="1"/>
  </r>
  <r>
    <x v="2"/>
    <n v="1209"/>
    <m/>
    <n v="3786"/>
    <s v="Todos os dados preenchidos:_x000a_empresa: Casa Bonitta _x000a_name: NATALIA GABRIELA DAMACENO MOTA _x000a_cargo: Proprietária _x000a_whatsapp: 11996672094 _x000a_email: naty-gabriela@hotmail.com _x000a_referrer: https://www.guaranisistemas.com.br/"/>
    <s v=""/>
    <x v="678"/>
    <n v="36621794000158"/>
    <s v=""/>
    <s v="NATALIA GABRIELA DAMACENO MOTA"/>
    <s v="(11) 4292-3358"/>
    <s v=""/>
    <s v="naty-gabriela@hotmail.com"/>
    <s v=""/>
    <s v=""/>
    <s v=""/>
    <s v="SUZANO"/>
    <s v="SP"/>
    <s v="Inbound"/>
    <s v=""/>
    <s v=""/>
    <s v="Perfil Indefinido"/>
    <s v="Pipeline de Vendas"/>
    <s v="Apresentar Solução (35%)"/>
    <s v=""/>
    <d v="2026-05-31T00:00:00"/>
    <m/>
    <m/>
    <n v="8"/>
    <s v="Paulo Souza"/>
    <d v="2026-05-12T00:00:00"/>
    <d v="1899-12-30T15:18:03"/>
    <s v=""/>
    <s v="Ativo"/>
    <m/>
    <m/>
    <s v=""/>
    <s v=""/>
    <s v=""/>
    <x v="0"/>
    <s v="Rayssa Karapeticov"/>
    <x v="0"/>
    <s v=""/>
    <d v="2026-05-19T00:00:00"/>
    <n v="30"/>
    <s v=""/>
    <s v=""/>
    <s v=""/>
    <s v=""/>
    <n v="1"/>
  </r>
  <r>
    <x v="3"/>
    <n v="1212"/>
    <n v="291"/>
    <n v="3801"/>
    <s v=""/>
    <s v=""/>
    <x v="679"/>
    <n v="17188274000159"/>
    <s v="UTILIMIX INDUSTRIA E COMERCIO LTDA"/>
    <s v="Bruno"/>
    <s v="(11) 91010-4191"/>
    <s v=""/>
    <s v="utilimix@bol.com.br"/>
    <s v="Matriz"/>
    <s v=""/>
    <s v="RUA ESTADO DE PERNAMBUCO 93"/>
    <s v="SAO PAULO"/>
    <s v="SP"/>
    <s v=""/>
    <s v=""/>
    <s v=""/>
    <s v="Dentro Perfil"/>
    <s v="Pipeline de Vendas"/>
    <s v="Apresentar Solução (35%)"/>
    <s v=""/>
    <m/>
    <m/>
    <m/>
    <n v="5"/>
    <s v="Ronaldo Nascimento"/>
    <d v="2026-05-13T00:00:00"/>
    <d v="1899-12-30T14:07:38"/>
    <s v=""/>
    <s v="Perdido"/>
    <d v="2026-05-18T00:00:00"/>
    <d v="1899-12-30T09:10:54"/>
    <s v="Fora do porte mínimo (sem fit estrutural)"/>
    <s v="Bruno gostou bastante da solução, porém, no momento a estrutura da empresa ainda é pequena para utilização das nossas ferramentas. Deixei meu contato à disposição para, futuramente, caso a empresa cresça ou o perfil da operação mude, avaliarmos uma solução mais robusta."/>
    <s v=""/>
    <x v="0"/>
    <s v=""/>
    <x v="0"/>
    <s v=""/>
    <d v="2026-05-15T00:00:00"/>
    <n v="40"/>
    <s v=""/>
    <s v=""/>
    <s v=""/>
    <s v=""/>
    <n v="1"/>
  </r>
  <r>
    <x v="1"/>
    <n v="1213"/>
    <m/>
    <n v="3802"/>
    <s v="Olá Alexandre boa tarde ! Aqui é Junior Lopes da Guarani sistemas, Td bem ?_x000a_Estou retornando contato que vc fez conosco referente as nossas soluções de ERP e soluções de força de vendas_x000a_Olá Alexandre, bom dia_x000a_Bom dia_x000a_Mandei mensagem para saber sobre valor do sistema e como funciona_x000a_Ok_x000a_Pode deixar_x000a_Não tenho interesse"/>
    <s v="Analu Parafusos Ltda"/>
    <x v="680"/>
    <n v="26991643000138"/>
    <s v=""/>
    <s v="Alexandre"/>
    <s v="17981238345"/>
    <s v=""/>
    <s v="analuparafusos@gmail.com"/>
    <s v=""/>
    <s v=""/>
    <s v=""/>
    <s v="CAMPO GRANDE"/>
    <s v="MS"/>
    <s v="Campanha"/>
    <s v=""/>
    <s v=""/>
    <s v="Dentro Perfil;Instagram"/>
    <s v="Pipeline de Vendas"/>
    <s v="Qualificação de Vendas (SQL) (25%)"/>
    <s v=""/>
    <d v="2026-05-31T00:00:00"/>
    <m/>
    <m/>
    <n v="1"/>
    <s v="Paulo Souza"/>
    <d v="2026-05-13T00:00:00"/>
    <d v="1899-12-30T17:48:05"/>
    <s v=""/>
    <s v="Perdido"/>
    <d v="2026-05-14T00:00:00"/>
    <d v="1899-12-30T11:26:14"/>
    <s v="Cliente não quer contato LGPD"/>
    <s v="Olá Alexandre boa tarde ! Aqui é Junior Lopes da Guarani sistemas, Td bem ?_x000a_Estou retornando contato que vc fez conosco referente as nossas soluções de ERP e soluções de força de vendas_x000a_Olá Alexandre, bom dia_x000a_Bom dia_x000a_Mandei mensagem para saber sobre valor do sistema e como funciona_x000a_Ok_x000a_Pode deixar_x000a_Não tenho interesse"/>
    <s v=""/>
    <x v="0"/>
    <s v="Junior Lopes"/>
    <x v="0"/>
    <s v=""/>
    <d v="2026-05-14T00:00:00"/>
    <n v="30"/>
    <s v=""/>
    <s v=""/>
    <s v=""/>
    <s v=""/>
    <n v="1"/>
  </r>
  <r>
    <x v="2"/>
    <n v="1214"/>
    <m/>
    <n v="3804"/>
    <s v=""/>
    <s v=""/>
    <x v="681"/>
    <n v="68044700000111"/>
    <s v=""/>
    <s v="Belapin Industria E Comercio De Alimenticios Ltda"/>
    <s v="(011) 2726-761"/>
    <s v=""/>
    <s v="null"/>
    <s v=""/>
    <s v=""/>
    <s v=""/>
    <s v="SAO PAULO"/>
    <s v="SP"/>
    <s v="Base de empresas Leads2b"/>
    <s v=""/>
    <s v=""/>
    <s v=""/>
    <s v="Pipeline de Vendas"/>
    <s v="Qualificação de Vendas (SQL) (25%)"/>
    <s v=""/>
    <m/>
    <m/>
    <m/>
    <n v="7"/>
    <s v="Rayssa Karapeticov"/>
    <d v="2026-05-13T00:00:00"/>
    <d v="1899-12-30T18:21:57"/>
    <s v=""/>
    <s v="Ativo"/>
    <m/>
    <m/>
    <s v=""/>
    <s v=""/>
    <s v=""/>
    <x v="0"/>
    <s v=""/>
    <x v="0"/>
    <s v=""/>
    <m/>
    <m/>
    <s v=""/>
    <s v=""/>
    <s v=""/>
    <s v=""/>
    <n v="1"/>
  </r>
  <r>
    <x v="1"/>
    <n v="1215"/>
    <m/>
    <n v="3807"/>
    <s v=""/>
    <s v=""/>
    <x v="682"/>
    <m/>
    <s v=""/>
    <s v="Istok comercio importação (Cloud)"/>
    <s v="1123617746"/>
    <s v=""/>
    <s v="diogo.contabilidade@yahoo.com.br"/>
    <s v=""/>
    <s v=""/>
    <s v=""/>
    <s v=""/>
    <s v=""/>
    <s v=""/>
    <s v=""/>
    <s v=""/>
    <s v=""/>
    <s v="Pipeline de Vendas"/>
    <s v="Em Fechamento (100%)"/>
    <s v=""/>
    <m/>
    <n v="0"/>
    <n v="2400"/>
    <n v="5"/>
    <s v="Junior Lopes"/>
    <d v="2026-05-14T00:00:00"/>
    <d v="1899-12-30T08:46:38"/>
    <s v=""/>
    <s v="Ganho"/>
    <d v="2026-05-19T00:00:00"/>
    <d v="1899-12-30T14:27:54"/>
    <s v=""/>
    <s v=""/>
    <s v=""/>
    <x v="215"/>
    <s v=""/>
    <x v="235"/>
    <s v="12/05/2026"/>
    <m/>
    <n v="90"/>
    <s v=""/>
    <s v=""/>
    <s v=""/>
    <s v=""/>
    <n v="1"/>
  </r>
  <r>
    <x v="3"/>
    <n v="1216"/>
    <n v="289"/>
    <n v="3812"/>
    <s v="(13/05) Conversei com Joel, vendedor da Newlar. Atualmente, eles não possuem sistema de força de vendas via celular, realizando os pedidos de forma online._x000a_Joel me passou o contato do Edinho, gestor comercial. Enviei mensagem com o objetivo de agendarmos uma apresentação da solução._x000a_(14/05) Em ligação, Tatiana (financeiro) informou que a empresa utiliza o ERP Sankhya há cerca de 4 anos. Atualmente não possuem equipe de vendas externa, e o site é utilizado apenas para demonstração dos produtos/pedidos._x000a_Solicitou uma apresentação inicial por e-mail e também deixou o WhatsApp (11 97334-5254) para um novo contato, a fim de apresentarmos nossas soluções._x000a_Comentou ainda que considera a mensalidade atual do ERP elevada."/>
    <s v=""/>
    <x v="683"/>
    <n v="3717565000182"/>
    <s v="NEWLAR DISTRIBUIDORA DE UTILIDADES DOMESTICAS LTDA"/>
    <s v="Edinho"/>
    <s v="(11) 96123-5967"/>
    <s v="11961235967"/>
    <s v="newlar@newlar.com.br"/>
    <s v="Matriz"/>
    <s v=""/>
    <s v="AV VAUTIER 649"/>
    <s v="SAO PAULO"/>
    <s v="SP"/>
    <s v=""/>
    <s v=""/>
    <s v=""/>
    <s v="Dentro Perfil"/>
    <s v="Pipeline de Vendas"/>
    <s v="Qualificação de Vendas (SQL) (25%)"/>
    <s v=""/>
    <m/>
    <m/>
    <m/>
    <n v="6"/>
    <s v="Ronaldo Nascimento"/>
    <d v="2026-05-14T00:00:00"/>
    <d v="1899-12-30T11:56:50"/>
    <s v=""/>
    <s v="Ativo"/>
    <m/>
    <m/>
    <s v=""/>
    <s v=""/>
    <s v=""/>
    <x v="0"/>
    <s v=""/>
    <x v="0"/>
    <s v=""/>
    <m/>
    <n v="30"/>
    <s v=""/>
    <s v=""/>
    <s v=""/>
    <s v=""/>
    <n v="1"/>
  </r>
  <r>
    <x v="2"/>
    <n v="1217"/>
    <m/>
    <n v="3814"/>
    <s v=""/>
    <s v=""/>
    <x v="684"/>
    <n v="11587676000140"/>
    <s v=""/>
    <s v="Gifran Industria De Artigos Texteis Ltda"/>
    <s v="(24) 2255-5069"/>
    <s v=""/>
    <s v="comercial@gifran.com.br"/>
    <s v=""/>
    <s v=""/>
    <s v=""/>
    <s v="TRES RIOS"/>
    <s v="RJ"/>
    <s v="Base de empresas Leads2b"/>
    <s v=""/>
    <s v=""/>
    <s v=""/>
    <s v="Pipeline de Vendas"/>
    <s v="Qualificação de Vendas (SQL) (25%)"/>
    <s v=""/>
    <m/>
    <m/>
    <m/>
    <n v="6"/>
    <s v="Rayssa Karapeticov"/>
    <d v="2026-05-14T00:00:00"/>
    <d v="1899-12-30T14:46:19"/>
    <s v=""/>
    <s v="Ativo"/>
    <m/>
    <m/>
    <s v=""/>
    <s v=""/>
    <s v=""/>
    <x v="0"/>
    <s v=""/>
    <x v="0"/>
    <s v=""/>
    <d v="2026-05-14T00:00:00"/>
    <n v="30"/>
    <s v=""/>
    <s v=""/>
    <s v=""/>
    <s v=""/>
    <n v="1"/>
  </r>
  <r>
    <x v="2"/>
    <n v="1218"/>
    <m/>
    <n v="3817"/>
    <s v=""/>
    <s v=""/>
    <x v="685"/>
    <n v="3640671000105"/>
    <s v=""/>
    <s v="Plasnew Utilidades Domesticas Ltda."/>
    <s v="(19) 3852-9000"/>
    <s v=""/>
    <s v="plasnew@plasnew.ind.br"/>
    <s v=""/>
    <s v=""/>
    <s v=""/>
    <s v="PEDREIRA"/>
    <s v="SP"/>
    <s v="Base de empresas Leads2b"/>
    <s v=""/>
    <s v=""/>
    <s v=""/>
    <s v="Pipeline de Vendas"/>
    <s v="Qualificação de Vendas (SQL) (25%)"/>
    <s v=""/>
    <m/>
    <m/>
    <m/>
    <n v="6"/>
    <s v="Rayssa Karapeticov"/>
    <d v="2026-05-14T00:00:00"/>
    <d v="1899-12-30T14:49:03"/>
    <s v=""/>
    <s v="Ativo"/>
    <m/>
    <m/>
    <s v=""/>
    <s v=""/>
    <s v=""/>
    <x v="0"/>
    <s v=""/>
    <x v="0"/>
    <s v=""/>
    <m/>
    <m/>
    <s v=""/>
    <s v=""/>
    <s v=""/>
    <s v=""/>
    <n v="1"/>
  </r>
  <r>
    <x v="2"/>
    <n v="1219"/>
    <m/>
    <n v="3820"/>
    <s v=""/>
    <s v=""/>
    <x v="686"/>
    <n v="14892407000185"/>
    <s v=""/>
    <s v="Ambiente Verde Industria Ltda"/>
    <s v="(51) 3541-7491"/>
    <s v=""/>
    <s v="ambienteverde@ambienteverde.ind.br"/>
    <s v=""/>
    <s v=""/>
    <s v=""/>
    <s v="IGREJINHA"/>
    <s v="RS"/>
    <s v="Base de empresas Leads2b"/>
    <s v=""/>
    <s v=""/>
    <s v=""/>
    <s v="Pipeline de Vendas"/>
    <s v="Qualificação de Vendas (SQL) (25%)"/>
    <s v=""/>
    <m/>
    <m/>
    <m/>
    <n v="6"/>
    <s v="Rayssa Karapeticov"/>
    <d v="2026-05-14T00:00:00"/>
    <d v="1899-12-30T14:49:45"/>
    <s v=""/>
    <s v="Ativo"/>
    <m/>
    <m/>
    <s v=""/>
    <s v=""/>
    <s v=""/>
    <x v="0"/>
    <s v=""/>
    <x v="0"/>
    <s v=""/>
    <m/>
    <m/>
    <s v=""/>
    <s v=""/>
    <s v=""/>
    <s v=""/>
    <n v="1"/>
  </r>
  <r>
    <x v="1"/>
    <n v="1220"/>
    <m/>
    <n v="3824"/>
    <s v=""/>
    <s v=""/>
    <x v="687"/>
    <m/>
    <s v=""/>
    <s v="Baag - Horas"/>
    <s v="75981337574"/>
    <s v=""/>
    <s v="cleber@baag.com.br"/>
    <s v=""/>
    <s v=""/>
    <s v=""/>
    <s v=""/>
    <s v=""/>
    <s v=""/>
    <s v=""/>
    <s v=""/>
    <s v=""/>
    <s v="Pipeline de Vendas"/>
    <s v="Em negociação (75%)"/>
    <s v=""/>
    <m/>
    <n v="25228"/>
    <n v="0"/>
    <n v="6"/>
    <s v="Junior Lopes"/>
    <d v="2026-05-14T00:00:00"/>
    <d v="1899-12-30T14:51:10"/>
    <s v=""/>
    <s v="Ativo"/>
    <m/>
    <m/>
    <s v=""/>
    <s v=""/>
    <s v=""/>
    <x v="212"/>
    <s v=""/>
    <x v="0"/>
    <s v=""/>
    <m/>
    <n v="50"/>
    <s v=""/>
    <s v=""/>
    <s v=""/>
    <s v=""/>
    <n v="1"/>
  </r>
  <r>
    <x v="2"/>
    <n v="1221"/>
    <m/>
    <n v="3826"/>
    <s v=""/>
    <s v=""/>
    <x v="688"/>
    <n v="79846465000207"/>
    <s v=""/>
    <s v="Goedert Ltda"/>
    <s v="(48) 3205-2140"/>
    <s v=""/>
    <s v="administracao@goedert.com.br"/>
    <s v=""/>
    <s v=""/>
    <s v=""/>
    <s v="PALHOCA"/>
    <s v="SC"/>
    <s v="Base de empresas Leads2b"/>
    <s v=""/>
    <s v=""/>
    <s v=""/>
    <s v="Pipeline de Vendas"/>
    <s v="Qualificação de Vendas (SQL) (25%)"/>
    <s v=""/>
    <m/>
    <m/>
    <m/>
    <n v="6"/>
    <s v="Rayssa Karapeticov"/>
    <d v="2026-05-14T00:00:00"/>
    <d v="1899-12-30T15:23:21"/>
    <s v=""/>
    <s v="Ativo"/>
    <m/>
    <m/>
    <s v=""/>
    <s v=""/>
    <s v=""/>
    <x v="0"/>
    <s v=""/>
    <x v="0"/>
    <s v=""/>
    <m/>
    <m/>
    <s v=""/>
    <s v=""/>
    <s v=""/>
    <s v=""/>
    <n v="1"/>
  </r>
  <r>
    <x v="2"/>
    <n v="1222"/>
    <m/>
    <n v="3827"/>
    <s v=""/>
    <s v=""/>
    <x v="89"/>
    <n v="5670513000123"/>
    <s v=""/>
    <s v="Jlk Industria E Comercio De Plasticos Ltda"/>
    <s v="(11) 2243-0117"/>
    <s v=""/>
    <s v="jlk@jlkplasticos.com.br"/>
    <s v=""/>
    <s v=""/>
    <s v=""/>
    <s v="SAO PAULO"/>
    <s v="SP"/>
    <s v="Base de empresas Leads2b"/>
    <s v=""/>
    <s v=""/>
    <s v=""/>
    <s v="Pipeline de Vendas"/>
    <s v="Agendamento (0%)"/>
    <s v=""/>
    <m/>
    <m/>
    <m/>
    <n v="6"/>
    <s v="Rayssa Karapeticov"/>
    <d v="2026-05-14T00:00:00"/>
    <d v="1899-12-30T15:24:59"/>
    <s v=""/>
    <s v="Ativo"/>
    <m/>
    <m/>
    <s v=""/>
    <s v=""/>
    <s v=""/>
    <x v="0"/>
    <s v=""/>
    <x v="0"/>
    <s v=""/>
    <m/>
    <m/>
    <s v=""/>
    <s v=""/>
    <s v=""/>
    <s v=""/>
    <n v="1"/>
  </r>
  <r>
    <x v="2"/>
    <n v="1223"/>
    <m/>
    <n v="3830"/>
    <s v=""/>
    <s v=""/>
    <x v="689"/>
    <n v="29946937000136"/>
    <s v=""/>
    <s v="Mercapet Comercio De Acessorios Para Animais Ltda"/>
    <s v="(11) 7162-4141"/>
    <s v=""/>
    <s v="marcosmercapet@gmail.com"/>
    <s v=""/>
    <s v=""/>
    <s v=""/>
    <s v="ITAQUAQUECETUBA"/>
    <s v="SP"/>
    <s v="Base de empresas Leads2b"/>
    <s v=""/>
    <s v=""/>
    <s v=""/>
    <s v="Pipeline de Vendas"/>
    <s v="Agendamento (0%)"/>
    <s v=""/>
    <m/>
    <m/>
    <m/>
    <n v="6"/>
    <s v="Rayssa Karapeticov"/>
    <d v="2026-05-14T00:00:00"/>
    <d v="1899-12-30T15:29:49"/>
    <s v=""/>
    <s v="Ativo"/>
    <m/>
    <m/>
    <s v=""/>
    <s v=""/>
    <s v=""/>
    <x v="0"/>
    <s v=""/>
    <x v="0"/>
    <s v=""/>
    <m/>
    <m/>
    <s v=""/>
    <s v=""/>
    <s v=""/>
    <s v=""/>
    <n v="1"/>
  </r>
  <r>
    <x v="2"/>
    <n v="1224"/>
    <m/>
    <n v="3832"/>
    <s v=""/>
    <s v=""/>
    <x v="690"/>
    <n v="90406117000162"/>
    <s v=""/>
    <s v="Future Industria Metalurgica Ltda"/>
    <s v="(54) 3535-8700"/>
    <s v=""/>
    <s v="future@futureutilidades.com.br"/>
    <s v=""/>
    <s v=""/>
    <s v=""/>
    <s v="CAXIAS DO SUL"/>
    <s v="RS"/>
    <s v="Base de empresas Leads2b"/>
    <s v=""/>
    <s v=""/>
    <s v=""/>
    <s v="Pipeline de Vendas"/>
    <s v="Agendamento (0%)"/>
    <s v=""/>
    <m/>
    <m/>
    <m/>
    <n v="6"/>
    <s v="Rayssa Karapeticov"/>
    <d v="2026-05-14T00:00:00"/>
    <d v="1899-12-30T15:31:13"/>
    <s v=""/>
    <s v="Ativo"/>
    <m/>
    <m/>
    <s v=""/>
    <s v=""/>
    <s v=""/>
    <x v="0"/>
    <s v=""/>
    <x v="0"/>
    <s v=""/>
    <m/>
    <m/>
    <s v=""/>
    <s v=""/>
    <s v=""/>
    <s v=""/>
    <n v="1"/>
  </r>
  <r>
    <x v="2"/>
    <n v="1225"/>
    <m/>
    <n v="3835"/>
    <s v=""/>
    <s v=""/>
    <x v="691"/>
    <n v="5020996000110"/>
    <s v=""/>
    <s v="Primavera Industria De Vassouras E Escovas Ltda"/>
    <s v="(54) 3344-1438"/>
    <s v=""/>
    <s v="primavera@primavera.ind.br"/>
    <s v=""/>
    <s v=""/>
    <s v=""/>
    <s v="TAPEJARA"/>
    <s v="RS"/>
    <s v="Base de empresas Leads2b"/>
    <s v=""/>
    <s v=""/>
    <s v=""/>
    <s v="Pipeline de Vendas"/>
    <s v="Agendamento (0%)"/>
    <s v=""/>
    <m/>
    <m/>
    <m/>
    <n v="6"/>
    <s v="Rayssa Karapeticov"/>
    <d v="2026-05-14T00:00:00"/>
    <d v="1899-12-30T15:32:28"/>
    <s v=""/>
    <s v="Ativo"/>
    <m/>
    <m/>
    <s v=""/>
    <s v=""/>
    <s v=""/>
    <x v="0"/>
    <s v=""/>
    <x v="0"/>
    <s v=""/>
    <m/>
    <m/>
    <s v=""/>
    <s v=""/>
    <s v=""/>
    <s v=""/>
    <n v="1"/>
  </r>
  <r>
    <x v="2"/>
    <n v="1226"/>
    <m/>
    <n v="3838"/>
    <s v=""/>
    <s v=""/>
    <x v="692"/>
    <n v="30365926000141"/>
    <s v=""/>
    <s v="Esponjas Evol Clean Ltda"/>
    <s v="(44) 3629-5720"/>
    <s v=""/>
    <s v="esponjasevolclean@gmail.com"/>
    <s v=""/>
    <s v=""/>
    <s v=""/>
    <s v="CIANORTE"/>
    <s v="PR"/>
    <s v="Base de empresas Leads2b"/>
    <s v=""/>
    <s v=""/>
    <s v=""/>
    <s v="Pipeline de Vendas"/>
    <s v="Agendamento (0%)"/>
    <s v=""/>
    <m/>
    <m/>
    <m/>
    <n v="6"/>
    <s v="Rayssa Karapeticov"/>
    <d v="2026-05-14T00:00:00"/>
    <d v="1899-12-30T15:33:49"/>
    <s v=""/>
    <s v="Ativo"/>
    <m/>
    <m/>
    <s v=""/>
    <s v=""/>
    <s v=""/>
    <x v="0"/>
    <s v=""/>
    <x v="0"/>
    <s v=""/>
    <m/>
    <m/>
    <s v=""/>
    <s v=""/>
    <s v=""/>
    <s v=""/>
    <n v="1"/>
  </r>
  <r>
    <x v="2"/>
    <n v="1227"/>
    <m/>
    <n v="3840"/>
    <s v=""/>
    <s v=""/>
    <x v="693"/>
    <n v="1355480000176"/>
    <s v=""/>
    <s v="Uninjet Industria E Comercio De Plasticos Ltda"/>
    <s v="(11) 2521-3011"/>
    <s v=""/>
    <s v="a.garcia@uninjet.com.br"/>
    <s v=""/>
    <s v=""/>
    <s v=""/>
    <s v="SAO PAULO"/>
    <s v="SP"/>
    <s v="Base de empresas Leads2b"/>
    <s v=""/>
    <s v=""/>
    <s v=""/>
    <s v="Pipeline de Vendas"/>
    <s v="Agendamento (0%)"/>
    <s v=""/>
    <m/>
    <m/>
    <m/>
    <n v="6"/>
    <s v="Rayssa Karapeticov"/>
    <d v="2026-05-14T00:00:00"/>
    <d v="1899-12-30T15:34:25"/>
    <s v=""/>
    <s v="Ativo"/>
    <m/>
    <m/>
    <s v=""/>
    <s v=""/>
    <s v=""/>
    <x v="0"/>
    <s v=""/>
    <x v="0"/>
    <s v=""/>
    <m/>
    <m/>
    <s v=""/>
    <s v=""/>
    <s v=""/>
    <s v=""/>
    <n v="1"/>
  </r>
  <r>
    <x v="2"/>
    <n v="1228"/>
    <m/>
    <n v="3877"/>
    <s v=""/>
    <s v=""/>
    <x v="694"/>
    <n v="3959052000188"/>
    <s v=""/>
    <s v="Gioplast Industria E Comercio Ltda"/>
    <s v="(11) 3132-9192"/>
    <s v=""/>
    <s v="contato@produtosgiotto.com.br"/>
    <s v=""/>
    <s v=""/>
    <s v=""/>
    <s v="NAZARE PAULISTA"/>
    <s v="SP"/>
    <s v="Base de empresas Leads2b"/>
    <s v=""/>
    <s v=""/>
    <s v=""/>
    <s v="Pipeline de Vendas"/>
    <s v="Agendamento (0%)"/>
    <s v=""/>
    <m/>
    <m/>
    <m/>
    <n v="6"/>
    <s v="Rayssa Karapeticov"/>
    <d v="2026-05-14T00:00:00"/>
    <d v="1899-12-30T15:51:54"/>
    <s v=""/>
    <s v="Ativo"/>
    <m/>
    <m/>
    <s v=""/>
    <s v=""/>
    <s v=""/>
    <x v="0"/>
    <s v=""/>
    <x v="0"/>
    <s v=""/>
    <m/>
    <m/>
    <s v=""/>
    <s v=""/>
    <s v=""/>
    <s v=""/>
    <n v="1"/>
  </r>
  <r>
    <x v="2"/>
    <n v="1229"/>
    <m/>
    <n v="3881"/>
    <s v=""/>
    <s v=""/>
    <x v="695"/>
    <n v="9149833000193"/>
    <s v=""/>
    <s v="Neoplas Industria E Comercio De Plasticos Ltda"/>
    <s v="(47) 3438-6970"/>
    <s v=""/>
    <s v="neoplas@neoplas.com.br"/>
    <s v=""/>
    <s v=""/>
    <s v=""/>
    <s v="JOINVILLE"/>
    <s v="SC"/>
    <s v="Base de empresas Leads2b"/>
    <s v=""/>
    <s v=""/>
    <s v=""/>
    <s v="Pipeline de Vendas"/>
    <s v="Agendamento (0%)"/>
    <s v=""/>
    <m/>
    <m/>
    <m/>
    <n v="6"/>
    <s v="Rayssa Karapeticov"/>
    <d v="2026-05-14T00:00:00"/>
    <d v="1899-12-30T15:52:32"/>
    <s v=""/>
    <s v="Ativo"/>
    <m/>
    <m/>
    <s v=""/>
    <s v=""/>
    <s v=""/>
    <x v="0"/>
    <s v=""/>
    <x v="0"/>
    <s v=""/>
    <m/>
    <m/>
    <s v=""/>
    <s v=""/>
    <s v=""/>
    <s v=""/>
    <n v="1"/>
  </r>
  <r>
    <x v="2"/>
    <n v="1230"/>
    <m/>
    <n v="3892"/>
    <s v=""/>
    <s v=""/>
    <x v="696"/>
    <n v="8696119000314"/>
    <s v=""/>
    <s v="Mix Sao Paulo Industria E Comercio Ltda"/>
    <s v="(11) 3013-1300"/>
    <s v=""/>
    <s v="contato@plastco.com.br"/>
    <s v=""/>
    <s v=""/>
    <s v=""/>
    <s v="SAO PAULO"/>
    <s v="SP"/>
    <s v="Base de empresas Leads2b"/>
    <s v=""/>
    <s v=""/>
    <s v=""/>
    <s v="Pipeline de Vendas"/>
    <s v="Agendamento (0%)"/>
    <s v=""/>
    <m/>
    <m/>
    <m/>
    <n v="6"/>
    <s v="Rayssa Karapeticov"/>
    <d v="2026-05-14T00:00:00"/>
    <d v="1899-12-30T16:06:06"/>
    <s v=""/>
    <s v="Ativo"/>
    <m/>
    <m/>
    <s v=""/>
    <s v=""/>
    <s v=""/>
    <x v="0"/>
    <s v=""/>
    <x v="0"/>
    <s v=""/>
    <m/>
    <m/>
    <s v=""/>
    <s v=""/>
    <s v=""/>
    <s v=""/>
    <n v="1"/>
  </r>
  <r>
    <x v="2"/>
    <n v="1231"/>
    <m/>
    <n v="3895"/>
    <s v=""/>
    <s v=""/>
    <x v="697"/>
    <n v="8266046000169"/>
    <s v=""/>
    <s v="Forfest Industria De Descartaveis Ltda"/>
    <s v="(48) 3466-2961"/>
    <s v=""/>
    <s v="atendimento@forfest.com.br"/>
    <s v=""/>
    <s v=""/>
    <s v=""/>
    <s v="ORLEANS"/>
    <s v="SC"/>
    <s v="Base de empresas Leads2b"/>
    <s v=""/>
    <s v=""/>
    <s v=""/>
    <s v="Pipeline de Vendas"/>
    <s v="Qualificação de Vendas (SQL) (25%)"/>
    <s v=""/>
    <m/>
    <m/>
    <m/>
    <n v="6"/>
    <s v="Rayssa Karapeticov"/>
    <d v="2026-05-14T00:00:00"/>
    <d v="1899-12-30T16:13:45"/>
    <s v=""/>
    <s v="Ativo"/>
    <m/>
    <m/>
    <s v=""/>
    <s v=""/>
    <s v=""/>
    <x v="0"/>
    <s v=""/>
    <x v="0"/>
    <s v=""/>
    <m/>
    <m/>
    <s v=""/>
    <s v=""/>
    <s v=""/>
    <s v=""/>
    <n v="1"/>
  </r>
  <r>
    <x v="2"/>
    <n v="1232"/>
    <m/>
    <n v="3898"/>
    <s v=""/>
    <s v=""/>
    <x v="698"/>
    <n v="18455453000178"/>
    <s v=""/>
    <s v="Comfort Door Importacao E Distribuicao De Utilidades Domesticas Ltda"/>
    <s v="(43) 3376-3000"/>
    <s v=""/>
    <s v="contato@comfortdoor.com.br"/>
    <s v=""/>
    <s v=""/>
    <s v=""/>
    <s v="LONDRINA"/>
    <s v="PR"/>
    <s v="Base de empresas Leads2b"/>
    <s v=""/>
    <s v=""/>
    <s v=""/>
    <s v="Pipeline de Vendas"/>
    <s v="Qualificação de Vendas (SQL) (25%)"/>
    <s v=""/>
    <m/>
    <m/>
    <m/>
    <n v="6"/>
    <s v="Rayssa Karapeticov"/>
    <d v="2026-05-14T00:00:00"/>
    <d v="1899-12-30T16:14:25"/>
    <s v=""/>
    <s v="Ativo"/>
    <m/>
    <m/>
    <s v=""/>
    <s v=""/>
    <s v=""/>
    <x v="0"/>
    <s v=""/>
    <x v="0"/>
    <s v=""/>
    <m/>
    <m/>
    <s v=""/>
    <s v=""/>
    <s v=""/>
    <s v=""/>
    <n v="1"/>
  </r>
  <r>
    <x v="1"/>
    <n v="1233"/>
    <m/>
    <n v="3918"/>
    <s v=""/>
    <s v=""/>
    <x v="699"/>
    <n v="35754976000215"/>
    <s v=""/>
    <s v="StarTools ferramaentas (Cloud)"/>
    <s v="1184724282"/>
    <s v=""/>
    <s v="controladoria@startoolsferramentas.com.br"/>
    <s v=""/>
    <s v=""/>
    <s v=""/>
    <s v="ARAQUARI"/>
    <s v="SC"/>
    <s v=""/>
    <s v=""/>
    <s v=""/>
    <s v=""/>
    <s v="Pipeline de Vendas"/>
    <s v="Apresentar Solução (35%)"/>
    <s v=""/>
    <m/>
    <m/>
    <m/>
    <n v="5"/>
    <s v="Junior Lopes"/>
    <d v="2026-05-15T00:00:00"/>
    <d v="1899-12-30T11:25:41"/>
    <s v=""/>
    <s v="Ativo"/>
    <m/>
    <m/>
    <s v=""/>
    <s v=""/>
    <s v=""/>
    <x v="0"/>
    <s v=""/>
    <x v="239"/>
    <s v=""/>
    <m/>
    <n v="50"/>
    <s v=""/>
    <s v=""/>
    <s v=""/>
    <s v=""/>
    <n v="1"/>
  </r>
  <r>
    <x v="3"/>
    <n v="1234"/>
    <m/>
    <n v="3917"/>
    <s v="Todos os dados preenchidos:name: William Zanini Brogni field_3: Diretor phone: 45988277667 email: william@abtec.eng.br nome_da_empresa: Abtec field_4: Sudeste site_ou_rede_social_da_empresa: https://abecommerce.com.br/ referrer: https://instagram.com/ _x000a_(15/05) Falei com William, que estava em reunião no momento. Solicitou novo contato na segunda-feira pela manhã."/>
    <s v=""/>
    <x v="700"/>
    <m/>
    <s v=""/>
    <s v="William Zanini Brogni"/>
    <s v="(45) 98827-7667"/>
    <s v=""/>
    <s v="william@abtec.eng.br"/>
    <s v=""/>
    <s v=""/>
    <s v=""/>
    <s v="Cascavel"/>
    <s v=""/>
    <s v="Inbound"/>
    <s v=""/>
    <s v=""/>
    <s v="Dentro Perfil;Instagram"/>
    <s v="Pipeline de Vendas"/>
    <s v="Qualificação de Vendas (SQL) (25%)"/>
    <s v=""/>
    <m/>
    <m/>
    <m/>
    <n v="5"/>
    <s v="Paulo Souza"/>
    <d v="2026-05-15T00:00:00"/>
    <d v="1899-12-30T12:17:45"/>
    <s v=""/>
    <s v="Ativo"/>
    <m/>
    <m/>
    <s v=""/>
    <s v=""/>
    <s v=""/>
    <x v="0"/>
    <s v="Ronaldo Nascimento"/>
    <x v="0"/>
    <s v=""/>
    <m/>
    <n v="30"/>
    <s v=""/>
    <s v=""/>
    <s v=""/>
    <s v=""/>
    <n v="1"/>
  </r>
  <r>
    <x v="1"/>
    <n v="1236"/>
    <m/>
    <n v="3921"/>
    <s v=""/>
    <s v=""/>
    <x v="701"/>
    <m/>
    <s v=""/>
    <s v="MDL - Comex"/>
    <s v="11910695515"/>
    <s v=""/>
    <s v="janaina@mdlimport.com.br"/>
    <s v=""/>
    <s v=""/>
    <s v=""/>
    <s v=""/>
    <s v=""/>
    <s v=""/>
    <s v=""/>
    <s v=""/>
    <s v=""/>
    <s v="Pipeline de Vendas"/>
    <s v="Apresentar Proposta (50%)"/>
    <s v=""/>
    <m/>
    <m/>
    <m/>
    <n v="2"/>
    <s v="Junior Lopes"/>
    <d v="2026-05-18T00:00:00"/>
    <d v="1899-12-30T08:19:14"/>
    <s v=""/>
    <s v="Ativo"/>
    <m/>
    <m/>
    <s v=""/>
    <s v=""/>
    <s v=""/>
    <x v="217"/>
    <s v=""/>
    <x v="0"/>
    <s v=""/>
    <m/>
    <n v="50"/>
    <s v=""/>
    <s v=""/>
    <s v=""/>
    <s v=""/>
    <n v="1"/>
  </r>
  <r>
    <x v="1"/>
    <n v="1237"/>
    <m/>
    <n v="3922"/>
    <s v=""/>
    <s v=""/>
    <x v="702"/>
    <m/>
    <s v=""/>
    <s v="MDL - Boleto Whats"/>
    <s v="11910695515"/>
    <s v=""/>
    <s v="janaina@mdlimport.com.br"/>
    <s v=""/>
    <s v=""/>
    <s v=""/>
    <s v=""/>
    <s v=""/>
    <s v=""/>
    <s v=""/>
    <s v=""/>
    <s v=""/>
    <s v="Pipeline de Vendas"/>
    <s v="Apresentar Proposta (50%)"/>
    <s v=""/>
    <m/>
    <m/>
    <m/>
    <n v="2"/>
    <s v="Junior Lopes"/>
    <d v="2026-05-18T00:00:00"/>
    <d v="1899-12-30T08:26:32"/>
    <s v=""/>
    <s v="Ativo"/>
    <m/>
    <m/>
    <s v=""/>
    <s v=""/>
    <s v=""/>
    <x v="217"/>
    <s v=""/>
    <x v="240"/>
    <s v=""/>
    <m/>
    <n v="50"/>
    <s v=""/>
    <s v=""/>
    <s v=""/>
    <s v=""/>
    <n v="1"/>
  </r>
  <r>
    <x v="1"/>
    <n v="1238"/>
    <m/>
    <n v="3923"/>
    <s v=""/>
    <s v=""/>
    <x v="703"/>
    <m/>
    <s v=""/>
    <s v="Star Distribuidora - Boleto Whats"/>
    <s v="17996266970"/>
    <s v=""/>
    <s v="administrativo@distribuidorastar.com.br"/>
    <s v=""/>
    <s v=""/>
    <s v=""/>
    <s v=""/>
    <s v=""/>
    <s v=""/>
    <s v=""/>
    <s v=""/>
    <s v=""/>
    <s v="Pipeline de Vendas"/>
    <s v="Apresentar Proposta (50%)"/>
    <s v=""/>
    <m/>
    <m/>
    <m/>
    <n v="2"/>
    <s v="Junior Lopes"/>
    <d v="2026-05-18T00:00:00"/>
    <d v="1899-12-30T08:39:29"/>
    <s v=""/>
    <s v="Ativo"/>
    <m/>
    <m/>
    <s v=""/>
    <s v=""/>
    <s v=""/>
    <x v="217"/>
    <s v=""/>
    <x v="240"/>
    <s v=""/>
    <m/>
    <n v="50"/>
    <s v=""/>
    <s v=""/>
    <s v=""/>
    <s v=""/>
    <n v="1"/>
  </r>
  <r>
    <x v="1"/>
    <n v="1240"/>
    <m/>
    <n v="3962"/>
    <s v=""/>
    <s v=""/>
    <x v="704"/>
    <m/>
    <s v=""/>
    <s v="fuzipar - ERP"/>
    <s v="54984185138"/>
    <s v=""/>
    <s v="null"/>
    <s v=""/>
    <s v=""/>
    <s v=""/>
    <s v=""/>
    <s v=""/>
    <s v=""/>
    <s v=""/>
    <s v=""/>
    <s v=""/>
    <s v="Pipeline de Vendas"/>
    <s v="Apresentar Solução (35%)"/>
    <s v=""/>
    <m/>
    <m/>
    <m/>
    <n v="1"/>
    <s v="Junior Lopes"/>
    <d v="2026-05-19T00:00:00"/>
    <d v="1899-12-30T17:02:34"/>
    <s v=""/>
    <s v="Ativo"/>
    <m/>
    <m/>
    <s v=""/>
    <s v=""/>
    <s v=""/>
    <x v="0"/>
    <s v=""/>
    <x v="0"/>
    <s v=""/>
    <m/>
    <n v="50"/>
    <s v=""/>
    <s v=""/>
    <s v=""/>
    <s v=""/>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Tabela dinâmica8"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Q1334:R1344" firstHeaderRow="1" firstDataRow="1" firstDataCol="1" rowPageCount="2" colPageCount="1"/>
  <pivotFields count="50">
    <pivotField axis="axisPage" multipleItemSelectionAllowed="1" showAll="0">
      <items count="5">
        <item x="1"/>
        <item h="1" x="0"/>
        <item h="1"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axis="axisPage" multipleItemSelectionAllowed="1" showAll="0">
      <items count="220">
        <item h="1" x="90"/>
        <item h="1" x="150"/>
        <item h="1" x="177"/>
        <item h="1" x="45"/>
        <item h="1" x="82"/>
        <item h="1" x="91"/>
        <item h="1" x="125"/>
        <item h="1" x="158"/>
        <item h="1" x="152"/>
        <item h="1" x="37"/>
        <item h="1" x="136"/>
        <item h="1" x="53"/>
        <item h="1" x="63"/>
        <item h="1" x="100"/>
        <item h="1" x="122"/>
        <item h="1" x="139"/>
        <item h="1" x="3"/>
        <item h="1" x="167"/>
        <item h="1" x="35"/>
        <item h="1" x="112"/>
        <item h="1" x="102"/>
        <item h="1" x="117"/>
        <item h="1" x="141"/>
        <item h="1" x="137"/>
        <item h="1" x="19"/>
        <item h="1" x="151"/>
        <item h="1" x="6"/>
        <item h="1" x="39"/>
        <item h="1" x="118"/>
        <item h="1" x="181"/>
        <item h="1" x="111"/>
        <item h="1" x="11"/>
        <item h="1" x="15"/>
        <item h="1" x="34"/>
        <item h="1" x="25"/>
        <item h="1" x="36"/>
        <item h="1" x="38"/>
        <item h="1" x="2"/>
        <item h="1" x="66"/>
        <item h="1" x="94"/>
        <item h="1" x="164"/>
        <item h="1" x="74"/>
        <item h="1" x="165"/>
        <item h="1" x="65"/>
        <item h="1" x="124"/>
        <item h="1" x="4"/>
        <item h="1" x="27"/>
        <item h="1" x="54"/>
        <item h="1" x="55"/>
        <item h="1" x="70"/>
        <item h="1" x="85"/>
        <item h="1" x="115"/>
        <item h="1" x="129"/>
        <item h="1" x="149"/>
        <item h="1" x="18"/>
        <item h="1" x="153"/>
        <item h="1" x="67"/>
        <item h="1" x="93"/>
        <item h="1" x="99"/>
        <item h="1" x="116"/>
        <item h="1" x="146"/>
        <item h="1" x="157"/>
        <item h="1" x="88"/>
        <item h="1" x="119"/>
        <item h="1" x="12"/>
        <item h="1" x="138"/>
        <item h="1" x="148"/>
        <item h="1" x="16"/>
        <item h="1" x="159"/>
        <item h="1" x="166"/>
        <item h="1" x="169"/>
        <item h="1" x="43"/>
        <item h="1" x="56"/>
        <item h="1" x="86"/>
        <item h="1" x="133"/>
        <item h="1" x="155"/>
        <item h="1" x="171"/>
        <item h="1" x="41"/>
        <item h="1" x="44"/>
        <item h="1" x="134"/>
        <item h="1" x="68"/>
        <item h="1" x="73"/>
        <item h="1" x="75"/>
        <item h="1" x="120"/>
        <item h="1" x="130"/>
        <item h="1" x="154"/>
        <item h="1" x="33"/>
        <item h="1" x="170"/>
        <item h="1" x="81"/>
        <item h="1" x="92"/>
        <item h="1" x="126"/>
        <item h="1" x="131"/>
        <item h="1" x="20"/>
        <item h="1" x="156"/>
        <item h="1" x="42"/>
        <item h="1" x="47"/>
        <item h="1" x="57"/>
        <item h="1" x="98"/>
        <item h="1" x="22"/>
        <item h="1" x="69"/>
        <item h="1" x="83"/>
        <item h="1" x="89"/>
        <item h="1" x="95"/>
        <item h="1" x="109"/>
        <item h="1" x="7"/>
        <item h="1" x="9"/>
        <item h="1" x="163"/>
        <item h="1" x="58"/>
        <item h="1" x="114"/>
        <item h="1" x="144"/>
        <item h="1" x="21"/>
        <item h="1" x="28"/>
        <item h="1" x="172"/>
        <item h="1" x="50"/>
        <item h="1" x="51"/>
        <item h="1" x="59"/>
        <item h="1" x="107"/>
        <item h="1" x="14"/>
        <item h="1" x="23"/>
        <item h="1" x="26"/>
        <item h="1" x="179"/>
        <item h="1" x="49"/>
        <item h="1" x="106"/>
        <item h="1" x="105"/>
        <item h="1" x="145"/>
        <item h="1" x="29"/>
        <item h="1" x="78"/>
        <item h="1" x="97"/>
        <item h="1" x="127"/>
        <item h="1" x="161"/>
        <item h="1" x="176"/>
        <item h="1" x="79"/>
        <item h="1" x="31"/>
        <item h="1" x="40"/>
        <item h="1" x="72"/>
        <item h="1" x="140"/>
        <item h="1" x="147"/>
        <item h="1" x="46"/>
        <item h="1" x="87"/>
        <item h="1" x="113"/>
        <item h="1" x="110"/>
        <item h="1" x="8"/>
        <item h="1" x="48"/>
        <item h="1" x="52"/>
        <item h="1" x="61"/>
        <item h="1" x="80"/>
        <item h="1" x="132"/>
        <item h="1" x="143"/>
        <item h="1" x="30"/>
        <item h="1" x="62"/>
        <item h="1" x="77"/>
        <item h="1" x="5"/>
        <item h="1" x="13"/>
        <item h="1" x="32"/>
        <item h="1" x="175"/>
        <item h="1" x="60"/>
        <item h="1" x="103"/>
        <item h="1" x="123"/>
        <item h="1" x="10"/>
        <item h="1" x="142"/>
        <item h="1" x="24"/>
        <item h="1" x="71"/>
        <item h="1" x="76"/>
        <item h="1" x="104"/>
        <item h="1" x="108"/>
        <item h="1" x="135"/>
        <item h="1" x="1"/>
        <item h="1" x="17"/>
        <item h="1" x="178"/>
        <item h="1" x="64"/>
        <item h="1" x="96"/>
        <item h="1" x="121"/>
        <item h="1" x="128"/>
        <item h="1" x="183"/>
        <item h="1" x="173"/>
        <item h="1" x="162"/>
        <item h="1" x="184"/>
        <item h="1" x="185"/>
        <item h="1" x="186"/>
        <item h="1" x="188"/>
        <item h="1" x="190"/>
        <item h="1" x="191"/>
        <item h="1" x="168"/>
        <item h="1" x="160"/>
        <item h="1" x="101"/>
        <item h="1" x="174"/>
        <item h="1" x="180"/>
        <item h="1" x="193"/>
        <item h="1" x="189"/>
        <item h="1" x="187"/>
        <item h="1" x="195"/>
        <item h="1" x="84"/>
        <item h="1" x="192"/>
        <item h="1" x="194"/>
        <item h="1" x="197"/>
        <item h="1" x="200"/>
        <item h="1" x="199"/>
        <item h="1" x="201"/>
        <item h="1" x="202"/>
        <item h="1" x="203"/>
        <item h="1" x="204"/>
        <item h="1" x="196"/>
        <item h="1" x="205"/>
        <item h="1" x="0"/>
        <item h="1" x="207"/>
        <item h="1" x="208"/>
        <item h="1" x="211"/>
        <item h="1" x="206"/>
        <item h="1" x="209"/>
        <item h="1" m="1" x="218"/>
        <item h="1" x="213"/>
        <item h="1" x="214"/>
        <item x="182"/>
        <item x="198"/>
        <item x="210"/>
        <item x="216"/>
        <item x="215"/>
        <item x="212"/>
        <item x="21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10">
    <i>
      <x v="413"/>
    </i>
    <i>
      <x v="589"/>
    </i>
    <i>
      <x v="635"/>
    </i>
    <i>
      <x v="687"/>
    </i>
    <i>
      <x v="688"/>
    </i>
    <i>
      <x v="693"/>
    </i>
    <i>
      <x v="707"/>
    </i>
    <i>
      <x v="708"/>
    </i>
    <i>
      <x v="709"/>
    </i>
    <i t="grand">
      <x/>
    </i>
  </rowItems>
  <colItems count="1">
    <i/>
  </colItems>
  <pageFields count="2">
    <pageField fld="0" hier="-1"/>
    <pageField fld="39"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Tabela dinâmica10"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T1334:U1336" firstHeaderRow="1" firstDataRow="1" firstDataCol="1" rowPageCount="2" colPageCount="1"/>
  <pivotFields count="50">
    <pivotField axis="axisPage" multipleItemSelectionAllowed="1" showAll="0">
      <items count="5">
        <item h="1" x="1"/>
        <item x="0"/>
        <item h="1"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axis="axisPage" multipleItemSelectionAllowed="1" showAll="0">
      <items count="220">
        <item h="1" x="90"/>
        <item h="1" x="150"/>
        <item h="1" x="177"/>
        <item h="1" x="45"/>
        <item h="1" x="82"/>
        <item h="1" x="91"/>
        <item h="1" x="125"/>
        <item h="1" x="158"/>
        <item h="1" x="152"/>
        <item h="1" x="37"/>
        <item h="1" x="136"/>
        <item h="1" x="53"/>
        <item h="1" x="63"/>
        <item h="1" x="100"/>
        <item h="1" x="122"/>
        <item h="1" x="139"/>
        <item h="1" x="3"/>
        <item h="1" x="167"/>
        <item h="1" x="35"/>
        <item h="1" x="112"/>
        <item h="1" x="102"/>
        <item h="1" x="117"/>
        <item h="1" x="141"/>
        <item h="1" x="137"/>
        <item h="1" x="19"/>
        <item h="1" x="151"/>
        <item h="1" x="6"/>
        <item h="1" x="39"/>
        <item h="1" x="118"/>
        <item h="1" x="181"/>
        <item h="1" x="111"/>
        <item h="1" x="11"/>
        <item h="1" x="15"/>
        <item h="1" x="34"/>
        <item h="1" x="25"/>
        <item h="1" x="36"/>
        <item h="1" x="38"/>
        <item h="1" x="2"/>
        <item h="1" x="66"/>
        <item h="1" x="94"/>
        <item h="1" x="164"/>
        <item h="1" x="74"/>
        <item h="1" x="165"/>
        <item h="1" x="65"/>
        <item h="1" x="124"/>
        <item h="1" x="4"/>
        <item h="1" x="27"/>
        <item h="1" x="54"/>
        <item h="1" x="55"/>
        <item h="1" x="70"/>
        <item h="1" x="85"/>
        <item h="1" x="115"/>
        <item h="1" x="129"/>
        <item h="1" x="149"/>
        <item h="1" x="18"/>
        <item h="1" x="153"/>
        <item h="1" x="67"/>
        <item h="1" x="93"/>
        <item h="1" x="99"/>
        <item h="1" x="116"/>
        <item h="1" x="146"/>
        <item h="1" x="157"/>
        <item h="1" x="88"/>
        <item h="1" x="119"/>
        <item h="1" x="12"/>
        <item h="1" x="138"/>
        <item h="1" x="148"/>
        <item h="1" x="16"/>
        <item h="1" x="159"/>
        <item h="1" x="166"/>
        <item h="1" x="169"/>
        <item h="1" x="43"/>
        <item h="1" x="56"/>
        <item h="1" x="86"/>
        <item h="1" x="133"/>
        <item h="1" x="155"/>
        <item h="1" x="171"/>
        <item h="1" x="41"/>
        <item h="1" x="44"/>
        <item h="1" x="134"/>
        <item h="1" x="68"/>
        <item h="1" x="73"/>
        <item h="1" x="75"/>
        <item h="1" x="120"/>
        <item h="1" x="130"/>
        <item h="1" x="154"/>
        <item h="1" x="33"/>
        <item h="1" x="170"/>
        <item h="1" x="81"/>
        <item h="1" x="92"/>
        <item h="1" x="126"/>
        <item h="1" x="131"/>
        <item h="1" x="20"/>
        <item h="1" x="156"/>
        <item h="1" x="42"/>
        <item h="1" x="47"/>
        <item h="1" x="57"/>
        <item h="1" x="98"/>
        <item h="1" x="22"/>
        <item h="1" x="69"/>
        <item h="1" x="83"/>
        <item h="1" x="89"/>
        <item h="1" x="95"/>
        <item h="1" x="109"/>
        <item h="1" x="7"/>
        <item h="1" x="9"/>
        <item h="1" x="163"/>
        <item h="1" x="58"/>
        <item h="1" x="114"/>
        <item h="1" x="144"/>
        <item h="1" x="21"/>
        <item h="1" x="28"/>
        <item h="1" x="172"/>
        <item h="1" x="50"/>
        <item h="1" x="51"/>
        <item h="1" x="59"/>
        <item h="1" x="107"/>
        <item h="1" x="14"/>
        <item h="1" x="23"/>
        <item h="1" x="26"/>
        <item h="1" x="179"/>
        <item h="1" x="49"/>
        <item h="1" x="106"/>
        <item h="1" x="105"/>
        <item h="1" x="145"/>
        <item h="1" x="29"/>
        <item h="1" x="78"/>
        <item h="1" x="97"/>
        <item h="1" x="127"/>
        <item h="1" x="161"/>
        <item h="1" x="176"/>
        <item h="1" x="79"/>
        <item h="1" x="31"/>
        <item h="1" x="40"/>
        <item h="1" x="72"/>
        <item h="1" x="140"/>
        <item h="1" x="147"/>
        <item h="1" x="46"/>
        <item h="1" x="87"/>
        <item h="1" x="113"/>
        <item h="1" x="110"/>
        <item h="1" x="8"/>
        <item h="1" x="48"/>
        <item h="1" x="52"/>
        <item h="1" x="61"/>
        <item h="1" x="80"/>
        <item h="1" x="132"/>
        <item h="1" x="143"/>
        <item h="1" x="30"/>
        <item h="1" x="62"/>
        <item h="1" x="77"/>
        <item h="1" x="5"/>
        <item h="1" x="13"/>
        <item h="1" x="32"/>
        <item h="1" x="175"/>
        <item h="1" x="60"/>
        <item h="1" x="103"/>
        <item h="1" x="123"/>
        <item h="1" x="10"/>
        <item h="1" x="142"/>
        <item h="1" x="24"/>
        <item h="1" x="71"/>
        <item h="1" x="76"/>
        <item h="1" x="104"/>
        <item h="1" x="108"/>
        <item h="1" x="135"/>
        <item h="1" x="1"/>
        <item h="1" x="17"/>
        <item h="1" x="178"/>
        <item h="1" x="64"/>
        <item h="1" x="96"/>
        <item h="1" x="121"/>
        <item h="1" x="128"/>
        <item h="1" x="183"/>
        <item h="1" x="173"/>
        <item h="1" x="162"/>
        <item h="1" x="184"/>
        <item h="1" x="185"/>
        <item h="1" x="186"/>
        <item h="1" x="188"/>
        <item h="1" x="190"/>
        <item h="1" x="191"/>
        <item h="1" x="168"/>
        <item h="1" x="160"/>
        <item h="1" x="101"/>
        <item h="1" x="174"/>
        <item h="1" x="180"/>
        <item h="1" x="193"/>
        <item h="1" x="189"/>
        <item h="1" x="187"/>
        <item h="1" x="195"/>
        <item h="1" x="84"/>
        <item h="1" x="192"/>
        <item h="1" x="194"/>
        <item h="1" x="197"/>
        <item h="1" x="200"/>
        <item h="1" x="199"/>
        <item h="1" x="201"/>
        <item h="1" x="202"/>
        <item h="1" x="203"/>
        <item h="1" x="204"/>
        <item h="1" x="196"/>
        <item h="1" x="205"/>
        <item h="1" x="0"/>
        <item h="1" x="207"/>
        <item h="1" x="208"/>
        <item h="1" x="211"/>
        <item h="1" x="206"/>
        <item h="1" x="209"/>
        <item h="1" m="1" x="218"/>
        <item h="1" x="213"/>
        <item h="1" x="214"/>
        <item x="182"/>
        <item x="198"/>
        <item x="210"/>
        <item x="216"/>
        <item x="215"/>
        <item x="212"/>
        <item x="21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2">
    <i>
      <x v="611"/>
    </i>
    <i t="grand">
      <x/>
    </i>
  </rowItems>
  <colItems count="1">
    <i/>
  </colItems>
  <pageFields count="2">
    <pageField fld="0" hier="-1"/>
    <pageField fld="39"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ela dinâ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N22:O24" firstHeaderRow="1" firstDataRow="1" firstDataCol="1" rowPageCount="2" colPageCount="1"/>
  <pivotFields count="50">
    <pivotField axis="axisPage" multipleItemSelectionAllowed="1" showAll="0">
      <items count="5">
        <item h="1" x="1"/>
        <item h="1" x="0"/>
        <item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showAll="0"/>
    <pivotField showAll="0"/>
    <pivotField axis="axisPage" multipleItemSelectionAllowed="1" showAll="0">
      <items count="243">
        <item h="1" x="100"/>
        <item h="1" x="7"/>
        <item h="1" x="147"/>
        <item h="1" x="192"/>
        <item h="1" x="68"/>
        <item h="1" x="82"/>
        <item h="1" x="73"/>
        <item h="1" x="91"/>
        <item h="1" x="137"/>
        <item h="1" x="3"/>
        <item h="1" x="4"/>
        <item h="1" x="170"/>
        <item h="1" x="162"/>
        <item h="1" x="45"/>
        <item h="1" x="163"/>
        <item h="1" x="55"/>
        <item h="1" x="60"/>
        <item h="1" x="72"/>
        <item h="1" x="74"/>
        <item h="1" x="101"/>
        <item h="1" x="109"/>
        <item h="1" x="133"/>
        <item h="1" x="150"/>
        <item h="1" x="148"/>
        <item h="1" x="18"/>
        <item h="1" x="15"/>
        <item h="1" x="181"/>
        <item h="1" x="44"/>
        <item h="1" x="194"/>
        <item h="1" x="112"/>
        <item h="1" x="125"/>
        <item h="1" x="12"/>
        <item h="1" x="152"/>
        <item h="1" x="2"/>
        <item h="1" x="164"/>
        <item h="1" x="41"/>
        <item h="1" x="46"/>
        <item h="1" x="126"/>
        <item h="1" x="197"/>
        <item h="1" x="90"/>
        <item h="1" x="121"/>
        <item h="1" x="16"/>
        <item h="1" x="43"/>
        <item h="1" x="23"/>
        <item h="1" x="167"/>
        <item h="1" x="62"/>
        <item h="1" x="85"/>
        <item h="1" x="104"/>
        <item h="1" x="177"/>
        <item h="1" x="83"/>
        <item h="1" x="105"/>
        <item h="1" x="141"/>
        <item h="1" x="178"/>
        <item h="1" x="77"/>
        <item h="1" x="92"/>
        <item h="1" x="136"/>
        <item h="1" x="142"/>
        <item h="1" x="17"/>
        <item h="1" x="169"/>
        <item h="1" x="26"/>
        <item h="1" x="28"/>
        <item h="1" x="27"/>
        <item h="1" x="61"/>
        <item h="1" x="94"/>
        <item h="1" x="123"/>
        <item h="1" x="128"/>
        <item h="1" x="139"/>
        <item h="1" x="160"/>
        <item h="1" x="165"/>
        <item h="1" x="50"/>
        <item h="1" x="75"/>
        <item h="1" x="96"/>
        <item h="1" x="103"/>
        <item h="1" x="108"/>
        <item h="1" x="110"/>
        <item h="1" x="124"/>
        <item h="1" x="6"/>
        <item h="1" x="157"/>
        <item h="1" x="19"/>
        <item h="1" x="171"/>
        <item h="1" x="179"/>
        <item h="1" x="47"/>
        <item h="1" x="127"/>
        <item h="1" x="13"/>
        <item h="1" x="149"/>
        <item h="1" x="159"/>
        <item h="1" x="21"/>
        <item h="1" x="172"/>
        <item h="1" x="176"/>
        <item h="1" x="184"/>
        <item h="1" x="48"/>
        <item h="1" x="49"/>
        <item h="1" x="63"/>
        <item h="1" x="93"/>
        <item h="1" x="146"/>
        <item h="1" x="25"/>
        <item h="1" x="185"/>
        <item h="1" x="52"/>
        <item h="1" x="51"/>
        <item h="1" x="76"/>
        <item h="1" x="114"/>
        <item h="1" x="143"/>
        <item h="1" x="180"/>
        <item h="1" x="81"/>
        <item h="1" x="84"/>
        <item h="1" x="102"/>
        <item h="1" x="117"/>
        <item h="1" x="116"/>
        <item h="1" x="140"/>
        <item h="1" x="168"/>
        <item h="1" x="166"/>
        <item h="1" x="42"/>
        <item h="1" x="98"/>
        <item h="1" x="122"/>
        <item h="1" x="129"/>
        <item h="1" x="20"/>
        <item h="1" x="174"/>
        <item h="1" x="34"/>
        <item h="1" x="53"/>
        <item h="1" x="54"/>
        <item h="1" x="64"/>
        <item h="1" x="107"/>
        <item h="1" x="65"/>
        <item h="1" x="95"/>
        <item h="1" x="99"/>
        <item h="1" x="113"/>
        <item h="1" x="119"/>
        <item h="1" x="8"/>
        <item h="1" x="14"/>
        <item h="1" x="10"/>
        <item h="1" x="183"/>
        <item h="1" x="130"/>
        <item h="1" x="11"/>
        <item h="1" x="155"/>
        <item h="1" x="22"/>
        <item h="1" x="31"/>
        <item h="1" x="186"/>
        <item h="1" x="30"/>
        <item h="1" x="175"/>
        <item h="1" x="57"/>
        <item h="1" x="58"/>
        <item h="1" x="70"/>
        <item h="1" x="115"/>
        <item h="1" x="9"/>
        <item h="1" x="56"/>
        <item h="1" x="32"/>
        <item h="1" x="29"/>
        <item h="1" x="35"/>
        <item h="1" x="190"/>
        <item h="1" x="131"/>
        <item h="1" x="33"/>
        <item h="1" x="80"/>
        <item h="1" x="132"/>
        <item h="1" x="151"/>
        <item h="1" x="158"/>
        <item h="1" x="97"/>
        <item h="1" x="120"/>
        <item h="1" x="156"/>
        <item h="1" x="193"/>
        <item h="1" x="59"/>
        <item h="1" x="67"/>
        <item h="1" x="87"/>
        <item h="1" x="135"/>
        <item h="1" x="153"/>
        <item h="1" x="154"/>
        <item h="1" x="36"/>
        <item h="1" x="189"/>
        <item h="1" x="66"/>
        <item h="1" x="89"/>
        <item h="1" x="5"/>
        <item h="1" x="144"/>
        <item h="1" x="1"/>
        <item h="1" x="24"/>
        <item h="1" x="37"/>
        <item h="1" x="191"/>
        <item h="1" x="71"/>
        <item h="1" x="69"/>
        <item h="1" x="79"/>
        <item h="1" x="145"/>
        <item h="1" x="161"/>
        <item h="1" x="38"/>
        <item h="1" x="86"/>
        <item h="1" x="118"/>
        <item h="1" x="39"/>
        <item h="1" x="78"/>
        <item h="1" x="88"/>
        <item h="1" x="106"/>
        <item h="1" x="134"/>
        <item h="1" x="138"/>
        <item h="1" x="40"/>
        <item h="1" x="205"/>
        <item h="1" x="196"/>
        <item h="1" x="201"/>
        <item h="1" x="187"/>
        <item h="1" x="199"/>
        <item h="1" x="203"/>
        <item h="1" x="206"/>
        <item h="1" x="200"/>
        <item h="1" x="208"/>
        <item h="1" x="207"/>
        <item h="1" x="182"/>
        <item h="1" x="210"/>
        <item h="1" x="173"/>
        <item h="1" x="188"/>
        <item h="1" x="195"/>
        <item h="1" x="211"/>
        <item h="1" x="212"/>
        <item h="1" x="214"/>
        <item h="1" x="216"/>
        <item h="1" x="217"/>
        <item h="1" x="111"/>
        <item h="1" x="213"/>
        <item h="1" x="202"/>
        <item h="1" x="215"/>
        <item h="1" x="218"/>
        <item h="1" x="219"/>
        <item h="1" x="221"/>
        <item h="1" x="220"/>
        <item h="1" x="222"/>
        <item h="1" x="223"/>
        <item h="1" x="224"/>
        <item h="1" x="225"/>
        <item h="1" x="231"/>
        <item h="1" x="0"/>
        <item h="1" x="229"/>
        <item h="1" x="233"/>
        <item h="1" x="230"/>
        <item h="1" x="209"/>
        <item h="1" x="226"/>
        <item h="1" x="227"/>
        <item h="1" x="228"/>
        <item h="1" x="232"/>
        <item x="198"/>
        <item m="1" x="241"/>
        <item x="236"/>
        <item x="237"/>
        <item x="204"/>
        <item x="235"/>
        <item x="238"/>
        <item x="239"/>
        <item x="240"/>
        <item x="234"/>
        <item t="default"/>
      </items>
    </pivotField>
    <pivotField showAll="0"/>
    <pivotField showAll="0"/>
    <pivotField showAll="0"/>
    <pivotField showAll="0"/>
    <pivotField showAll="0"/>
    <pivotField showAll="0"/>
    <pivotField showAll="0"/>
    <pivotField dataField="1" showAll="0"/>
  </pivotFields>
  <rowFields count="1">
    <field x="6"/>
  </rowFields>
  <rowItems count="2">
    <i>
      <x v="619"/>
    </i>
    <i t="grand">
      <x/>
    </i>
  </rowItems>
  <colItems count="1">
    <i/>
  </colItems>
  <pageFields count="2">
    <pageField fld="0" hier="-1"/>
    <pageField fld="41"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Tabela dinâmica4"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A22:AB29" firstHeaderRow="1" firstDataRow="1" firstDataCol="1" rowPageCount="2" colPageCount="1"/>
  <pivotFields count="43">
    <pivotField axis="axisPage" multipleItemSelectionAllowed="1" showAll="0">
      <items count="147">
        <item h="1" x="2"/>
        <item h="1" x="3"/>
        <item x="1"/>
        <item h="1" x="0"/>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h="1" m="1" x="96"/>
        <item h="1" m="1" x="97"/>
        <item h="1" m="1" x="98"/>
        <item h="1" m="1" x="99"/>
        <item h="1" m="1" x="100"/>
        <item h="1" m="1" x="101"/>
        <item h="1" m="1" x="102"/>
        <item h="1" m="1" x="103"/>
        <item h="1" m="1" x="104"/>
        <item h="1" m="1" x="105"/>
        <item h="1" m="1" x="106"/>
        <item h="1" m="1" x="107"/>
        <item h="1" m="1" x="108"/>
        <item h="1" m="1" x="109"/>
        <item h="1" m="1" x="110"/>
        <item h="1" m="1" x="111"/>
        <item h="1" m="1" x="112"/>
        <item h="1" m="1" x="113"/>
        <item h="1" m="1" x="114"/>
        <item h="1" m="1" x="115"/>
        <item h="1" m="1" x="116"/>
        <item h="1" m="1" x="117"/>
        <item h="1" m="1" x="118"/>
        <item h="1" m="1" x="119"/>
        <item h="1" m="1" x="120"/>
        <item h="1" m="1" x="121"/>
        <item h="1" m="1" x="122"/>
        <item h="1" m="1" x="123"/>
        <item h="1" m="1" x="124"/>
        <item h="1" m="1" x="125"/>
        <item h="1" m="1" x="126"/>
        <item h="1" m="1" x="127"/>
        <item h="1" m="1" x="128"/>
        <item h="1" m="1" x="129"/>
        <item h="1" m="1" x="130"/>
        <item h="1" m="1" x="131"/>
        <item h="1" m="1" x="132"/>
        <item h="1" m="1" x="133"/>
        <item h="1" m="1" x="134"/>
        <item h="1" m="1" x="135"/>
        <item h="1" m="1" x="136"/>
        <item h="1" m="1" x="138"/>
        <item h="1" m="1" x="139"/>
        <item h="1" m="1" x="140"/>
        <item h="1" m="1" x="141"/>
        <item h="1" m="1" x="142"/>
        <item h="1" m="1" x="143"/>
        <item h="1" m="1" x="144"/>
        <item h="1" m="1" x="145"/>
        <item h="1" m="1" x="137"/>
        <item t="default"/>
      </items>
    </pivotField>
    <pivotField showAll="0"/>
    <pivotField showAll="0"/>
    <pivotField showAll="0"/>
    <pivotField showAll="0"/>
    <pivotField showAll="0"/>
    <pivotField axis="axisRow" showAll="0">
      <items count="490">
        <item x="151"/>
        <item x="66"/>
        <item x="163"/>
        <item x="40"/>
        <item x="2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1"/>
        <item x="42"/>
        <item x="43"/>
        <item x="44"/>
        <item x="45"/>
        <item x="46"/>
        <item x="47"/>
        <item x="48"/>
        <item x="49"/>
        <item x="50"/>
        <item x="51"/>
        <item x="52"/>
        <item x="53"/>
        <item x="54"/>
        <item x="55"/>
        <item x="56"/>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2"/>
        <item x="153"/>
        <item x="154"/>
        <item x="155"/>
        <item x="156"/>
        <item x="157"/>
        <item x="158"/>
        <item x="159"/>
        <item x="160"/>
        <item x="161"/>
        <item x="162"/>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m="1" x="454"/>
        <item m="1" x="455"/>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m="1" x="456"/>
        <item x="365"/>
        <item m="1" x="457"/>
        <item x="368"/>
        <item x="369"/>
        <item x="370"/>
        <item m="1" x="458"/>
        <item m="1" x="459"/>
        <item m="1" x="460"/>
        <item x="374"/>
        <item x="375"/>
        <item x="376"/>
        <item x="377"/>
        <item m="1" x="461"/>
        <item m="1" x="462"/>
        <item x="379"/>
        <item m="1" x="463"/>
        <item x="381"/>
        <item m="1" x="464"/>
        <item m="1" x="465"/>
        <item m="1" x="466"/>
        <item m="1" x="467"/>
        <item x="390"/>
        <item x="391"/>
        <item x="392"/>
        <item x="393"/>
        <item m="1" x="468"/>
        <item m="1" x="469"/>
        <item x="396"/>
        <item x="397"/>
        <item x="398"/>
        <item x="399"/>
        <item m="1" x="470"/>
        <item x="401"/>
        <item x="402"/>
        <item x="403"/>
        <item x="404"/>
        <item x="406"/>
        <item x="407"/>
        <item x="408"/>
        <item x="409"/>
        <item m="1" x="471"/>
        <item m="1" x="472"/>
        <item m="1" x="473"/>
        <item m="1" x="474"/>
        <item x="416"/>
        <item x="417"/>
        <item m="1" x="475"/>
        <item m="1" x="476"/>
        <item x="419"/>
        <item m="1" x="477"/>
        <item m="1" x="478"/>
        <item m="1" x="479"/>
        <item x="423"/>
        <item x="424"/>
        <item x="425"/>
        <item x="426"/>
        <item x="427"/>
        <item m="1" x="480"/>
        <item m="1" x="481"/>
        <item m="1" x="482"/>
        <item m="1" x="483"/>
        <item x="431"/>
        <item x="432"/>
        <item x="433"/>
        <item m="1" x="484"/>
        <item x="435"/>
        <item x="385"/>
        <item x="436"/>
        <item x="437"/>
        <item m="1" x="486"/>
        <item m="1" x="487"/>
        <item x="439"/>
        <item m="1" x="488"/>
        <item x="441"/>
        <item x="442"/>
        <item x="443"/>
        <item x="444"/>
        <item x="445"/>
        <item x="446"/>
        <item x="447"/>
        <item x="448"/>
        <item m="1" x="485"/>
        <item x="449"/>
        <item x="450"/>
        <item x="451"/>
        <item x="452"/>
        <item x="323"/>
        <item x="366"/>
        <item x="367"/>
        <item x="371"/>
        <item x="372"/>
        <item x="373"/>
        <item x="378"/>
        <item x="380"/>
        <item x="382"/>
        <item x="383"/>
        <item x="384"/>
        <item x="386"/>
        <item x="387"/>
        <item x="388"/>
        <item x="389"/>
        <item x="394"/>
        <item x="395"/>
        <item x="400"/>
        <item x="405"/>
        <item x="410"/>
        <item x="411"/>
        <item x="412"/>
        <item x="413"/>
        <item x="414"/>
        <item x="415"/>
        <item x="418"/>
        <item x="420"/>
        <item x="421"/>
        <item x="422"/>
        <item x="428"/>
        <item x="429"/>
        <item x="430"/>
        <item x="434"/>
        <item x="438"/>
        <item x="440"/>
        <item x="4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axis="axisPage" multipleItemSelectionAllowed="1" showAll="0">
      <items count="176">
        <item h="1" x="72"/>
        <item h="1" x="62"/>
        <item h="1" x="119"/>
        <item h="1" m="1" x="174"/>
        <item h="1" x="22"/>
        <item h="1" x="125"/>
        <item h="1" x="3"/>
        <item h="1" x="82"/>
        <item h="1" x="6"/>
        <item h="1" x="126"/>
        <item h="1" x="10"/>
        <item h="1" x="21"/>
        <item h="1" x="96"/>
        <item h="1" x="5"/>
        <item h="1" x="103"/>
        <item h="1" x="117"/>
        <item h="1" x="35"/>
        <item h="1" x="84"/>
        <item h="1" x="97"/>
        <item h="1" x="132"/>
        <item h="1" x="26"/>
        <item h="1" x="30"/>
        <item h="1" x="51"/>
        <item h="1" x="34"/>
        <item h="1" x="86"/>
        <item h="1" x="29"/>
        <item h="1" x="137"/>
        <item h="1" x="99"/>
        <item h="1" x="120"/>
        <item h="1" x="91"/>
        <item h="1" x="104"/>
        <item h="1" x="122"/>
        <item h="1" x="20"/>
        <item h="1" x="8"/>
        <item h="1" x="154"/>
        <item h="1" x="157"/>
        <item h="1" x="161"/>
        <item h="1" x="0"/>
        <item h="1" m="1" x="171"/>
        <item h="1" x="163"/>
        <item h="1" x="1"/>
        <item h="1" x="2"/>
        <item h="1" x="4"/>
        <item h="1" x="7"/>
        <item h="1" x="9"/>
        <item h="1" x="11"/>
        <item h="1" x="12"/>
        <item h="1" x="13"/>
        <item h="1" x="14"/>
        <item h="1" x="15"/>
        <item h="1" x="16"/>
        <item h="1" x="17"/>
        <item h="1" x="18"/>
        <item h="1" x="19"/>
        <item h="1" x="23"/>
        <item h="1" x="24"/>
        <item h="1" x="25"/>
        <item h="1" x="27"/>
        <item h="1" x="28"/>
        <item h="1" x="31"/>
        <item h="1" x="32"/>
        <item h="1" x="33"/>
        <item h="1" x="36"/>
        <item h="1" x="37"/>
        <item h="1" x="38"/>
        <item h="1" x="39"/>
        <item h="1" x="40"/>
        <item h="1" x="41"/>
        <item h="1" x="42"/>
        <item h="1" x="43"/>
        <item h="1" x="44"/>
        <item h="1" x="45"/>
        <item h="1" x="46"/>
        <item h="1" x="47"/>
        <item h="1" x="48"/>
        <item h="1" x="49"/>
        <item h="1" x="50"/>
        <item h="1" x="52"/>
        <item h="1" x="53"/>
        <item h="1" x="54"/>
        <item h="1" x="55"/>
        <item h="1" x="56"/>
        <item h="1" x="57"/>
        <item h="1" x="58"/>
        <item h="1" x="59"/>
        <item h="1" x="60"/>
        <item h="1" x="61"/>
        <item h="1" x="63"/>
        <item h="1" x="64"/>
        <item h="1" x="65"/>
        <item h="1" x="66"/>
        <item h="1" x="67"/>
        <item h="1" x="68"/>
        <item h="1" x="69"/>
        <item h="1" x="70"/>
        <item h="1" x="71"/>
        <item h="1" x="73"/>
        <item h="1" x="74"/>
        <item h="1" x="75"/>
        <item h="1" x="76"/>
        <item h="1" x="77"/>
        <item h="1" x="78"/>
        <item h="1" x="79"/>
        <item h="1" x="80"/>
        <item h="1" x="81"/>
        <item h="1" x="83"/>
        <item h="1" x="85"/>
        <item h="1" x="87"/>
        <item h="1" x="88"/>
        <item h="1" x="89"/>
        <item h="1" x="90"/>
        <item h="1" x="92"/>
        <item h="1" x="93"/>
        <item h="1" x="94"/>
        <item h="1" x="95"/>
        <item h="1" x="98"/>
        <item h="1" x="100"/>
        <item h="1" x="101"/>
        <item h="1" x="102"/>
        <item h="1" x="105"/>
        <item h="1" x="106"/>
        <item h="1" x="107"/>
        <item h="1" x="108"/>
        <item h="1" x="109"/>
        <item h="1" x="110"/>
        <item h="1" x="111"/>
        <item h="1" x="112"/>
        <item h="1" x="113"/>
        <item h="1" x="114"/>
        <item h="1" x="115"/>
        <item h="1" x="116"/>
        <item h="1" x="118"/>
        <item h="1" x="121"/>
        <item h="1" x="123"/>
        <item h="1" x="127"/>
        <item h="1" x="128"/>
        <item h="1" x="129"/>
        <item h="1" x="130"/>
        <item h="1" x="131"/>
        <item h="1" x="133"/>
        <item h="1" x="135"/>
        <item h="1" x="139"/>
        <item h="1" x="142"/>
        <item h="1" x="143"/>
        <item h="1" m="1" x="172"/>
        <item h="1" x="146"/>
        <item h="1" m="1" x="173"/>
        <item h="1" x="148"/>
        <item h="1" x="149"/>
        <item h="1" x="162"/>
        <item h="1" x="155"/>
        <item h="1" x="160"/>
        <item h="1" x="164"/>
        <item h="1" x="124"/>
        <item h="1" x="165"/>
        <item x="166"/>
        <item h="1" x="134"/>
        <item h="1" x="136"/>
        <item h="1" x="138"/>
        <item h="1" x="140"/>
        <item h="1" x="141"/>
        <item h="1" x="144"/>
        <item h="1" x="145"/>
        <item h="1" x="147"/>
        <item h="1" x="150"/>
        <item h="1" x="151"/>
        <item h="1" x="152"/>
        <item h="1" x="153"/>
        <item h="1" x="156"/>
        <item h="1" x="158"/>
        <item h="1" x="159"/>
        <item x="167"/>
        <item x="168"/>
        <item x="169"/>
        <item x="170"/>
        <item t="default"/>
      </items>
    </pivotField>
    <pivotField showAll="0"/>
    <pivotField showAll="0"/>
    <pivotField showAll="0"/>
    <pivotField showAll="0"/>
    <pivotField showAll="0"/>
    <pivotField showAll="0"/>
    <pivotField showAll="0"/>
    <pivotField dataField="1" showAll="0"/>
  </pivotFields>
  <rowFields count="1">
    <field x="6"/>
  </rowFields>
  <rowItems count="7">
    <i>
      <x v="8"/>
    </i>
    <i>
      <x v="65"/>
    </i>
    <i>
      <x v="199"/>
    </i>
    <i>
      <x v="451"/>
    </i>
    <i>
      <x v="452"/>
    </i>
    <i>
      <x v="488"/>
    </i>
    <i t="grand">
      <x/>
    </i>
  </rowItems>
  <colItems count="1">
    <i/>
  </colItems>
  <pageFields count="2">
    <pageField fld="0" hier="-1"/>
    <pageField fld="34" hier="-1"/>
  </pageFields>
  <dataFields count="1">
    <dataField name="Soma de Qdte" fld="42" baseField="0" baseItem="0"/>
  </dataFields>
  <formats count="2">
    <format dxfId="288">
      <pivotArea dataOnly="0" labelOnly="1" fieldPosition="0">
        <references count="1">
          <reference field="6" count="1">
            <x v="441"/>
          </reference>
        </references>
      </pivotArea>
    </format>
    <format dxfId="287">
      <pivotArea dataOnly="0" labelOnly="1" fieldPosition="0">
        <references count="1">
          <reference field="6" count="1">
            <x v="44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Tabela dinâmica14"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1334:X1336" firstHeaderRow="1" firstDataRow="1" firstDataCol="1" rowPageCount="2" colPageCount="1"/>
  <pivotFields count="50">
    <pivotField axis="axisPage" multipleItemSelectionAllowed="1" showAll="0">
      <items count="5">
        <item h="1" x="1"/>
        <item h="1" x="0"/>
        <item h="1" x="2"/>
        <item x="3"/>
        <item t="default"/>
      </items>
    </pivotField>
    <pivotField showAll="0"/>
    <pivotField showAll="0"/>
    <pivotField showAll="0"/>
    <pivotField showAll="0"/>
    <pivotField showAll="0"/>
    <pivotField axis="axisRow" showAll="0">
      <items count="712">
        <item x="108"/>
        <item x="432"/>
        <item x="506"/>
        <item x="276"/>
        <item x="529"/>
        <item x="525"/>
        <item x="620"/>
        <item x="397"/>
        <item x="112"/>
        <item x="105"/>
        <item x="437"/>
        <item x="83"/>
        <item x="212"/>
        <item x="88"/>
        <item x="82"/>
        <item x="469"/>
        <item x="350"/>
        <item x="42"/>
        <item x="480"/>
        <item x="504"/>
        <item x="316"/>
        <item x="311"/>
        <item x="347"/>
        <item x="629"/>
        <item m="1" x="708"/>
        <item x="618"/>
        <item x="375"/>
        <item x="142"/>
        <item x="8"/>
        <item x="368"/>
        <item x="63"/>
        <item x="230"/>
        <item x="348"/>
        <item x="235"/>
        <item x="459"/>
        <item x="164"/>
        <item x="168"/>
        <item x="228"/>
        <item x="240"/>
        <item x="373"/>
        <item x="658"/>
        <item x="457"/>
        <item x="649"/>
        <item x="591"/>
        <item x="120"/>
        <item x="136"/>
        <item x="426"/>
        <item x="165"/>
        <item x="278"/>
        <item x="282"/>
        <item x="454"/>
        <item x="486"/>
        <item x="447"/>
        <item x="190"/>
        <item x="180"/>
        <item x="361"/>
        <item x="298"/>
        <item x="414"/>
        <item x="119"/>
        <item x="52"/>
        <item x="56"/>
        <item x="339"/>
        <item x="326"/>
        <item x="532"/>
        <item x="410"/>
        <item x="597"/>
        <item x="613"/>
        <item x="385"/>
        <item x="170"/>
        <item x="169"/>
        <item x="489"/>
        <item x="545"/>
        <item x="564"/>
        <item x="556"/>
        <item x="303"/>
        <item x="557"/>
        <item x="239"/>
        <item x="10"/>
        <item x="9"/>
        <item x="558"/>
        <item x="547"/>
        <item x="508"/>
        <item x="600"/>
        <item x="448"/>
        <item x="641"/>
        <item x="309"/>
        <item x="248"/>
        <item x="393"/>
        <item x="630"/>
        <item x="493"/>
        <item x="236"/>
        <item x="611"/>
        <item x="623"/>
        <item x="272"/>
        <item x="519"/>
        <item x="619"/>
        <item x="340"/>
        <item x="362"/>
        <item x="57"/>
        <item x="395"/>
        <item x="639"/>
        <item x="631"/>
        <item x="399"/>
        <item x="406"/>
        <item x="602"/>
        <item x="182"/>
        <item x="183"/>
        <item x="238"/>
        <item x="219"/>
        <item x="513"/>
        <item x="503"/>
        <item x="505"/>
        <item x="141"/>
        <item x="192"/>
        <item x="428"/>
        <item x="55"/>
        <item x="43"/>
        <item x="100"/>
        <item x="606"/>
        <item x="570"/>
        <item x="81"/>
        <item x="370"/>
        <item x="137"/>
        <item x="376"/>
        <item x="377"/>
        <item x="274"/>
        <item x="275"/>
        <item x="247"/>
        <item x="91"/>
        <item x="3"/>
        <item x="551"/>
        <item x="550"/>
        <item x="435"/>
        <item x="154"/>
        <item x="157"/>
        <item x="151"/>
        <item x="264"/>
        <item x="254"/>
        <item x="379"/>
        <item x="263"/>
        <item x="253"/>
        <item x="472"/>
        <item x="194"/>
        <item x="424"/>
        <item x="271"/>
        <item x="261"/>
        <item x="84"/>
        <item x="341"/>
        <item x="458"/>
        <item x="444"/>
        <item x="582"/>
        <item x="111"/>
        <item x="419"/>
        <item x="387"/>
        <item x="487"/>
        <item x="452"/>
        <item x="383"/>
        <item x="352"/>
        <item x="563"/>
        <item x="522"/>
        <item x="342"/>
        <item x="590"/>
        <item x="509"/>
        <item x="603"/>
        <item x="132"/>
        <item x="133"/>
        <item x="104"/>
        <item x="571"/>
        <item x="467"/>
        <item x="531"/>
        <item x="660"/>
        <item x="331"/>
        <item x="332"/>
        <item x="330"/>
        <item x="109"/>
        <item x="75"/>
        <item x="156"/>
        <item x="507"/>
        <item x="134"/>
        <item x="32"/>
        <item x="499"/>
        <item x="93"/>
        <item x="36"/>
        <item x="446"/>
        <item x="224"/>
        <item x="367"/>
        <item x="366"/>
        <item x="233"/>
        <item x="193"/>
        <item x="401"/>
        <item x="538"/>
        <item x="552"/>
        <item x="50"/>
        <item x="345"/>
        <item x="314"/>
        <item x="280"/>
        <item x="292"/>
        <item x="288"/>
        <item x="647"/>
        <item x="628"/>
        <item x="343"/>
        <item x="269"/>
        <item x="18"/>
        <item x="19"/>
        <item x="593"/>
        <item x="234"/>
        <item x="262"/>
        <item x="31"/>
        <item x="304"/>
        <item x="46"/>
        <item x="49"/>
        <item x="1"/>
        <item x="62"/>
        <item x="210"/>
        <item x="14"/>
        <item x="638"/>
        <item x="565"/>
        <item x="396"/>
        <item x="636"/>
        <item x="455"/>
        <item x="561"/>
        <item x="106"/>
        <item x="644"/>
        <item x="67"/>
        <item x="200"/>
        <item x="107"/>
        <item x="25"/>
        <item x="580"/>
        <item x="666"/>
        <item x="199"/>
        <item x="485"/>
        <item x="436"/>
        <item x="90"/>
        <item x="171"/>
        <item x="335"/>
        <item x="110"/>
        <item x="125"/>
        <item x="123"/>
        <item x="77"/>
        <item x="661"/>
        <item x="588"/>
        <item x="294"/>
        <item x="461"/>
        <item x="167"/>
        <item x="166"/>
        <item x="265"/>
        <item x="317"/>
        <item x="257"/>
        <item x="251"/>
        <item x="502"/>
        <item x="411"/>
        <item x="498"/>
        <item x="662"/>
        <item x="598"/>
        <item x="653"/>
        <item x="187"/>
        <item x="555"/>
        <item x="363"/>
        <item x="101"/>
        <item x="474"/>
        <item x="152"/>
        <item x="175"/>
        <item x="530"/>
        <item x="421"/>
        <item x="351"/>
        <item x="554"/>
        <item x="510"/>
        <item x="99"/>
        <item x="250"/>
        <item x="45"/>
        <item x="211"/>
        <item x="214"/>
        <item x="213"/>
        <item x="7"/>
        <item x="174"/>
        <item x="186"/>
        <item x="604"/>
        <item x="135"/>
        <item x="30"/>
        <item x="27"/>
        <item x="122"/>
        <item x="121"/>
        <item x="98"/>
        <item x="209"/>
        <item x="409"/>
        <item x="71"/>
        <item x="129"/>
        <item x="441"/>
        <item x="44"/>
        <item x="542"/>
        <item x="541"/>
        <item x="496"/>
        <item x="185"/>
        <item x="609"/>
        <item x="626"/>
        <item x="464"/>
        <item x="216"/>
        <item x="215"/>
        <item x="20"/>
        <item x="533"/>
        <item x="4"/>
        <item x="601"/>
        <item x="433"/>
        <item x="442"/>
        <item x="659"/>
        <item x="577"/>
        <item x="324"/>
        <item x="534"/>
        <item x="610"/>
        <item x="466"/>
        <item x="465"/>
        <item x="365"/>
        <item x="270"/>
        <item x="255"/>
        <item x="310"/>
        <item x="287"/>
        <item x="544"/>
        <item x="494"/>
        <item x="188"/>
        <item x="222"/>
        <item x="460"/>
        <item x="665"/>
        <item x="635"/>
        <item x="471"/>
        <item x="28"/>
        <item x="527"/>
        <item x="528"/>
        <item x="624"/>
        <item x="434"/>
        <item x="497"/>
        <item x="344"/>
        <item m="1" x="706"/>
        <item x="643"/>
        <item x="456"/>
        <item x="518"/>
        <item x="657"/>
        <item x="574"/>
        <item x="622"/>
        <item x="97"/>
        <item x="479"/>
        <item x="89"/>
        <item x="48"/>
        <item x="245"/>
        <item x="346"/>
        <item x="244"/>
        <item x="543"/>
        <item x="289"/>
        <item x="408"/>
        <item x="300"/>
        <item x="490"/>
        <item x="654"/>
        <item x="371"/>
        <item x="158"/>
        <item x="559"/>
        <item x="404"/>
        <item x="407"/>
        <item x="546"/>
        <item x="470"/>
        <item x="59"/>
        <item x="443"/>
        <item x="356"/>
        <item x="595"/>
        <item x="634"/>
        <item x="594"/>
        <item x="440"/>
        <item x="95"/>
        <item x="6"/>
        <item x="308"/>
        <item x="491"/>
        <item x="608"/>
        <item x="40"/>
        <item x="315"/>
        <item x="260"/>
        <item x="259"/>
        <item x="585"/>
        <item x="573"/>
        <item x="319"/>
        <item x="537"/>
        <item x="584"/>
        <item x="60"/>
        <item x="355"/>
        <item m="1" x="709"/>
        <item x="76"/>
        <item x="572"/>
        <item x="663"/>
        <item x="286"/>
        <item x="285"/>
        <item x="575"/>
        <item x="380"/>
        <item x="567"/>
        <item x="524"/>
        <item x="521"/>
        <item x="500"/>
        <item x="389"/>
        <item x="420"/>
        <item x="390"/>
        <item x="616"/>
        <item x="218"/>
        <item x="72"/>
        <item x="41"/>
        <item x="484"/>
        <item x="17"/>
        <item x="26"/>
        <item x="301"/>
        <item x="632"/>
        <item x="208"/>
        <item x="207"/>
        <item x="150"/>
        <item x="138"/>
        <item x="191"/>
        <item x="295"/>
        <item x="627"/>
        <item x="198"/>
        <item x="184"/>
        <item x="576"/>
        <item x="462"/>
        <item x="54"/>
        <item x="569"/>
        <item x="256"/>
        <item x="450"/>
        <item x="405"/>
        <item x="422"/>
        <item x="667"/>
        <item x="163"/>
        <item x="427"/>
        <item x="431"/>
        <item x="645"/>
        <item x="201"/>
        <item x="53"/>
        <item x="400"/>
        <item x="512"/>
        <item x="162"/>
        <item x="161"/>
        <item x="398"/>
        <item x="553"/>
        <item x="246"/>
        <item x="22"/>
        <item x="12"/>
        <item x="514"/>
        <item x="463"/>
        <item x="302"/>
        <item x="299"/>
        <item x="69"/>
        <item x="79"/>
        <item x="607"/>
        <item x="599"/>
        <item x="587"/>
        <item m="1" x="707"/>
        <item x="353"/>
        <item x="231"/>
        <item x="241"/>
        <item x="242"/>
        <item x="80"/>
        <item x="179"/>
        <item x="354"/>
        <item x="475"/>
        <item x="621"/>
        <item x="413"/>
        <item x="664"/>
        <item x="517"/>
        <item x="78"/>
        <item x="86"/>
        <item x="85"/>
        <item x="453"/>
        <item x="384"/>
        <item x="526"/>
        <item x="70"/>
        <item x="625"/>
        <item x="349"/>
        <item x="651"/>
        <item x="306"/>
        <item x="305"/>
        <item x="181"/>
        <item x="139"/>
        <item x="418"/>
        <item x="87"/>
        <item x="417"/>
        <item x="113"/>
        <item x="416"/>
        <item x="283"/>
        <item x="266"/>
        <item x="2"/>
        <item x="614"/>
        <item x="312"/>
        <item x="425"/>
        <item x="74"/>
        <item x="73"/>
        <item x="313"/>
        <item x="492"/>
        <item x="520"/>
        <item x="16"/>
        <item x="21"/>
        <item x="118"/>
        <item x="178"/>
        <item x="153"/>
        <item x="415"/>
        <item x="29"/>
        <item x="394"/>
        <item x="562"/>
        <item x="583"/>
        <item x="229"/>
        <item x="15"/>
        <item x="281"/>
        <item x="284"/>
        <item x="38"/>
        <item x="539"/>
        <item x="642"/>
        <item x="258"/>
        <item x="102"/>
        <item x="640"/>
        <item x="114"/>
        <item x="116"/>
        <item x="115"/>
        <item x="392"/>
        <item x="61"/>
        <item x="612"/>
        <item x="652"/>
        <item x="386"/>
        <item x="391"/>
        <item x="579"/>
        <item x="252"/>
        <item x="388"/>
        <item x="540"/>
        <item x="372"/>
        <item x="143"/>
        <item x="144"/>
        <item x="155"/>
        <item x="438"/>
        <item x="646"/>
        <item x="478"/>
        <item x="439"/>
        <item x="429"/>
        <item x="374"/>
        <item x="33"/>
        <item x="359"/>
        <item x="596"/>
        <item x="637"/>
        <item x="51"/>
        <item x="445"/>
        <item x="225"/>
        <item x="358"/>
        <item x="648"/>
        <item x="323"/>
        <item x="159"/>
        <item x="160"/>
        <item x="307"/>
        <item x="296"/>
        <item x="221"/>
        <item x="412"/>
        <item x="195"/>
        <item x="196"/>
        <item x="291"/>
        <item x="290"/>
        <item x="232"/>
        <item x="615"/>
        <item x="249"/>
        <item m="1" x="705"/>
        <item x="511"/>
        <item x="581"/>
        <item x="131"/>
        <item x="126"/>
        <item x="515"/>
        <item x="277"/>
        <item x="430"/>
        <item x="92"/>
        <item x="589"/>
        <item x="66"/>
        <item x="333"/>
        <item x="205"/>
        <item x="35"/>
        <item x="39"/>
        <item x="37"/>
        <item x="279"/>
        <item x="488"/>
        <item x="699"/>
        <item x="360"/>
        <item x="128"/>
        <item x="481"/>
        <item x="402"/>
        <item x="103"/>
        <item x="476"/>
        <item x="449"/>
        <item x="605"/>
        <item x="369"/>
        <item x="220"/>
        <item x="96"/>
        <item x="560"/>
        <item x="334"/>
        <item x="124"/>
        <item x="318"/>
        <item x="633"/>
        <item x="130"/>
        <item x="297"/>
        <item x="24"/>
        <item x="23"/>
        <item x="423"/>
        <item x="592"/>
        <item x="482"/>
        <item x="483"/>
        <item x="477"/>
        <item x="68"/>
        <item x="501"/>
        <item x="0"/>
        <item x="204"/>
        <item x="203"/>
        <item x="206"/>
        <item x="655"/>
        <item x="268"/>
        <item x="237"/>
        <item x="338"/>
        <item x="337"/>
        <item x="656"/>
        <item x="403"/>
        <item x="58"/>
        <item x="223"/>
        <item x="617"/>
        <item x="202"/>
        <item x="127"/>
        <item x="293"/>
        <item x="468"/>
        <item x="322"/>
        <item x="226"/>
        <item x="94"/>
        <item x="586"/>
        <item x="145"/>
        <item x="336"/>
        <item x="566"/>
        <item m="1" x="710"/>
        <item x="578"/>
        <item x="227"/>
        <item x="243"/>
        <item x="548"/>
        <item x="5"/>
        <item x="495"/>
        <item x="321"/>
        <item x="325"/>
        <item x="381"/>
        <item x="13"/>
        <item x="11"/>
        <item x="535"/>
        <item x="47"/>
        <item x="516"/>
        <item x="328"/>
        <item x="329"/>
        <item x="327"/>
        <item x="364"/>
        <item x="568"/>
        <item x="536"/>
        <item x="382"/>
        <item x="217"/>
        <item x="273"/>
        <item x="197"/>
        <item x="189"/>
        <item x="473"/>
        <item x="34"/>
        <item x="65"/>
        <item x="523"/>
        <item x="64"/>
        <item x="378"/>
        <item x="549"/>
        <item x="267"/>
        <item x="117"/>
        <item x="147"/>
        <item x="140"/>
        <item x="146"/>
        <item x="173"/>
        <item x="172"/>
        <item x="177"/>
        <item x="176"/>
        <item x="149"/>
        <item x="148"/>
        <item x="357"/>
        <item x="320"/>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axis="axisPage" multipleItemSelectionAllowed="1" showAll="0">
      <items count="220">
        <item h="1" x="0"/>
        <item h="1" x="90"/>
        <item h="1" x="150"/>
        <item h="1" x="177"/>
        <item h="1" x="101"/>
        <item h="1" x="45"/>
        <item h="1" x="82"/>
        <item h="1" x="91"/>
        <item h="1" x="125"/>
        <item h="1" x="158"/>
        <item h="1" x="152"/>
        <item h="1" x="37"/>
        <item h="1" x="136"/>
        <item h="1" x="53"/>
        <item h="1" x="63"/>
        <item x="198"/>
        <item h="1" x="100"/>
        <item h="1" x="122"/>
        <item h="1" x="139"/>
        <item h="1" x="3"/>
        <item h="1" x="167"/>
        <item h="1" x="35"/>
        <item h="1" x="162"/>
        <item h="1" x="192"/>
        <item x="182"/>
        <item h="1" x="112"/>
        <item h="1" x="102"/>
        <item h="1" x="117"/>
        <item h="1" x="141"/>
        <item h="1" x="137"/>
        <item h="1" x="19"/>
        <item h="1" x="151"/>
        <item h="1" x="6"/>
        <item h="1" x="39"/>
        <item h="1" x="118"/>
        <item h="1" x="181"/>
        <item h="1" x="193"/>
        <item h="1" x="111"/>
        <item h="1" x="11"/>
        <item h="1" x="15"/>
        <item h="1" x="34"/>
        <item h="1" x="25"/>
        <item h="1" x="36"/>
        <item h="1" x="38"/>
        <item h="1" x="2"/>
        <item h="1" x="66"/>
        <item x="216"/>
        <item h="1" x="94"/>
        <item h="1" x="164"/>
        <item h="1" x="205"/>
        <item h="1" x="74"/>
        <item x="210"/>
        <item h="1" x="165"/>
        <item h="1" x="180"/>
        <item h="1" x="65"/>
        <item h="1" x="196"/>
        <item h="1" x="124"/>
        <item h="1" x="4"/>
        <item h="1" x="27"/>
        <item h="1" x="54"/>
        <item h="1" x="55"/>
        <item h="1" x="174"/>
        <item h="1" x="70"/>
        <item h="1" x="85"/>
        <item h="1" x="115"/>
        <item h="1" x="129"/>
        <item h="1" x="149"/>
        <item h="1" x="18"/>
        <item h="1" x="153"/>
        <item h="1" x="183"/>
        <item h="1" x="189"/>
        <item h="1" x="202"/>
        <item h="1" x="67"/>
        <item h="1" x="93"/>
        <item h="1" x="99"/>
        <item h="1" x="116"/>
        <item h="1" x="146"/>
        <item h="1" x="157"/>
        <item h="1" x="88"/>
        <item h="1" x="119"/>
        <item h="1" x="12"/>
        <item h="1" x="138"/>
        <item h="1" x="148"/>
        <item h="1" x="16"/>
        <item h="1" x="159"/>
        <item h="1" x="166"/>
        <item h="1" x="169"/>
        <item h="1" x="43"/>
        <item h="1" x="173"/>
        <item h="1" x="56"/>
        <item h="1" x="84"/>
        <item h="1" x="86"/>
        <item h="1" x="133"/>
        <item h="1" x="155"/>
        <item h="1" x="171"/>
        <item h="1" x="41"/>
        <item h="1" x="44"/>
        <item h="1" x="209"/>
        <item h="1" x="214"/>
        <item h="1" x="134"/>
        <item h="1" x="68"/>
        <item h="1" x="73"/>
        <item h="1" x="75"/>
        <item h="1" x="120"/>
        <item h="1" x="130"/>
        <item h="1" x="154"/>
        <item h="1" x="33"/>
        <item h="1" x="170"/>
        <item h="1" x="187"/>
        <item h="1" x="207"/>
        <item h="1" x="213"/>
        <item h="1" x="81"/>
        <item h="1" x="92"/>
        <item h="1" x="126"/>
        <item h="1" x="131"/>
        <item h="1" x="20"/>
        <item h="1" x="156"/>
        <item h="1" x="42"/>
        <item h="1" x="47"/>
        <item h="1" x="57"/>
        <item h="1" x="98"/>
        <item h="1" x="22"/>
        <item h="1" x="195"/>
        <item h="1" x="69"/>
        <item h="1" x="83"/>
        <item h="1" x="89"/>
        <item h="1" x="95"/>
        <item h="1" x="109"/>
        <item h="1" x="7"/>
        <item h="1" x="9"/>
        <item h="1" x="163"/>
        <item h="1" x="191"/>
        <item h="1" x="58"/>
        <item h="1" x="114"/>
        <item h="1" x="144"/>
        <item h="1" x="21"/>
        <item h="1" x="28"/>
        <item h="1" x="172"/>
        <item h="1" x="50"/>
        <item h="1" x="51"/>
        <item h="1" x="186"/>
        <item h="1" x="188"/>
        <item h="1" x="59"/>
        <item h="1" x="197"/>
        <item h="1" x="107"/>
        <item h="1" x="14"/>
        <item h="1" x="23"/>
        <item h="1" x="26"/>
        <item h="1" x="179"/>
        <item h="1" x="49"/>
        <item h="1" x="106"/>
        <item h="1" x="105"/>
        <item h="1" x="145"/>
        <item h="1" x="29"/>
        <item h="1" x="78"/>
        <item h="1" x="97"/>
        <item h="1" x="127"/>
        <item h="1" x="161"/>
        <item h="1" x="176"/>
        <item h="1" x="185"/>
        <item h="1" x="199"/>
        <item h="1" x="208"/>
        <item h="1" x="79"/>
        <item h="1" x="31"/>
        <item h="1" x="40"/>
        <item h="1" x="200"/>
        <item h="1" x="72"/>
        <item h="1" m="1" x="218"/>
        <item h="1" x="140"/>
        <item h="1" x="147"/>
        <item h="1" x="46"/>
        <item h="1" x="184"/>
        <item h="1" x="87"/>
        <item h="1" x="113"/>
        <item h="1" x="110"/>
        <item h="1" x="8"/>
        <item h="1" x="48"/>
        <item h="1" x="52"/>
        <item h="1" x="190"/>
        <item h="1" x="61"/>
        <item h="1" x="194"/>
        <item h="1" x="204"/>
        <item h="1" x="80"/>
        <item h="1" x="132"/>
        <item h="1" x="143"/>
        <item h="1" x="30"/>
        <item h="1" x="168"/>
        <item h="1" x="62"/>
        <item h="1" x="160"/>
        <item h="1" x="203"/>
        <item h="1" x="77"/>
        <item h="1" x="5"/>
        <item h="1" x="13"/>
        <item h="1" x="32"/>
        <item h="1" x="175"/>
        <item h="1" x="60"/>
        <item h="1" x="206"/>
        <item h="1" x="103"/>
        <item h="1" x="123"/>
        <item h="1" x="10"/>
        <item h="1" x="142"/>
        <item h="1" x="24"/>
        <item h="1" x="71"/>
        <item h="1" x="76"/>
        <item h="1" x="104"/>
        <item h="1" x="108"/>
        <item h="1" x="135"/>
        <item h="1" x="1"/>
        <item h="1" x="17"/>
        <item h="1" x="178"/>
        <item h="1" x="201"/>
        <item h="1" x="64"/>
        <item h="1" x="96"/>
        <item h="1" x="121"/>
        <item h="1" x="128"/>
        <item h="1" x="211"/>
        <item x="215"/>
        <item x="212"/>
        <item x="21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2">
    <i>
      <x v="254"/>
    </i>
    <i t="grand">
      <x/>
    </i>
  </rowItems>
  <colItems count="1">
    <i/>
  </colItems>
  <pageFields count="2">
    <pageField fld="0" hier="-1"/>
    <pageField fld="39"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ela dinâmica5"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D22:AE23" firstHeaderRow="1" firstDataRow="1" firstDataCol="1" rowPageCount="2" colPageCount="1"/>
  <pivotFields count="43">
    <pivotField axis="axisPage" multipleItemSelectionAllowed="1" showAll="0">
      <items count="147">
        <item h="1" x="2"/>
        <item x="3"/>
        <item h="1" x="1"/>
        <item h="1" x="0"/>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h="1" m="1" x="96"/>
        <item h="1" m="1" x="97"/>
        <item h="1" m="1" x="98"/>
        <item h="1" m="1" x="99"/>
        <item h="1" m="1" x="100"/>
        <item h="1" m="1" x="101"/>
        <item h="1" m="1" x="102"/>
        <item h="1" m="1" x="103"/>
        <item h="1" m="1" x="104"/>
        <item h="1" m="1" x="105"/>
        <item h="1" m="1" x="106"/>
        <item h="1" m="1" x="107"/>
        <item h="1" m="1" x="108"/>
        <item h="1" m="1" x="109"/>
        <item h="1" m="1" x="110"/>
        <item h="1" m="1" x="111"/>
        <item h="1" m="1" x="112"/>
        <item h="1" m="1" x="113"/>
        <item h="1" m="1" x="114"/>
        <item h="1" m="1" x="115"/>
        <item h="1" m="1" x="116"/>
        <item h="1" m="1" x="117"/>
        <item h="1" m="1" x="118"/>
        <item h="1" m="1" x="119"/>
        <item h="1" m="1" x="120"/>
        <item h="1" m="1" x="121"/>
        <item h="1" m="1" x="122"/>
        <item h="1" m="1" x="123"/>
        <item h="1" m="1" x="124"/>
        <item h="1" m="1" x="125"/>
        <item h="1" m="1" x="126"/>
        <item h="1" m="1" x="127"/>
        <item h="1" m="1" x="128"/>
        <item h="1" m="1" x="129"/>
        <item h="1" m="1" x="130"/>
        <item h="1" m="1" x="131"/>
        <item h="1" m="1" x="132"/>
        <item h="1" m="1" x="133"/>
        <item h="1" m="1" x="134"/>
        <item h="1" m="1" x="135"/>
        <item h="1" m="1" x="136"/>
        <item h="1" m="1" x="138"/>
        <item h="1" m="1" x="139"/>
        <item h="1" m="1" x="140"/>
        <item h="1" m="1" x="141"/>
        <item h="1" m="1" x="142"/>
        <item h="1" m="1" x="143"/>
        <item h="1" m="1" x="144"/>
        <item h="1" m="1" x="145"/>
        <item h="1" m="1" x="137"/>
        <item t="default"/>
      </items>
    </pivotField>
    <pivotField showAll="0"/>
    <pivotField showAll="0"/>
    <pivotField showAll="0"/>
    <pivotField showAll="0"/>
    <pivotField showAll="0"/>
    <pivotField axis="axisRow" showAll="0">
      <items count="490">
        <item x="151"/>
        <item x="66"/>
        <item x="163"/>
        <item x="40"/>
        <item x="2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1"/>
        <item x="42"/>
        <item x="43"/>
        <item x="44"/>
        <item x="45"/>
        <item x="46"/>
        <item x="47"/>
        <item x="48"/>
        <item x="49"/>
        <item x="50"/>
        <item x="51"/>
        <item x="52"/>
        <item x="53"/>
        <item x="54"/>
        <item x="55"/>
        <item x="56"/>
        <item x="57"/>
        <item x="58"/>
        <item x="59"/>
        <item x="60"/>
        <item x="61"/>
        <item x="62"/>
        <item x="63"/>
        <item x="64"/>
        <item x="65"/>
        <item x="67"/>
        <item x="68"/>
        <item x="69"/>
        <item x="70"/>
        <item x="71"/>
        <item x="72"/>
        <item x="73"/>
        <item x="74"/>
        <item x="75"/>
        <item x="76"/>
        <item x="77"/>
        <item x="78"/>
        <item x="79"/>
        <item x="80"/>
        <item x="81"/>
        <item x="82"/>
        <item x="83"/>
        <item x="84"/>
        <item x="85"/>
        <item x="87"/>
        <item x="88"/>
        <item x="89"/>
        <item x="90"/>
        <item x="91"/>
        <item x="92"/>
        <item x="93"/>
        <item x="94"/>
        <item x="95"/>
        <item x="96"/>
        <item x="97"/>
        <item x="98"/>
        <item x="99"/>
        <item x="100"/>
        <item x="101"/>
        <item x="102"/>
        <item x="103"/>
        <item x="104"/>
        <item x="105"/>
        <item x="106"/>
        <item x="108"/>
        <item x="109"/>
        <item x="110"/>
        <item x="111"/>
        <item x="112"/>
        <item x="113"/>
        <item x="115"/>
        <item x="116"/>
        <item x="117"/>
        <item x="118"/>
        <item x="119"/>
        <item x="120"/>
        <item x="121"/>
        <item x="122"/>
        <item x="123"/>
        <item x="124"/>
        <item x="125"/>
        <item x="126"/>
        <item x="127"/>
        <item x="128"/>
        <item x="130"/>
        <item x="131"/>
        <item x="132"/>
        <item x="133"/>
        <item x="134"/>
        <item x="135"/>
        <item x="136"/>
        <item x="137"/>
        <item x="138"/>
        <item x="139"/>
        <item x="140"/>
        <item x="141"/>
        <item x="142"/>
        <item x="143"/>
        <item x="144"/>
        <item x="145"/>
        <item x="146"/>
        <item x="147"/>
        <item x="148"/>
        <item x="149"/>
        <item x="150"/>
        <item x="152"/>
        <item x="153"/>
        <item x="154"/>
        <item x="155"/>
        <item x="156"/>
        <item x="157"/>
        <item x="158"/>
        <item x="159"/>
        <item x="160"/>
        <item x="161"/>
        <item x="162"/>
        <item x="164"/>
        <item x="165"/>
        <item x="166"/>
        <item x="167"/>
        <item x="168"/>
        <item x="169"/>
        <item x="170"/>
        <item x="171"/>
        <item x="172"/>
        <item x="173"/>
        <item x="174"/>
        <item x="175"/>
        <item x="176"/>
        <item x="178"/>
        <item x="179"/>
        <item x="180"/>
        <item x="181"/>
        <item x="182"/>
        <item x="186"/>
        <item x="187"/>
        <item x="188"/>
        <item x="189"/>
        <item x="190"/>
        <item x="191"/>
        <item x="192"/>
        <item x="193"/>
        <item x="194"/>
        <item x="196"/>
        <item x="197"/>
        <item x="198"/>
        <item x="199"/>
        <item x="200"/>
        <item x="202"/>
        <item x="203"/>
        <item x="204"/>
        <item x="205"/>
        <item x="206"/>
        <item x="207"/>
        <item x="208"/>
        <item x="209"/>
        <item x="210"/>
        <item x="211"/>
        <item x="212"/>
        <item x="213"/>
        <item x="214"/>
        <item x="215"/>
        <item x="216"/>
        <item x="217"/>
        <item x="218"/>
        <item x="219"/>
        <item x="220"/>
        <item x="221"/>
        <item x="222"/>
        <item x="223"/>
        <item x="224"/>
        <item x="225"/>
        <item x="227"/>
        <item x="228"/>
        <item x="229"/>
        <item x="230"/>
        <item x="231"/>
        <item x="232"/>
        <item x="233"/>
        <item x="234"/>
        <item x="235"/>
        <item x="236"/>
        <item x="237"/>
        <item x="239"/>
        <item x="240"/>
        <item x="241"/>
        <item x="242"/>
        <item x="243"/>
        <item x="244"/>
        <item x="246"/>
        <item x="247"/>
        <item x="248"/>
        <item x="250"/>
        <item x="251"/>
        <item x="252"/>
        <item x="253"/>
        <item x="254"/>
        <item x="255"/>
        <item x="256"/>
        <item x="257"/>
        <item x="258"/>
        <item x="259"/>
        <item x="260"/>
        <item x="262"/>
        <item x="263"/>
        <item x="264"/>
        <item x="266"/>
        <item x="267"/>
        <item x="268"/>
        <item x="269"/>
        <item x="270"/>
        <item x="271"/>
        <item x="272"/>
        <item x="273"/>
        <item x="276"/>
        <item x="278"/>
        <item x="279"/>
        <item x="280"/>
        <item x="281"/>
        <item x="282"/>
        <item x="283"/>
        <item x="284"/>
        <item x="285"/>
        <item x="286"/>
        <item x="287"/>
        <item x="288"/>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8"/>
        <item x="369"/>
        <item x="370"/>
        <item x="374"/>
        <item x="375"/>
        <item x="376"/>
        <item x="377"/>
        <item x="379"/>
        <item x="381"/>
        <item x="390"/>
        <item x="391"/>
        <item x="392"/>
        <item x="393"/>
        <item x="396"/>
        <item x="397"/>
        <item x="398"/>
        <item x="399"/>
        <item x="401"/>
        <item x="402"/>
        <item x="403"/>
        <item x="404"/>
        <item x="406"/>
        <item x="407"/>
        <item x="408"/>
        <item x="409"/>
        <item x="416"/>
        <item x="417"/>
        <item x="419"/>
        <item x="423"/>
        <item x="424"/>
        <item x="426"/>
        <item x="427"/>
        <item x="385"/>
        <item x="425"/>
        <item x="431"/>
        <item x="432"/>
        <item x="433"/>
        <item x="435"/>
        <item x="436"/>
        <item x="437"/>
        <item x="439"/>
        <item x="441"/>
        <item x="442"/>
        <item x="443"/>
        <item x="444"/>
        <item x="86"/>
        <item x="107"/>
        <item x="114"/>
        <item x="129"/>
        <item x="177"/>
        <item x="183"/>
        <item x="184"/>
        <item x="185"/>
        <item x="195"/>
        <item x="201"/>
        <item x="226"/>
        <item x="238"/>
        <item x="245"/>
        <item x="249"/>
        <item x="261"/>
        <item x="265"/>
        <item x="274"/>
        <item x="275"/>
        <item x="277"/>
        <item x="289"/>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6"/>
        <item m="1" x="487"/>
        <item m="1" x="488"/>
        <item x="445"/>
        <item x="446"/>
        <item x="447"/>
        <item x="448"/>
        <item m="1" x="485"/>
        <item x="449"/>
        <item x="450"/>
        <item x="451"/>
        <item x="452"/>
        <item x="323"/>
        <item x="366"/>
        <item x="367"/>
        <item x="371"/>
        <item x="372"/>
        <item x="373"/>
        <item x="378"/>
        <item x="380"/>
        <item x="382"/>
        <item x="383"/>
        <item x="384"/>
        <item x="386"/>
        <item x="387"/>
        <item x="388"/>
        <item x="389"/>
        <item x="394"/>
        <item x="395"/>
        <item x="400"/>
        <item x="405"/>
        <item x="410"/>
        <item x="411"/>
        <item x="412"/>
        <item x="413"/>
        <item x="414"/>
        <item x="415"/>
        <item x="418"/>
        <item x="420"/>
        <item x="421"/>
        <item x="422"/>
        <item x="428"/>
        <item x="429"/>
        <item x="430"/>
        <item x="434"/>
        <item x="438"/>
        <item x="440"/>
        <item x="4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axis="axisPage" multipleItemSelectionAllowed="1" showAll="0">
      <items count="176">
        <item h="1" x="72"/>
        <item h="1" x="62"/>
        <item h="1" x="119"/>
        <item h="1" m="1" x="174"/>
        <item h="1" x="22"/>
        <item h="1" x="125"/>
        <item h="1" x="3"/>
        <item h="1" x="82"/>
        <item h="1" x="6"/>
        <item h="1" x="126"/>
        <item h="1" x="10"/>
        <item h="1" x="21"/>
        <item h="1" x="96"/>
        <item h="1" x="5"/>
        <item h="1" x="103"/>
        <item h="1" x="117"/>
        <item h="1" x="35"/>
        <item h="1" x="84"/>
        <item h="1" x="97"/>
        <item h="1" x="132"/>
        <item h="1" x="26"/>
        <item h="1" x="30"/>
        <item h="1" x="51"/>
        <item h="1" x="34"/>
        <item h="1" x="86"/>
        <item h="1" x="29"/>
        <item h="1" x="137"/>
        <item h="1" x="99"/>
        <item h="1" x="120"/>
        <item h="1" x="91"/>
        <item h="1" x="104"/>
        <item h="1" x="122"/>
        <item h="1" x="20"/>
        <item h="1" x="8"/>
        <item h="1" x="1"/>
        <item h="1" x="2"/>
        <item h="1" x="4"/>
        <item h="1" x="7"/>
        <item h="1" x="9"/>
        <item h="1" x="11"/>
        <item h="1" x="12"/>
        <item h="1" x="13"/>
        <item h="1" x="14"/>
        <item h="1" x="15"/>
        <item h="1" x="16"/>
        <item h="1" x="17"/>
        <item h="1" x="18"/>
        <item h="1" x="19"/>
        <item h="1" x="23"/>
        <item h="1" x="24"/>
        <item h="1" x="25"/>
        <item h="1" x="27"/>
        <item h="1" x="28"/>
        <item h="1" x="31"/>
        <item h="1" x="32"/>
        <item h="1" x="33"/>
        <item h="1" x="36"/>
        <item h="1" x="37"/>
        <item h="1" x="38"/>
        <item h="1" x="39"/>
        <item h="1" x="40"/>
        <item h="1" x="41"/>
        <item h="1" x="42"/>
        <item h="1" x="43"/>
        <item h="1" x="44"/>
        <item h="1" x="45"/>
        <item h="1" x="46"/>
        <item h="1" x="47"/>
        <item h="1" x="48"/>
        <item h="1" x="49"/>
        <item h="1" x="50"/>
        <item h="1" x="52"/>
        <item h="1" x="53"/>
        <item h="1" x="54"/>
        <item h="1" x="55"/>
        <item h="1" x="56"/>
        <item h="1" x="57"/>
        <item h="1" x="58"/>
        <item h="1" x="59"/>
        <item h="1" x="60"/>
        <item h="1" x="61"/>
        <item h="1" x="63"/>
        <item h="1" x="64"/>
        <item h="1" x="65"/>
        <item h="1" x="66"/>
        <item h="1" x="67"/>
        <item h="1" x="68"/>
        <item h="1" x="69"/>
        <item h="1" x="70"/>
        <item h="1" x="71"/>
        <item h="1" x="73"/>
        <item h="1" x="74"/>
        <item h="1" x="75"/>
        <item h="1" x="76"/>
        <item h="1" x="77"/>
        <item h="1" x="78"/>
        <item h="1" x="79"/>
        <item h="1" x="80"/>
        <item h="1" x="81"/>
        <item h="1" x="83"/>
        <item h="1" x="85"/>
        <item h="1" x="87"/>
        <item h="1" x="88"/>
        <item h="1" x="89"/>
        <item h="1" x="90"/>
        <item h="1" x="92"/>
        <item h="1" x="93"/>
        <item h="1" x="94"/>
        <item h="1" x="95"/>
        <item h="1" x="98"/>
        <item h="1" x="100"/>
        <item h="1" x="101"/>
        <item h="1" x="102"/>
        <item h="1" x="105"/>
        <item h="1" x="106"/>
        <item h="1" x="107"/>
        <item h="1" x="108"/>
        <item h="1" x="109"/>
        <item h="1" x="110"/>
        <item h="1" x="111"/>
        <item h="1" x="112"/>
        <item h="1" x="113"/>
        <item h="1" x="114"/>
        <item h="1" x="115"/>
        <item h="1" x="116"/>
        <item h="1" x="118"/>
        <item h="1" x="121"/>
        <item h="1" x="123"/>
        <item h="1" x="127"/>
        <item h="1" x="128"/>
        <item h="1" x="129"/>
        <item h="1" x="130"/>
        <item h="1" x="131"/>
        <item h="1" x="133"/>
        <item h="1" x="139"/>
        <item h="1" x="142"/>
        <item h="1" x="143"/>
        <item h="1" x="146"/>
        <item h="1" x="149"/>
        <item h="1" x="135"/>
        <item h="1" x="148"/>
        <item h="1" x="154"/>
        <item h="1" x="155"/>
        <item h="1" x="157"/>
        <item h="1" x="160"/>
        <item h="1" x="161"/>
        <item h="1" x="0"/>
        <item h="1" m="1" x="171"/>
        <item h="1" m="1" x="172"/>
        <item h="1" m="1" x="173"/>
        <item h="1" x="162"/>
        <item h="1" x="163"/>
        <item h="1" x="164"/>
        <item h="1" x="124"/>
        <item h="1" x="165"/>
        <item x="166"/>
        <item h="1" x="134"/>
        <item h="1" x="136"/>
        <item h="1" x="138"/>
        <item h="1" x="140"/>
        <item h="1" x="141"/>
        <item h="1" x="144"/>
        <item h="1" x="145"/>
        <item h="1" x="147"/>
        <item h="1" x="150"/>
        <item h="1" x="151"/>
        <item h="1" x="152"/>
        <item h="1" x="153"/>
        <item h="1" x="156"/>
        <item h="1" x="158"/>
        <item h="1" x="159"/>
        <item x="167"/>
        <item x="168"/>
        <item x="169"/>
        <item x="170"/>
        <item t="default"/>
      </items>
    </pivotField>
    <pivotField showAll="0"/>
    <pivotField showAll="0"/>
    <pivotField showAll="0"/>
    <pivotField showAll="0"/>
    <pivotField showAll="0"/>
    <pivotField showAll="0"/>
    <pivotField showAll="0"/>
    <pivotField dataField="1" showAll="0"/>
  </pivotFields>
  <rowFields count="1">
    <field x="6"/>
  </rowFields>
  <rowItems count="1">
    <i t="grand">
      <x/>
    </i>
  </rowItems>
  <colItems count="1">
    <i/>
  </colItems>
  <pageFields count="2">
    <pageField fld="0" hier="-1"/>
    <pageField fld="34" hier="-1"/>
  </pageFields>
  <dataFields count="1">
    <dataField name="Soma de Qdte" fld="4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Tabela dinâmica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H22:J28" firstHeaderRow="0" firstDataRow="1" firstDataCol="1" rowPageCount="2" colPageCount="1"/>
  <pivotFields count="19">
    <pivotField axis="axisPage" multipleItemSelectionAllowed="1" showAll="0">
      <items count="4">
        <item h="1" x="0"/>
        <item x="1"/>
        <item x="2"/>
        <item t="default"/>
      </items>
    </pivotField>
    <pivotField axis="axisRow" numFmtId="17" showAll="0">
      <items count="18">
        <item x="0"/>
        <item x="1"/>
        <item x="2"/>
        <item x="3"/>
        <item x="4"/>
        <item x="5"/>
        <item x="6"/>
        <item x="7"/>
        <item x="8"/>
        <item x="9"/>
        <item x="10"/>
        <item x="11"/>
        <item x="12"/>
        <item x="13"/>
        <item x="14"/>
        <item x="15"/>
        <item x="16"/>
        <item t="default"/>
      </items>
    </pivotField>
    <pivotField axis="axisPage" showAll="0">
      <items count="5">
        <item x="1"/>
        <item x="2"/>
        <item x="0"/>
        <item x="3"/>
        <item t="default"/>
      </items>
    </pivotField>
    <pivotField showAll="0"/>
    <pivotField showAll="0"/>
    <pivotField showAll="0"/>
    <pivotField numFmtId="44" showAll="0"/>
    <pivotField numFmtId="44" showAll="0"/>
    <pivotField numFmtId="44" showAll="0"/>
    <pivotField numFmtId="1" showAll="0"/>
    <pivotField showAll="0"/>
    <pivotField showAll="0"/>
    <pivotField numFmtId="2" showAll="0"/>
    <pivotField dataField="1" numFmtId="2" showAll="0"/>
    <pivotField numFmtId="44" showAll="0"/>
    <pivotField numFmtId="10" showAll="0"/>
    <pivotField dataField="1" numFmtId="10"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8"/>
    <field x="17"/>
    <field x="1"/>
  </rowFields>
  <rowItems count="6">
    <i>
      <x v="1"/>
    </i>
    <i>
      <x v="2"/>
    </i>
    <i>
      <x v="3"/>
    </i>
    <i>
      <x v="4"/>
    </i>
    <i>
      <x v="5"/>
    </i>
    <i t="grand">
      <x/>
    </i>
  </rowItems>
  <colFields count="1">
    <field x="-2"/>
  </colFields>
  <colItems count="2">
    <i>
      <x/>
    </i>
    <i i="1">
      <x v="1"/>
    </i>
  </colItems>
  <pageFields count="2">
    <pageField fld="0" hier="-1"/>
    <pageField fld="2" hier="-1"/>
  </pageFields>
  <dataFields count="2">
    <dataField name="Cobertura" fld="16" baseField="16" baseItem="3" numFmtId="10"/>
    <dataField name="Objetivo" fld="13" baseField="16" baseItem="3" numFmtId="2"/>
  </dataFields>
  <formats count="9">
    <format dxfId="294">
      <pivotArea outline="0" collapsedLevelsAreSubtotals="1" fieldPosition="0"/>
    </format>
    <format dxfId="293">
      <pivotArea dataOnly="0" labelOnly="1" fieldPosition="0">
        <references count="1">
          <reference field="18" count="0"/>
        </references>
      </pivotArea>
    </format>
    <format dxfId="292">
      <pivotArea dataOnly="0" labelOnly="1" grandRow="1" outline="0" fieldPosition="0"/>
    </format>
    <format>
      <pivotArea outline="0" collapsedLevelsAreSubtotals="1" fieldPosition="0"/>
    </format>
    <format>
      <pivotArea dataOnly="0" labelOnly="1" fieldPosition="0">
        <references count="1">
          <reference field="18" count="0"/>
        </references>
      </pivotArea>
    </format>
    <format>
      <pivotArea dataOnly="0" labelOnly="1" grandRow="1" outline="0" fieldPosition="0"/>
    </format>
    <format dxfId="291">
      <pivotArea outline="0" collapsedLevelsAreSubtotals="1" fieldPosition="0"/>
    </format>
    <format dxfId="290">
      <pivotArea dataOnly="0" labelOnly="1" fieldPosition="0">
        <references count="1">
          <reference field="18" count="0"/>
        </references>
      </pivotArea>
    </format>
    <format dxfId="289">
      <pivotArea dataOnly="0" labelOnly="1" grandRow="1" outline="0" fieldPosition="0"/>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D000000}" name="Tabela dinâmica2"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Q22:R32" firstHeaderRow="1" firstDataRow="1" firstDataCol="1" rowPageCount="2" colPageCount="1"/>
  <pivotFields count="50">
    <pivotField axis="axisPage" multipleItemSelectionAllowed="1" showAll="0">
      <items count="5">
        <item x="1"/>
        <item h="1" x="0"/>
        <item h="1"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showAll="0"/>
    <pivotField showAll="0"/>
    <pivotField axis="axisPage" multipleItemSelectionAllowed="1" showAll="0">
      <items count="243">
        <item h="1" x="100"/>
        <item h="1" x="7"/>
        <item h="1" x="147"/>
        <item h="1" x="192"/>
        <item h="1" x="68"/>
        <item h="1" x="82"/>
        <item h="1" x="73"/>
        <item h="1" x="91"/>
        <item h="1" x="137"/>
        <item h="1" x="3"/>
        <item h="1" x="4"/>
        <item h="1" x="170"/>
        <item h="1" x="162"/>
        <item h="1" x="45"/>
        <item h="1" x="163"/>
        <item h="1" x="55"/>
        <item h="1" x="60"/>
        <item h="1" x="72"/>
        <item h="1" x="74"/>
        <item h="1" x="101"/>
        <item h="1" x="109"/>
        <item h="1" x="133"/>
        <item h="1" x="150"/>
        <item h="1" x="148"/>
        <item h="1" x="18"/>
        <item h="1" x="15"/>
        <item h="1" x="181"/>
        <item h="1" x="44"/>
        <item h="1" x="194"/>
        <item h="1" x="112"/>
        <item h="1" x="125"/>
        <item h="1" x="12"/>
        <item h="1" x="152"/>
        <item h="1" x="2"/>
        <item h="1" x="164"/>
        <item h="1" x="41"/>
        <item h="1" x="46"/>
        <item h="1" x="126"/>
        <item h="1" x="197"/>
        <item h="1" x="90"/>
        <item h="1" x="121"/>
        <item h="1" x="16"/>
        <item h="1" x="43"/>
        <item h="1" x="23"/>
        <item h="1" x="167"/>
        <item h="1" x="62"/>
        <item h="1" x="85"/>
        <item h="1" x="104"/>
        <item h="1" x="177"/>
        <item h="1" x="83"/>
        <item h="1" x="105"/>
        <item h="1" x="141"/>
        <item h="1" x="178"/>
        <item h="1" x="77"/>
        <item h="1" x="92"/>
        <item h="1" x="136"/>
        <item h="1" x="142"/>
        <item h="1" x="17"/>
        <item h="1" x="169"/>
        <item h="1" x="26"/>
        <item h="1" x="28"/>
        <item h="1" x="27"/>
        <item h="1" x="61"/>
        <item h="1" x="94"/>
        <item h="1" x="123"/>
        <item h="1" x="128"/>
        <item h="1" x="139"/>
        <item h="1" x="160"/>
        <item h="1" x="165"/>
        <item h="1" x="50"/>
        <item h="1" x="75"/>
        <item h="1" x="96"/>
        <item h="1" x="103"/>
        <item h="1" x="108"/>
        <item h="1" x="110"/>
        <item h="1" x="124"/>
        <item h="1" x="6"/>
        <item h="1" x="157"/>
        <item h="1" x="19"/>
        <item h="1" x="171"/>
        <item h="1" x="179"/>
        <item h="1" x="47"/>
        <item h="1" x="127"/>
        <item h="1" x="13"/>
        <item h="1" x="149"/>
        <item h="1" x="159"/>
        <item h="1" x="21"/>
        <item h="1" x="172"/>
        <item h="1" x="176"/>
        <item h="1" x="184"/>
        <item h="1" x="48"/>
        <item h="1" x="49"/>
        <item h="1" x="63"/>
        <item h="1" x="93"/>
        <item h="1" x="146"/>
        <item h="1" x="25"/>
        <item h="1" x="185"/>
        <item h="1" x="52"/>
        <item h="1" x="51"/>
        <item h="1" x="76"/>
        <item h="1" x="114"/>
        <item h="1" x="143"/>
        <item h="1" x="180"/>
        <item h="1" x="81"/>
        <item h="1" x="84"/>
        <item h="1" x="102"/>
        <item h="1" x="117"/>
        <item h="1" x="116"/>
        <item h="1" x="140"/>
        <item h="1" x="168"/>
        <item h="1" x="166"/>
        <item h="1" x="42"/>
        <item h="1" x="98"/>
        <item h="1" x="122"/>
        <item h="1" x="129"/>
        <item h="1" x="20"/>
        <item h="1" x="174"/>
        <item h="1" x="34"/>
        <item h="1" x="53"/>
        <item h="1" x="54"/>
        <item h="1" x="64"/>
        <item h="1" x="107"/>
        <item h="1" x="65"/>
        <item h="1" x="95"/>
        <item h="1" x="99"/>
        <item h="1" x="113"/>
        <item h="1" x="119"/>
        <item h="1" x="8"/>
        <item h="1" x="14"/>
        <item h="1" x="10"/>
        <item h="1" x="183"/>
        <item h="1" x="130"/>
        <item h="1" x="11"/>
        <item h="1" x="155"/>
        <item h="1" x="22"/>
        <item h="1" x="31"/>
        <item h="1" x="186"/>
        <item h="1" x="30"/>
        <item h="1" x="175"/>
        <item h="1" x="57"/>
        <item h="1" x="58"/>
        <item h="1" x="70"/>
        <item h="1" x="115"/>
        <item h="1" x="9"/>
        <item h="1" x="56"/>
        <item h="1" x="32"/>
        <item h="1" x="29"/>
        <item h="1" x="35"/>
        <item h="1" x="190"/>
        <item h="1" x="131"/>
        <item h="1" x="33"/>
        <item h="1" x="80"/>
        <item h="1" x="132"/>
        <item h="1" x="151"/>
        <item h="1" x="158"/>
        <item h="1" x="97"/>
        <item h="1" x="120"/>
        <item h="1" x="156"/>
        <item h="1" x="193"/>
        <item h="1" x="59"/>
        <item h="1" x="67"/>
        <item h="1" x="87"/>
        <item h="1" x="135"/>
        <item h="1" x="153"/>
        <item h="1" x="154"/>
        <item h="1" x="36"/>
        <item h="1" x="189"/>
        <item h="1" x="66"/>
        <item h="1" x="89"/>
        <item h="1" x="5"/>
        <item h="1" x="144"/>
        <item h="1" x="1"/>
        <item h="1" x="24"/>
        <item h="1" x="37"/>
        <item h="1" x="191"/>
        <item h="1" x="71"/>
        <item h="1" x="69"/>
        <item h="1" x="79"/>
        <item h="1" x="145"/>
        <item h="1" x="161"/>
        <item h="1" x="38"/>
        <item h="1" x="86"/>
        <item h="1" x="118"/>
        <item h="1" x="39"/>
        <item h="1" x="78"/>
        <item h="1" x="88"/>
        <item h="1" x="106"/>
        <item h="1" x="134"/>
        <item h="1" x="138"/>
        <item h="1" x="40"/>
        <item h="1" x="205"/>
        <item h="1" x="196"/>
        <item h="1" x="201"/>
        <item h="1" x="187"/>
        <item h="1" x="199"/>
        <item h="1" x="203"/>
        <item h="1" x="206"/>
        <item h="1" x="200"/>
        <item h="1" x="208"/>
        <item h="1" x="207"/>
        <item h="1" x="182"/>
        <item h="1" x="210"/>
        <item h="1" x="173"/>
        <item h="1" x="188"/>
        <item h="1" x="195"/>
        <item h="1" x="211"/>
        <item h="1" x="212"/>
        <item h="1" x="214"/>
        <item h="1" x="216"/>
        <item h="1" x="217"/>
        <item h="1" x="111"/>
        <item h="1" x="213"/>
        <item h="1" x="202"/>
        <item h="1" x="215"/>
        <item h="1" x="218"/>
        <item h="1" x="219"/>
        <item h="1" x="221"/>
        <item h="1" x="220"/>
        <item h="1" x="222"/>
        <item h="1" x="223"/>
        <item h="1" x="224"/>
        <item h="1" x="225"/>
        <item h="1" x="231"/>
        <item h="1" x="0"/>
        <item h="1" x="229"/>
        <item h="1" x="230"/>
        <item h="1" x="233"/>
        <item h="1" x="209"/>
        <item h="1" x="226"/>
        <item h="1" x="227"/>
        <item h="1" x="228"/>
        <item h="1" x="232"/>
        <item x="198"/>
        <item m="1" x="241"/>
        <item x="236"/>
        <item x="237"/>
        <item x="204"/>
        <item x="235"/>
        <item x="238"/>
        <item x="239"/>
        <item x="240"/>
        <item x="234"/>
        <item t="default"/>
      </items>
    </pivotField>
    <pivotField showAll="0"/>
    <pivotField showAll="0"/>
    <pivotField showAll="0"/>
    <pivotField showAll="0"/>
    <pivotField showAll="0"/>
    <pivotField showAll="0"/>
    <pivotField showAll="0"/>
    <pivotField dataField="1" showAll="0"/>
  </pivotFields>
  <rowFields count="1">
    <field x="6"/>
  </rowFields>
  <rowItems count="10">
    <i>
      <x v="382"/>
    </i>
    <i>
      <x v="413"/>
    </i>
    <i>
      <x v="589"/>
    </i>
    <i>
      <x v="636"/>
    </i>
    <i>
      <x v="687"/>
    </i>
    <i>
      <x v="688"/>
    </i>
    <i>
      <x v="705"/>
    </i>
    <i>
      <x v="708"/>
    </i>
    <i>
      <x v="709"/>
    </i>
    <i t="grand">
      <x/>
    </i>
  </rowItems>
  <colItems count="1">
    <i/>
  </colItems>
  <pageFields count="2">
    <pageField fld="0" hier="-1"/>
    <pageField fld="41" hier="-1"/>
  </pageFields>
  <dataFields count="1">
    <dataField name="Soma de QTDE" fld="4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Tabela dinâmica1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D1334:AE1335" firstHeaderRow="1" firstDataRow="1" firstDataCol="1" rowPageCount="2" colPageCount="1"/>
  <pivotFields count="43">
    <pivotField axis="axisPage" multipleItemSelectionAllowed="1" showAll="0">
      <items count="147">
        <item h="1" x="0"/>
        <item h="1" x="2"/>
        <item x="3"/>
        <item h="1" x="1"/>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h="1" m="1" x="96"/>
        <item h="1" m="1" x="97"/>
        <item h="1" m="1" x="98"/>
        <item h="1" m="1" x="99"/>
        <item h="1" m="1" x="100"/>
        <item h="1" m="1" x="101"/>
        <item h="1" m="1" x="102"/>
        <item h="1" m="1" x="103"/>
        <item h="1" m="1" x="104"/>
        <item h="1" m="1" x="105"/>
        <item h="1" m="1" x="106"/>
        <item h="1" m="1" x="107"/>
        <item h="1" m="1" x="108"/>
        <item h="1" m="1" x="109"/>
        <item h="1" m="1" x="110"/>
        <item h="1" m="1" x="111"/>
        <item h="1" m="1" x="112"/>
        <item h="1" m="1" x="113"/>
        <item h="1" m="1" x="114"/>
        <item h="1" m="1" x="115"/>
        <item h="1" m="1" x="116"/>
        <item h="1" m="1" x="117"/>
        <item h="1" m="1" x="118"/>
        <item h="1" m="1" x="119"/>
        <item h="1" m="1" x="120"/>
        <item h="1" m="1" x="121"/>
        <item h="1" m="1" x="122"/>
        <item h="1" m="1" x="123"/>
        <item h="1" m="1" x="124"/>
        <item h="1" m="1" x="125"/>
        <item h="1" m="1" x="126"/>
        <item h="1" m="1" x="127"/>
        <item h="1" m="1" x="128"/>
        <item h="1" m="1" x="129"/>
        <item h="1" m="1" x="130"/>
        <item h="1" m="1" x="131"/>
        <item h="1" m="1" x="132"/>
        <item h="1" m="1" x="133"/>
        <item h="1" m="1" x="134"/>
        <item h="1" m="1" x="135"/>
        <item h="1" m="1" x="136"/>
        <item h="1" m="1" x="138"/>
        <item h="1" m="1" x="139"/>
        <item h="1" m="1" x="140"/>
        <item h="1" m="1" x="141"/>
        <item h="1" m="1" x="142"/>
        <item h="1" m="1" x="143"/>
        <item h="1" m="1" x="144"/>
        <item h="1" m="1" x="145"/>
        <item h="1" m="1" x="137"/>
        <item t="default"/>
      </items>
    </pivotField>
    <pivotField showAll="0"/>
    <pivotField showAll="0"/>
    <pivotField showAll="0"/>
    <pivotField showAll="0"/>
    <pivotField showAll="0"/>
    <pivotField axis="axisRow" showAll="0">
      <items count="490">
        <item x="402"/>
        <item x="182"/>
        <item x="320"/>
        <item x="15"/>
        <item x="241"/>
        <item x="151"/>
        <item x="270"/>
        <item x="240"/>
        <item x="157"/>
        <item x="311"/>
        <item x="173"/>
        <item x="200"/>
        <item x="66"/>
        <item x="13"/>
        <item x="377"/>
        <item x="34"/>
        <item x="335"/>
        <item x="217"/>
        <item x="213"/>
        <item x="56"/>
        <item x="130"/>
        <item x="99"/>
        <item x="123"/>
        <item x="202"/>
        <item x="324"/>
        <item x="161"/>
        <item x="165"/>
        <item x="219"/>
        <item x="153"/>
        <item x="280"/>
        <item x="70"/>
        <item x="168"/>
        <item x="306"/>
        <item x="68"/>
        <item x="307"/>
        <item x="62"/>
        <item x="49"/>
        <item x="198"/>
        <item x="362"/>
        <item x="295"/>
        <item x="44"/>
        <item x="352"/>
        <item x="313"/>
        <item x="156"/>
        <item x="190"/>
        <item x="179"/>
        <item x="172"/>
        <item x="359"/>
        <item x="59"/>
        <item x="401"/>
        <item x="111"/>
        <item x="281"/>
        <item x="102"/>
        <item x="225"/>
        <item x="210"/>
        <item x="369"/>
        <item x="302"/>
        <item x="145"/>
        <item x="267"/>
        <item x="339"/>
        <item x="357"/>
        <item x="310"/>
        <item x="286"/>
        <item x="358"/>
        <item x="7"/>
        <item x="24"/>
        <item x="73"/>
        <item x="282"/>
        <item x="260"/>
        <item x="375"/>
        <item x="234"/>
        <item x="43"/>
        <item x="32"/>
        <item x="340"/>
        <item x="354"/>
        <item x="336"/>
        <item x="158"/>
        <item x="166"/>
        <item x="136"/>
        <item x="88"/>
        <item x="251"/>
        <item x="252"/>
        <item x="191"/>
        <item x="12"/>
        <item x="297"/>
        <item x="231"/>
        <item x="278"/>
        <item x="69"/>
        <item x="146"/>
        <item x="291"/>
        <item x="374"/>
        <item x="192"/>
        <item x="8"/>
        <item x="138"/>
        <item x="203"/>
        <item x="318"/>
        <item x="90"/>
        <item x="77"/>
        <item x="301"/>
        <item x="312"/>
        <item x="266"/>
        <item x="42"/>
        <item x="223"/>
        <item x="171"/>
        <item x="97"/>
        <item x="51"/>
        <item x="329"/>
        <item x="19"/>
        <item x="22"/>
        <item x="125"/>
        <item x="46"/>
        <item x="224"/>
        <item x="316"/>
        <item x="35"/>
        <item x="232"/>
        <item x="78"/>
        <item x="163"/>
        <item x="194"/>
        <item x="293"/>
        <item x="174"/>
        <item x="332"/>
        <item x="408"/>
        <item x="248"/>
        <item x="31"/>
        <item x="355"/>
        <item x="363"/>
        <item x="364"/>
        <item x="338"/>
        <item x="333"/>
        <item x="29"/>
        <item x="127"/>
        <item x="65"/>
        <item x="98"/>
        <item x="144"/>
        <item x="368"/>
        <item x="126"/>
        <item x="254"/>
        <item x="269"/>
        <item x="229"/>
        <item x="64"/>
        <item x="233"/>
        <item x="148"/>
        <item x="67"/>
        <item x="71"/>
        <item x="72"/>
        <item x="167"/>
        <item x="16"/>
        <item x="325"/>
        <item x="14"/>
        <item x="80"/>
        <item x="236"/>
        <item x="381"/>
        <item x="309"/>
        <item x="47"/>
        <item x="170"/>
        <item x="272"/>
        <item x="250"/>
        <item x="9"/>
        <item x="28"/>
        <item x="113"/>
        <item x="193"/>
        <item x="100"/>
        <item x="45"/>
        <item x="155"/>
        <item x="290"/>
        <item x="117"/>
        <item x="48"/>
        <item x="58"/>
        <item x="96"/>
        <item x="279"/>
        <item x="326"/>
        <item x="57"/>
        <item x="189"/>
        <item x="288"/>
        <item x="140"/>
        <item x="294"/>
        <item x="6"/>
        <item x="0"/>
        <item x="221"/>
        <item x="334"/>
        <item x="10"/>
        <item x="119"/>
        <item x="41"/>
        <item x="110"/>
        <item x="87"/>
        <item x="149"/>
        <item x="186"/>
        <item x="116"/>
        <item x="142"/>
        <item x="239"/>
        <item x="268"/>
        <item x="105"/>
        <item x="106"/>
        <item x="205"/>
        <item x="37"/>
        <item x="164"/>
        <item x="3"/>
        <item x="176"/>
        <item x="305"/>
        <item x="284"/>
        <item x="285"/>
        <item x="121"/>
        <item x="216"/>
        <item x="128"/>
        <item x="331"/>
        <item x="104"/>
        <item x="360"/>
        <item x="212"/>
        <item x="317"/>
        <item x="343"/>
        <item x="397"/>
        <item x="353"/>
        <item x="39"/>
        <item x="263"/>
        <item x="235"/>
        <item x="112"/>
        <item x="399"/>
        <item x="91"/>
        <item x="407"/>
        <item x="345"/>
        <item x="379"/>
        <item x="299"/>
        <item x="208"/>
        <item x="287"/>
        <item x="33"/>
        <item x="1"/>
        <item x="92"/>
        <item x="131"/>
        <item x="134"/>
        <item x="133"/>
        <item x="132"/>
        <item x="38"/>
        <item x="40"/>
        <item x="169"/>
        <item x="84"/>
        <item x="303"/>
        <item x="76"/>
        <item x="356"/>
        <item x="82"/>
        <item x="259"/>
        <item x="147"/>
        <item x="262"/>
        <item x="255"/>
        <item x="141"/>
        <item x="416"/>
        <item x="227"/>
        <item x="75"/>
        <item x="94"/>
        <item x="124"/>
        <item x="271"/>
        <item x="20"/>
        <item x="89"/>
        <item x="264"/>
        <item x="95"/>
        <item x="404"/>
        <item x="63"/>
        <item x="180"/>
        <item x="61"/>
        <item x="197"/>
        <item x="237"/>
        <item x="188"/>
        <item x="403"/>
        <item x="319"/>
        <item x="344"/>
        <item x="298"/>
        <item x="409"/>
        <item x="243"/>
        <item x="327"/>
        <item x="328"/>
        <item x="187"/>
        <item x="246"/>
        <item x="349"/>
        <item x="55"/>
        <item x="330"/>
        <item x="103"/>
        <item x="204"/>
        <item x="222"/>
        <item x="143"/>
        <item x="159"/>
        <item x="296"/>
        <item x="199"/>
        <item x="178"/>
        <item x="348"/>
        <item x="228"/>
        <item x="257"/>
        <item x="347"/>
        <item x="346"/>
        <item x="351"/>
        <item x="4"/>
        <item x="23"/>
        <item x="139"/>
        <item x="322"/>
        <item x="52"/>
        <item x="392"/>
        <item x="17"/>
        <item x="115"/>
        <item x="292"/>
        <item x="370"/>
        <item x="120"/>
        <item x="79"/>
        <item x="135"/>
        <item x="253"/>
        <item x="108"/>
        <item x="247"/>
        <item x="81"/>
        <item x="25"/>
        <item x="211"/>
        <item x="215"/>
        <item x="2"/>
        <item x="74"/>
        <item x="162"/>
        <item x="11"/>
        <item x="393"/>
        <item x="36"/>
        <item x="118"/>
        <item x="256"/>
        <item x="21"/>
        <item x="273"/>
        <item x="152"/>
        <item x="122"/>
        <item x="175"/>
        <item x="350"/>
        <item x="376"/>
        <item x="93"/>
        <item x="337"/>
        <item x="300"/>
        <item x="242"/>
        <item x="54"/>
        <item x="396"/>
        <item x="315"/>
        <item x="209"/>
        <item x="283"/>
        <item x="101"/>
        <item x="365"/>
        <item x="390"/>
        <item x="18"/>
        <item x="27"/>
        <item x="30"/>
        <item x="218"/>
        <item x="341"/>
        <item x="137"/>
        <item x="276"/>
        <item x="406"/>
        <item x="150"/>
        <item x="214"/>
        <item x="220"/>
        <item x="181"/>
        <item x="154"/>
        <item x="314"/>
        <item x="308"/>
        <item x="398"/>
        <item x="5"/>
        <item x="160"/>
        <item x="83"/>
        <item x="85"/>
        <item x="244"/>
        <item x="321"/>
        <item x="26"/>
        <item x="50"/>
        <item x="196"/>
        <item x="342"/>
        <item x="60"/>
        <item x="304"/>
        <item x="361"/>
        <item x="207"/>
        <item x="109"/>
        <item x="53"/>
        <item x="391"/>
        <item x="206"/>
        <item x="258"/>
        <item x="230"/>
        <item x="417"/>
        <item x="419"/>
        <item x="423"/>
        <item x="424"/>
        <item x="426"/>
        <item x="427"/>
        <item x="385"/>
        <item x="425"/>
        <item x="431"/>
        <item x="432"/>
        <item x="433"/>
        <item x="435"/>
        <item x="436"/>
        <item x="437"/>
        <item x="439"/>
        <item x="441"/>
        <item x="442"/>
        <item x="443"/>
        <item x="444"/>
        <item x="86"/>
        <item x="107"/>
        <item x="114"/>
        <item x="129"/>
        <item x="177"/>
        <item x="183"/>
        <item x="184"/>
        <item x="185"/>
        <item x="195"/>
        <item x="201"/>
        <item x="226"/>
        <item x="238"/>
        <item x="245"/>
        <item x="249"/>
        <item x="261"/>
        <item x="265"/>
        <item x="274"/>
        <item x="275"/>
        <item x="277"/>
        <item x="289"/>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6"/>
        <item m="1" x="487"/>
        <item m="1" x="488"/>
        <item x="445"/>
        <item x="446"/>
        <item x="447"/>
        <item x="448"/>
        <item m="1" x="485"/>
        <item x="449"/>
        <item x="450"/>
        <item x="451"/>
        <item x="452"/>
        <item x="323"/>
        <item x="366"/>
        <item x="367"/>
        <item x="371"/>
        <item x="372"/>
        <item x="373"/>
        <item x="378"/>
        <item x="380"/>
        <item x="382"/>
        <item x="383"/>
        <item x="384"/>
        <item x="386"/>
        <item x="387"/>
        <item x="388"/>
        <item x="389"/>
        <item x="394"/>
        <item x="395"/>
        <item x="400"/>
        <item x="405"/>
        <item x="410"/>
        <item x="411"/>
        <item x="412"/>
        <item x="413"/>
        <item x="414"/>
        <item x="415"/>
        <item x="418"/>
        <item x="420"/>
        <item x="421"/>
        <item x="422"/>
        <item x="428"/>
        <item x="429"/>
        <item x="430"/>
        <item x="434"/>
        <item x="438"/>
        <item x="440"/>
        <item x="4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48">
        <item h="1" x="59"/>
        <item h="1" x="61"/>
        <item h="1" x="112"/>
        <item h="1" x="135"/>
        <item h="1" x="150"/>
        <item h="1" x="151"/>
        <item h="1" x="1"/>
        <item h="1" x="63"/>
        <item h="1" x="76"/>
        <item h="1" x="97"/>
        <item h="1" x="136"/>
        <item h="1" x="152"/>
        <item h="1" x="19"/>
        <item h="1" x="171"/>
        <item h="1" m="1" x="246"/>
        <item h="1" x="43"/>
        <item h="1" x="64"/>
        <item h="1" x="90"/>
        <item h="1" x="137"/>
        <item h="1" x="153"/>
        <item h="1" x="167"/>
        <item h="1" x="14"/>
        <item h="1" x="179"/>
        <item h="1" x="47"/>
        <item h="1" x="66"/>
        <item h="1" x="98"/>
        <item h="1" x="99"/>
        <item h="1" x="124"/>
        <item h="1" x="2"/>
        <item h="1" x="11"/>
        <item h="1" x="199"/>
        <item h="1" x="77"/>
        <item h="1" x="125"/>
        <item h="1" x="4"/>
        <item h="1" x="13"/>
        <item h="1" x="180"/>
        <item h="1" x="6"/>
        <item h="1" x="21"/>
        <item h="1" x="185"/>
        <item h="1" x="38"/>
        <item h="1" x="78"/>
        <item h="1" x="101"/>
        <item h="1" x="140"/>
        <item h="1" x="155"/>
        <item h="1" x="5"/>
        <item h="1" x="166"/>
        <item h="1" x="22"/>
        <item h="1" x="186"/>
        <item h="1" x="39"/>
        <item h="1" x="79"/>
        <item h="1" x="114"/>
        <item h="1" x="126"/>
        <item h="1" x="168"/>
        <item h="1" x="23"/>
        <item h="1" x="187"/>
        <item h="1" x="62"/>
        <item h="1" x="80"/>
        <item h="1" x="115"/>
        <item h="1" x="123"/>
        <item h="1" x="138"/>
        <item h="1" x="181"/>
        <item h="1" x="24"/>
        <item h="1" x="67"/>
        <item h="1" x="81"/>
        <item h="1" x="139"/>
        <item h="1" x="16"/>
        <item h="1" x="25"/>
        <item h="1" x="40"/>
        <item h="1" x="68"/>
        <item h="1" x="102"/>
        <item h="1" x="111"/>
        <item h="1" x="157"/>
        <item h="1" x="169"/>
        <item h="1" x="15"/>
        <item h="1" x="57"/>
        <item h="1" x="117"/>
        <item h="1" x="127"/>
        <item h="1" x="170"/>
        <item h="1" x="10"/>
        <item h="1" x="182"/>
        <item h="1" x="52"/>
        <item h="1" x="82"/>
        <item h="1" x="100"/>
        <item h="1" x="103"/>
        <item h="1" x="141"/>
        <item h="1" x="142"/>
        <item h="1" x="7"/>
        <item h="1" x="17"/>
        <item h="1" x="26"/>
        <item h="1" x="41"/>
        <item h="1" x="104"/>
        <item h="1" x="129"/>
        <item h="1" x="172"/>
        <item h="1" x="20"/>
        <item h="1" x="27"/>
        <item h="1" x="42"/>
        <item h="1" x="51"/>
        <item h="1" x="69"/>
        <item h="1" x="70"/>
        <item h="1" x="83"/>
        <item h="1" x="85"/>
        <item h="1" x="8"/>
        <item h="1" x="28"/>
        <item h="1" x="12"/>
        <item h="1" x="65"/>
        <item h="1" x="84"/>
        <item h="1" x="143"/>
        <item h="1" x="29"/>
        <item h="1" x="190"/>
        <item h="1" x="3"/>
        <item h="1" x="71"/>
        <item h="1" x="86"/>
        <item h="1" x="105"/>
        <item h="1" x="106"/>
        <item h="1" x="113"/>
        <item h="1" x="118"/>
        <item h="1" x="144"/>
        <item h="1" x="30"/>
        <item h="1" x="44"/>
        <item h="1" x="53"/>
        <item h="1" x="72"/>
        <item h="1" x="108"/>
        <item h="1" x="119"/>
        <item h="1" x="183"/>
        <item h="1" x="54"/>
        <item h="1" x="107"/>
        <item h="1" x="128"/>
        <item h="1" x="145"/>
        <item h="1" x="173"/>
        <item h="1" x="18"/>
        <item h="1" x="191"/>
        <item h="1" x="55"/>
        <item h="1" x="87"/>
        <item h="1" x="88"/>
        <item h="1" x="146"/>
        <item h="1" x="184"/>
        <item h="1" x="31"/>
        <item h="1" x="45"/>
        <item h="1" x="56"/>
        <item h="1" x="91"/>
        <item h="1" x="130"/>
        <item h="1" x="154"/>
        <item h="1" x="159"/>
        <item h="1" x="32"/>
        <item h="1" x="46"/>
        <item h="1" x="92"/>
        <item h="1" x="131"/>
        <item h="1" x="158"/>
        <item h="1" x="161"/>
        <item h="1" x="33"/>
        <item h="1" x="93"/>
        <item h="1" x="162"/>
        <item h="1" x="9"/>
        <item h="1" x="34"/>
        <item h="1" x="48"/>
        <item h="1" x="73"/>
        <item h="1" x="120"/>
        <item h="1" x="147"/>
        <item h="1" x="35"/>
        <item h="1" x="49"/>
        <item h="1" x="74"/>
        <item h="1" x="109"/>
        <item h="1" x="121"/>
        <item h="1" x="110"/>
        <item h="1" x="132"/>
        <item h="1" x="148"/>
        <item h="1" x="174"/>
        <item h="1" x="58"/>
        <item h="1" x="133"/>
        <item h="1" x="156"/>
        <item h="1" x="175"/>
        <item h="1" x="36"/>
        <item h="1" x="50"/>
        <item h="1" x="94"/>
        <item h="1" x="116"/>
        <item h="1" x="160"/>
        <item h="1" x="163"/>
        <item h="1" x="176"/>
        <item h="1" x="37"/>
        <item h="1" x="195"/>
        <item h="1" x="95"/>
        <item h="1" x="89"/>
        <item h="1" x="165"/>
        <item h="1" x="177"/>
        <item h="1" x="96"/>
        <item h="1" x="134"/>
        <item h="1" x="149"/>
        <item h="1" x="164"/>
        <item h="1" x="75"/>
        <item h="1" x="122"/>
        <item h="1" x="60"/>
        <item h="1" x="197"/>
        <item h="1" x="203"/>
        <item h="1" x="204"/>
        <item h="1" x="205"/>
        <item h="1" x="210"/>
        <item h="1" x="213"/>
        <item h="1" x="214"/>
        <item h="1" x="215"/>
        <item h="1" x="216"/>
        <item h="1" x="217"/>
        <item h="1" x="218"/>
        <item h="1" x="220"/>
        <item h="1" x="222"/>
        <item h="1" x="223"/>
        <item h="1" x="225"/>
        <item h="1" x="0"/>
        <item h="1" m="1" x="235"/>
        <item h="1" m="1" x="236"/>
        <item h="1" m="1" x="237"/>
        <item h="1" m="1" x="238"/>
        <item h="1" m="1" x="239"/>
        <item h="1" m="1" x="240"/>
        <item h="1" m="1" x="241"/>
        <item h="1" m="1" x="242"/>
        <item h="1" m="1" x="245"/>
        <item h="1" x="211"/>
        <item h="1" x="226"/>
        <item h="1" x="227"/>
        <item h="1" x="178"/>
        <item h="1" x="224"/>
        <item h="1" x="228"/>
        <item x="206"/>
        <item m="1" x="234"/>
        <item h="1" m="1" x="244"/>
        <item x="229"/>
        <item h="1" m="1" x="243"/>
        <item x="230"/>
        <item h="1" x="188"/>
        <item h="1" x="189"/>
        <item h="1" x="192"/>
        <item h="1" x="193"/>
        <item h="1" x="194"/>
        <item h="1" x="196"/>
        <item h="1" x="198"/>
        <item h="1" x="200"/>
        <item h="1" x="201"/>
        <item h="1" x="202"/>
        <item h="1" x="207"/>
        <item h="1" x="208"/>
        <item h="1" x="209"/>
        <item h="1" x="212"/>
        <item h="1" x="219"/>
        <item h="1" x="221"/>
        <item x="231"/>
        <item x="232"/>
        <item x="233"/>
        <item t="default"/>
      </items>
    </pivotField>
    <pivotField showAll="0"/>
    <pivotField showAll="0"/>
    <pivotField showAll="0"/>
    <pivotField showAll="0"/>
    <pivotField showAll="0"/>
    <pivotField showAll="0"/>
    <pivotField showAll="0"/>
    <pivotField showAll="0"/>
    <pivotField dataField="1" showAll="0"/>
  </pivotFields>
  <rowFields count="1">
    <field x="6"/>
  </rowFields>
  <rowItems count="1">
    <i t="grand">
      <x/>
    </i>
  </rowItems>
  <colItems count="1">
    <i/>
  </colItems>
  <pageFields count="2">
    <pageField fld="0" hier="-1"/>
    <pageField fld="33" hier="-1"/>
  </pageFields>
  <dataFields count="1">
    <dataField name="Soma de Qdte" fld="4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Tabela dinâmica13"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22:X26" firstHeaderRow="1" firstDataRow="1" firstDataCol="1" rowPageCount="2" colPageCount="1"/>
  <pivotFields count="50">
    <pivotField axis="axisPage" multipleItemSelectionAllowed="1" showAll="0">
      <items count="5">
        <item h="1" x="1"/>
        <item h="1" x="0"/>
        <item h="1" x="2"/>
        <item x="3"/>
        <item t="default"/>
      </items>
    </pivotField>
    <pivotField showAll="0"/>
    <pivotField showAll="0"/>
    <pivotField showAll="0"/>
    <pivotField showAll="0"/>
    <pivotField showAll="0"/>
    <pivotField axis="axisRow" showAll="0">
      <items count="712">
        <item x="108"/>
        <item x="432"/>
        <item x="506"/>
        <item x="276"/>
        <item x="529"/>
        <item x="525"/>
        <item x="620"/>
        <item x="397"/>
        <item x="112"/>
        <item x="105"/>
        <item x="437"/>
        <item x="83"/>
        <item x="212"/>
        <item x="88"/>
        <item x="82"/>
        <item x="469"/>
        <item x="350"/>
        <item x="42"/>
        <item x="480"/>
        <item x="504"/>
        <item x="316"/>
        <item x="311"/>
        <item x="347"/>
        <item x="629"/>
        <item m="1" x="708"/>
        <item x="618"/>
        <item x="375"/>
        <item x="142"/>
        <item x="8"/>
        <item x="368"/>
        <item x="63"/>
        <item x="230"/>
        <item x="348"/>
        <item x="235"/>
        <item x="459"/>
        <item x="164"/>
        <item x="168"/>
        <item x="228"/>
        <item x="240"/>
        <item x="373"/>
        <item x="658"/>
        <item x="457"/>
        <item x="649"/>
        <item x="591"/>
        <item x="120"/>
        <item x="136"/>
        <item x="426"/>
        <item x="165"/>
        <item x="278"/>
        <item x="282"/>
        <item x="454"/>
        <item x="486"/>
        <item x="447"/>
        <item x="190"/>
        <item x="180"/>
        <item x="361"/>
        <item x="298"/>
        <item x="414"/>
        <item x="119"/>
        <item x="52"/>
        <item x="56"/>
        <item x="339"/>
        <item x="326"/>
        <item x="532"/>
        <item x="410"/>
        <item x="597"/>
        <item x="613"/>
        <item x="385"/>
        <item x="170"/>
        <item x="169"/>
        <item x="489"/>
        <item x="545"/>
        <item x="564"/>
        <item x="556"/>
        <item x="303"/>
        <item x="557"/>
        <item x="239"/>
        <item x="10"/>
        <item x="9"/>
        <item x="558"/>
        <item x="547"/>
        <item x="508"/>
        <item x="600"/>
        <item x="448"/>
        <item x="641"/>
        <item x="309"/>
        <item x="248"/>
        <item x="393"/>
        <item x="630"/>
        <item x="493"/>
        <item x="236"/>
        <item x="611"/>
        <item x="623"/>
        <item x="272"/>
        <item x="519"/>
        <item x="619"/>
        <item x="340"/>
        <item x="362"/>
        <item x="57"/>
        <item x="395"/>
        <item x="639"/>
        <item x="631"/>
        <item x="399"/>
        <item x="406"/>
        <item x="602"/>
        <item x="182"/>
        <item x="183"/>
        <item x="238"/>
        <item x="219"/>
        <item x="513"/>
        <item x="503"/>
        <item x="505"/>
        <item x="141"/>
        <item x="192"/>
        <item x="428"/>
        <item x="55"/>
        <item x="43"/>
        <item x="100"/>
        <item x="606"/>
        <item x="570"/>
        <item x="81"/>
        <item x="370"/>
        <item x="137"/>
        <item x="376"/>
        <item x="377"/>
        <item x="274"/>
        <item x="275"/>
        <item x="247"/>
        <item x="91"/>
        <item x="3"/>
        <item x="551"/>
        <item x="550"/>
        <item x="435"/>
        <item x="154"/>
        <item x="157"/>
        <item x="151"/>
        <item x="264"/>
        <item x="254"/>
        <item x="379"/>
        <item x="263"/>
        <item x="253"/>
        <item x="472"/>
        <item x="194"/>
        <item x="424"/>
        <item x="271"/>
        <item x="261"/>
        <item x="84"/>
        <item x="341"/>
        <item x="458"/>
        <item x="444"/>
        <item x="582"/>
        <item x="111"/>
        <item x="419"/>
        <item x="387"/>
        <item x="487"/>
        <item x="452"/>
        <item x="383"/>
        <item x="352"/>
        <item x="563"/>
        <item x="522"/>
        <item x="342"/>
        <item x="590"/>
        <item x="509"/>
        <item x="603"/>
        <item x="132"/>
        <item x="133"/>
        <item x="104"/>
        <item x="571"/>
        <item x="467"/>
        <item x="531"/>
        <item x="660"/>
        <item x="331"/>
        <item x="332"/>
        <item x="330"/>
        <item x="109"/>
        <item x="75"/>
        <item x="156"/>
        <item x="507"/>
        <item x="134"/>
        <item x="32"/>
        <item x="499"/>
        <item x="93"/>
        <item x="36"/>
        <item x="446"/>
        <item x="224"/>
        <item x="367"/>
        <item x="366"/>
        <item x="233"/>
        <item x="193"/>
        <item x="401"/>
        <item x="538"/>
        <item x="552"/>
        <item x="50"/>
        <item x="345"/>
        <item x="314"/>
        <item x="280"/>
        <item x="292"/>
        <item x="288"/>
        <item x="647"/>
        <item x="628"/>
        <item x="343"/>
        <item x="269"/>
        <item x="18"/>
        <item x="19"/>
        <item x="593"/>
        <item x="234"/>
        <item x="262"/>
        <item x="31"/>
        <item x="304"/>
        <item x="46"/>
        <item x="49"/>
        <item x="1"/>
        <item x="62"/>
        <item x="210"/>
        <item x="14"/>
        <item x="638"/>
        <item x="565"/>
        <item x="396"/>
        <item x="636"/>
        <item x="455"/>
        <item x="561"/>
        <item x="106"/>
        <item x="644"/>
        <item x="67"/>
        <item x="200"/>
        <item x="107"/>
        <item x="25"/>
        <item x="580"/>
        <item x="666"/>
        <item x="199"/>
        <item x="485"/>
        <item x="436"/>
        <item x="90"/>
        <item x="171"/>
        <item x="335"/>
        <item x="110"/>
        <item x="125"/>
        <item x="123"/>
        <item x="77"/>
        <item x="661"/>
        <item x="588"/>
        <item x="294"/>
        <item x="461"/>
        <item x="167"/>
        <item x="166"/>
        <item x="265"/>
        <item x="317"/>
        <item x="257"/>
        <item x="251"/>
        <item x="502"/>
        <item x="411"/>
        <item x="498"/>
        <item x="662"/>
        <item x="598"/>
        <item x="653"/>
        <item x="187"/>
        <item x="555"/>
        <item x="363"/>
        <item x="101"/>
        <item x="474"/>
        <item x="152"/>
        <item x="175"/>
        <item x="530"/>
        <item x="421"/>
        <item x="351"/>
        <item x="554"/>
        <item x="510"/>
        <item x="99"/>
        <item x="250"/>
        <item x="45"/>
        <item x="211"/>
        <item x="214"/>
        <item x="213"/>
        <item x="7"/>
        <item x="174"/>
        <item x="186"/>
        <item x="604"/>
        <item x="135"/>
        <item x="30"/>
        <item x="27"/>
        <item x="122"/>
        <item x="121"/>
        <item x="98"/>
        <item x="209"/>
        <item x="409"/>
        <item x="71"/>
        <item x="129"/>
        <item x="441"/>
        <item x="44"/>
        <item x="542"/>
        <item x="541"/>
        <item x="496"/>
        <item x="185"/>
        <item x="609"/>
        <item x="626"/>
        <item x="464"/>
        <item x="216"/>
        <item x="215"/>
        <item x="20"/>
        <item x="533"/>
        <item x="4"/>
        <item x="601"/>
        <item x="433"/>
        <item x="442"/>
        <item x="659"/>
        <item x="577"/>
        <item x="324"/>
        <item x="534"/>
        <item x="610"/>
        <item x="466"/>
        <item x="465"/>
        <item x="365"/>
        <item x="270"/>
        <item x="255"/>
        <item x="310"/>
        <item x="287"/>
        <item x="544"/>
        <item x="494"/>
        <item x="188"/>
        <item x="222"/>
        <item x="460"/>
        <item x="665"/>
        <item x="635"/>
        <item x="471"/>
        <item x="28"/>
        <item x="527"/>
        <item x="528"/>
        <item x="624"/>
        <item x="434"/>
        <item x="497"/>
        <item x="344"/>
        <item m="1" x="706"/>
        <item x="643"/>
        <item x="456"/>
        <item x="518"/>
        <item x="657"/>
        <item x="574"/>
        <item x="622"/>
        <item x="97"/>
        <item x="479"/>
        <item x="89"/>
        <item x="48"/>
        <item x="245"/>
        <item x="346"/>
        <item x="244"/>
        <item x="543"/>
        <item x="289"/>
        <item x="408"/>
        <item x="300"/>
        <item x="490"/>
        <item x="654"/>
        <item x="371"/>
        <item x="158"/>
        <item x="559"/>
        <item x="404"/>
        <item x="407"/>
        <item x="546"/>
        <item x="470"/>
        <item x="59"/>
        <item x="443"/>
        <item x="356"/>
        <item x="595"/>
        <item x="634"/>
        <item x="594"/>
        <item x="440"/>
        <item x="95"/>
        <item x="6"/>
        <item x="308"/>
        <item x="491"/>
        <item x="608"/>
        <item x="40"/>
        <item x="315"/>
        <item x="260"/>
        <item x="259"/>
        <item x="585"/>
        <item x="573"/>
        <item x="319"/>
        <item x="537"/>
        <item x="584"/>
        <item x="60"/>
        <item x="355"/>
        <item m="1" x="709"/>
        <item x="76"/>
        <item x="572"/>
        <item x="663"/>
        <item x="286"/>
        <item x="285"/>
        <item x="575"/>
        <item x="380"/>
        <item x="567"/>
        <item x="524"/>
        <item x="521"/>
        <item x="500"/>
        <item x="389"/>
        <item x="420"/>
        <item x="390"/>
        <item x="616"/>
        <item x="218"/>
        <item x="72"/>
        <item x="41"/>
        <item x="484"/>
        <item x="17"/>
        <item x="26"/>
        <item x="301"/>
        <item x="632"/>
        <item x="208"/>
        <item x="207"/>
        <item x="150"/>
        <item x="138"/>
        <item x="191"/>
        <item x="295"/>
        <item x="627"/>
        <item x="198"/>
        <item x="184"/>
        <item x="576"/>
        <item x="462"/>
        <item x="54"/>
        <item x="569"/>
        <item x="256"/>
        <item x="450"/>
        <item x="405"/>
        <item x="422"/>
        <item x="667"/>
        <item x="163"/>
        <item x="427"/>
        <item x="431"/>
        <item x="645"/>
        <item x="201"/>
        <item x="53"/>
        <item x="400"/>
        <item x="512"/>
        <item x="162"/>
        <item x="161"/>
        <item x="398"/>
        <item x="553"/>
        <item x="246"/>
        <item x="22"/>
        <item x="12"/>
        <item x="514"/>
        <item x="463"/>
        <item x="302"/>
        <item x="299"/>
        <item x="69"/>
        <item x="79"/>
        <item x="607"/>
        <item x="599"/>
        <item x="587"/>
        <item m="1" x="707"/>
        <item x="353"/>
        <item x="231"/>
        <item x="241"/>
        <item x="242"/>
        <item x="80"/>
        <item x="179"/>
        <item x="354"/>
        <item x="475"/>
        <item x="621"/>
        <item x="413"/>
        <item x="664"/>
        <item x="517"/>
        <item x="78"/>
        <item x="86"/>
        <item x="85"/>
        <item x="453"/>
        <item x="384"/>
        <item x="526"/>
        <item x="70"/>
        <item x="625"/>
        <item x="349"/>
        <item x="651"/>
        <item x="306"/>
        <item x="305"/>
        <item x="181"/>
        <item x="139"/>
        <item x="418"/>
        <item x="87"/>
        <item x="417"/>
        <item x="113"/>
        <item x="416"/>
        <item x="283"/>
        <item x="266"/>
        <item x="2"/>
        <item x="614"/>
        <item x="312"/>
        <item x="425"/>
        <item x="74"/>
        <item x="73"/>
        <item x="313"/>
        <item x="492"/>
        <item x="520"/>
        <item x="16"/>
        <item x="21"/>
        <item x="118"/>
        <item x="178"/>
        <item x="153"/>
        <item x="415"/>
        <item x="29"/>
        <item x="394"/>
        <item x="562"/>
        <item x="583"/>
        <item x="229"/>
        <item x="15"/>
        <item x="281"/>
        <item x="284"/>
        <item x="38"/>
        <item x="539"/>
        <item x="642"/>
        <item x="258"/>
        <item x="102"/>
        <item x="640"/>
        <item x="114"/>
        <item x="116"/>
        <item x="115"/>
        <item x="392"/>
        <item x="61"/>
        <item x="612"/>
        <item x="652"/>
        <item x="386"/>
        <item x="391"/>
        <item x="579"/>
        <item x="252"/>
        <item x="388"/>
        <item x="540"/>
        <item x="372"/>
        <item x="143"/>
        <item x="144"/>
        <item x="155"/>
        <item x="438"/>
        <item x="646"/>
        <item x="478"/>
        <item x="439"/>
        <item x="429"/>
        <item x="374"/>
        <item x="33"/>
        <item x="359"/>
        <item x="596"/>
        <item x="637"/>
        <item x="51"/>
        <item x="445"/>
        <item x="225"/>
        <item x="358"/>
        <item x="648"/>
        <item x="323"/>
        <item x="159"/>
        <item x="160"/>
        <item x="307"/>
        <item x="296"/>
        <item x="221"/>
        <item x="412"/>
        <item x="195"/>
        <item x="196"/>
        <item x="291"/>
        <item x="290"/>
        <item x="232"/>
        <item x="615"/>
        <item x="249"/>
        <item m="1" x="705"/>
        <item x="511"/>
        <item x="581"/>
        <item x="131"/>
        <item x="126"/>
        <item x="515"/>
        <item x="277"/>
        <item x="430"/>
        <item x="92"/>
        <item x="589"/>
        <item x="66"/>
        <item x="333"/>
        <item x="205"/>
        <item x="35"/>
        <item x="39"/>
        <item x="37"/>
        <item x="279"/>
        <item x="488"/>
        <item x="699"/>
        <item x="360"/>
        <item x="128"/>
        <item x="481"/>
        <item x="402"/>
        <item x="103"/>
        <item x="476"/>
        <item x="449"/>
        <item x="605"/>
        <item x="369"/>
        <item x="220"/>
        <item x="96"/>
        <item x="560"/>
        <item x="334"/>
        <item x="124"/>
        <item x="318"/>
        <item x="633"/>
        <item x="130"/>
        <item x="297"/>
        <item x="24"/>
        <item x="23"/>
        <item x="423"/>
        <item x="592"/>
        <item x="482"/>
        <item x="483"/>
        <item x="477"/>
        <item x="68"/>
        <item x="501"/>
        <item x="0"/>
        <item x="204"/>
        <item x="203"/>
        <item x="206"/>
        <item x="655"/>
        <item x="268"/>
        <item x="237"/>
        <item x="338"/>
        <item x="337"/>
        <item x="656"/>
        <item x="403"/>
        <item x="58"/>
        <item x="223"/>
        <item x="617"/>
        <item x="202"/>
        <item x="127"/>
        <item x="293"/>
        <item x="468"/>
        <item x="322"/>
        <item x="226"/>
        <item x="94"/>
        <item x="586"/>
        <item x="145"/>
        <item x="336"/>
        <item x="566"/>
        <item m="1" x="710"/>
        <item x="578"/>
        <item x="227"/>
        <item x="243"/>
        <item x="548"/>
        <item x="5"/>
        <item x="495"/>
        <item x="321"/>
        <item x="325"/>
        <item x="381"/>
        <item x="13"/>
        <item x="11"/>
        <item x="535"/>
        <item x="47"/>
        <item x="516"/>
        <item x="328"/>
        <item x="329"/>
        <item x="327"/>
        <item x="364"/>
        <item x="568"/>
        <item x="536"/>
        <item x="382"/>
        <item x="217"/>
        <item x="273"/>
        <item x="197"/>
        <item x="189"/>
        <item x="473"/>
        <item x="34"/>
        <item x="65"/>
        <item x="523"/>
        <item x="64"/>
        <item x="378"/>
        <item x="549"/>
        <item x="267"/>
        <item x="117"/>
        <item x="147"/>
        <item x="140"/>
        <item x="146"/>
        <item x="173"/>
        <item x="172"/>
        <item x="177"/>
        <item x="176"/>
        <item x="149"/>
        <item x="148"/>
        <item x="357"/>
        <item x="320"/>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43">
        <item h="1" x="0"/>
        <item h="1" x="100"/>
        <item h="1" x="73"/>
        <item h="1" x="170"/>
        <item h="1" x="162"/>
        <item h="1" x="45"/>
        <item h="1" x="163"/>
        <item h="1" x="18"/>
        <item h="1" x="112"/>
        <item h="1" x="2"/>
        <item h="1" x="164"/>
        <item h="1" x="41"/>
        <item h="1" x="46"/>
        <item h="1" x="211"/>
        <item h="1" x="136"/>
        <item h="1" x="17"/>
        <item h="1" x="139"/>
        <item h="1" x="160"/>
        <item h="1" x="103"/>
        <item h="1" x="110"/>
        <item h="1" x="124"/>
        <item h="1" x="184"/>
        <item h="1" x="51"/>
        <item h="1" x="76"/>
        <item h="1" x="231"/>
        <item h="1" x="228"/>
        <item h="1" x="84"/>
        <item h="1" x="229"/>
        <item h="1" x="64"/>
        <item h="1" x="119"/>
        <item h="1" x="58"/>
        <item h="1" x="190"/>
        <item h="1" x="131"/>
        <item h="1" x="158"/>
        <item h="1" x="120"/>
        <item h="1" x="208"/>
        <item h="1" x="153"/>
        <item h="1" x="154"/>
        <item h="1" x="189"/>
        <item h="1" x="37"/>
        <item h="1" x="38"/>
        <item h="1" x="1"/>
        <item h="1" x="3"/>
        <item h="1" x="4"/>
        <item h="1" x="5"/>
        <item h="1" x="6"/>
        <item h="1" x="7"/>
        <item h="1" x="8"/>
        <item h="1" x="9"/>
        <item h="1" x="10"/>
        <item h="1" x="11"/>
        <item h="1" x="12"/>
        <item h="1" x="13"/>
        <item h="1" x="14"/>
        <item h="1" x="15"/>
        <item h="1" x="16"/>
        <item h="1" x="19"/>
        <item h="1" x="20"/>
        <item h="1" x="21"/>
        <item h="1" x="22"/>
        <item h="1" x="23"/>
        <item h="1" x="24"/>
        <item h="1" x="25"/>
        <item h="1" x="26"/>
        <item h="1" x="27"/>
        <item h="1" x="28"/>
        <item h="1" x="29"/>
        <item h="1" x="30"/>
        <item h="1" x="31"/>
        <item h="1" x="32"/>
        <item h="1" x="33"/>
        <item h="1" x="34"/>
        <item h="1" x="35"/>
        <item h="1" x="36"/>
        <item h="1" x="39"/>
        <item h="1" x="40"/>
        <item h="1" x="42"/>
        <item h="1" x="43"/>
        <item h="1" x="44"/>
        <item h="1" x="47"/>
        <item h="1" x="48"/>
        <item h="1" x="49"/>
        <item h="1" x="50"/>
        <item h="1" x="52"/>
        <item h="1" x="53"/>
        <item h="1" x="54"/>
        <item h="1" x="55"/>
        <item h="1" x="56"/>
        <item h="1" x="57"/>
        <item h="1" x="59"/>
        <item h="1" x="60"/>
        <item h="1" x="61"/>
        <item h="1" x="62"/>
        <item h="1" x="63"/>
        <item h="1" x="65"/>
        <item h="1" x="66"/>
        <item h="1" x="67"/>
        <item h="1" x="68"/>
        <item h="1" x="69"/>
        <item h="1" x="70"/>
        <item h="1" x="71"/>
        <item h="1" x="72"/>
        <item h="1" x="74"/>
        <item h="1" x="75"/>
        <item h="1" x="77"/>
        <item h="1" x="78"/>
        <item h="1" x="79"/>
        <item h="1" x="80"/>
        <item h="1" x="81"/>
        <item h="1" x="82"/>
        <item h="1" x="83"/>
        <item h="1" x="85"/>
        <item h="1" x="86"/>
        <item h="1" x="87"/>
        <item h="1" x="88"/>
        <item h="1" x="89"/>
        <item h="1" x="90"/>
        <item h="1" x="91"/>
        <item h="1" x="92"/>
        <item h="1" x="93"/>
        <item h="1" x="94"/>
        <item h="1" x="95"/>
        <item h="1" x="96"/>
        <item h="1" x="97"/>
        <item h="1" x="98"/>
        <item h="1" x="99"/>
        <item h="1" x="101"/>
        <item h="1" x="102"/>
        <item h="1" x="104"/>
        <item h="1" x="105"/>
        <item h="1" x="106"/>
        <item h="1" x="107"/>
        <item h="1" x="108"/>
        <item h="1" x="109"/>
        <item h="1" x="111"/>
        <item h="1" x="113"/>
        <item h="1" x="114"/>
        <item h="1" x="115"/>
        <item h="1" x="116"/>
        <item h="1" x="117"/>
        <item h="1" x="118"/>
        <item h="1" x="121"/>
        <item h="1" x="122"/>
        <item h="1" x="123"/>
        <item h="1" x="125"/>
        <item h="1" x="126"/>
        <item h="1" x="127"/>
        <item h="1" x="128"/>
        <item h="1" x="129"/>
        <item h="1" x="130"/>
        <item h="1" x="132"/>
        <item h="1" x="133"/>
        <item h="1" x="134"/>
        <item h="1" x="135"/>
        <item h="1" x="137"/>
        <item h="1" x="138"/>
        <item h="1" x="140"/>
        <item h="1" x="141"/>
        <item h="1" x="142"/>
        <item h="1" x="143"/>
        <item h="1" x="144"/>
        <item h="1" x="145"/>
        <item h="1" x="146"/>
        <item h="1" x="147"/>
        <item h="1" x="148"/>
        <item h="1" x="149"/>
        <item h="1" x="150"/>
        <item h="1" x="151"/>
        <item h="1" x="152"/>
        <item h="1" x="155"/>
        <item h="1" x="156"/>
        <item h="1" x="157"/>
        <item h="1" x="159"/>
        <item h="1" x="161"/>
        <item h="1" x="165"/>
        <item h="1" x="166"/>
        <item h="1" x="167"/>
        <item h="1" x="168"/>
        <item h="1" x="169"/>
        <item h="1" x="171"/>
        <item h="1" x="172"/>
        <item h="1" x="173"/>
        <item h="1" x="174"/>
        <item h="1" x="175"/>
        <item h="1" x="176"/>
        <item h="1" x="177"/>
        <item h="1" x="178"/>
        <item h="1" x="179"/>
        <item h="1" x="180"/>
        <item h="1" x="181"/>
        <item h="1" x="182"/>
        <item h="1" x="183"/>
        <item h="1" x="185"/>
        <item h="1" x="186"/>
        <item h="1" x="187"/>
        <item h="1" x="188"/>
        <item h="1" x="191"/>
        <item h="1" x="192"/>
        <item h="1" x="193"/>
        <item h="1" x="194"/>
        <item h="1" x="195"/>
        <item h="1" x="196"/>
        <item h="1" x="197"/>
        <item x="198"/>
        <item h="1" x="199"/>
        <item h="1" x="200"/>
        <item h="1" x="201"/>
        <item h="1" x="202"/>
        <item h="1" x="203"/>
        <item h="1" x="209"/>
        <item h="1" x="205"/>
        <item h="1" x="206"/>
        <item h="1" x="207"/>
        <item h="1" x="210"/>
        <item h="1" x="212"/>
        <item h="1" x="213"/>
        <item h="1" x="214"/>
        <item h="1" x="215"/>
        <item h="1" x="216"/>
        <item h="1" x="217"/>
        <item h="1" x="218"/>
        <item h="1" x="219"/>
        <item h="1" x="220"/>
        <item h="1" x="221"/>
        <item h="1" x="222"/>
        <item h="1" x="223"/>
        <item h="1" x="224"/>
        <item h="1" x="225"/>
        <item h="1" x="226"/>
        <item h="1" x="227"/>
        <item h="1" x="230"/>
        <item h="1" x="232"/>
        <item h="1" x="233"/>
        <item m="1" x="241"/>
        <item x="236"/>
        <item x="237"/>
        <item x="204"/>
        <item x="235"/>
        <item x="238"/>
        <item x="239"/>
        <item x="240"/>
        <item x="234"/>
        <item t="default"/>
      </items>
    </pivotField>
    <pivotField showAll="0"/>
    <pivotField showAll="0"/>
    <pivotField showAll="0"/>
    <pivotField showAll="0"/>
    <pivotField showAll="0"/>
    <pivotField showAll="0"/>
    <pivotField showAll="0"/>
    <pivotField dataField="1" showAll="0"/>
  </pivotFields>
  <rowFields count="1">
    <field x="6"/>
  </rowFields>
  <rowItems count="4">
    <i>
      <x v="239"/>
    </i>
    <i>
      <x v="254"/>
    </i>
    <i>
      <x v="384"/>
    </i>
    <i t="grand">
      <x/>
    </i>
  </rowItems>
  <colItems count="1">
    <i/>
  </colItems>
  <pageFields count="2">
    <pageField fld="0" hier="-1"/>
    <pageField fld="41"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Tabela dinâmica3"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T22:U23" firstHeaderRow="1" firstDataRow="1" firstDataCol="1" rowPageCount="2" colPageCount="1"/>
  <pivotFields count="50">
    <pivotField axis="axisPage" multipleItemSelectionAllowed="1" showAll="0">
      <items count="5">
        <item h="1" x="1"/>
        <item x="0"/>
        <item h="1"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showAll="0"/>
    <pivotField showAll="0"/>
    <pivotField axis="axisPage" multipleItemSelectionAllowed="1" showAll="0">
      <items count="243">
        <item h="1" x="100"/>
        <item h="1" x="7"/>
        <item h="1" x="147"/>
        <item h="1" x="192"/>
        <item h="1" x="68"/>
        <item h="1" x="82"/>
        <item h="1" x="73"/>
        <item h="1" x="91"/>
        <item h="1" x="137"/>
        <item h="1" x="3"/>
        <item h="1" x="4"/>
        <item h="1" x="170"/>
        <item h="1" x="162"/>
        <item h="1" x="45"/>
        <item h="1" x="163"/>
        <item h="1" x="55"/>
        <item h="1" x="60"/>
        <item h="1" x="72"/>
        <item h="1" x="74"/>
        <item h="1" x="101"/>
        <item h="1" x="109"/>
        <item h="1" x="133"/>
        <item h="1" x="150"/>
        <item h="1" x="148"/>
        <item h="1" x="18"/>
        <item h="1" x="15"/>
        <item h="1" x="181"/>
        <item h="1" x="44"/>
        <item h="1" x="194"/>
        <item h="1" x="112"/>
        <item h="1" x="125"/>
        <item h="1" x="12"/>
        <item h="1" x="152"/>
        <item h="1" x="2"/>
        <item h="1" x="164"/>
        <item h="1" x="41"/>
        <item h="1" x="46"/>
        <item h="1" x="126"/>
        <item h="1" x="197"/>
        <item h="1" x="90"/>
        <item h="1" x="121"/>
        <item h="1" x="16"/>
        <item h="1" x="43"/>
        <item h="1" x="23"/>
        <item h="1" x="167"/>
        <item h="1" x="62"/>
        <item h="1" x="85"/>
        <item h="1" x="104"/>
        <item h="1" x="177"/>
        <item h="1" x="83"/>
        <item h="1" x="105"/>
        <item h="1" x="141"/>
        <item h="1" x="178"/>
        <item h="1" x="77"/>
        <item h="1" x="92"/>
        <item h="1" x="136"/>
        <item h="1" x="142"/>
        <item h="1" x="17"/>
        <item h="1" x="169"/>
        <item h="1" x="26"/>
        <item h="1" x="28"/>
        <item h="1" x="27"/>
        <item h="1" x="61"/>
        <item h="1" x="94"/>
        <item h="1" x="123"/>
        <item h="1" x="128"/>
        <item h="1" x="139"/>
        <item h="1" x="160"/>
        <item h="1" x="165"/>
        <item h="1" x="50"/>
        <item h="1" x="75"/>
        <item h="1" x="96"/>
        <item h="1" x="103"/>
        <item h="1" x="108"/>
        <item h="1" x="110"/>
        <item h="1" x="124"/>
        <item h="1" x="6"/>
        <item h="1" x="157"/>
        <item h="1" x="19"/>
        <item h="1" x="171"/>
        <item h="1" x="179"/>
        <item h="1" x="47"/>
        <item h="1" x="127"/>
        <item h="1" x="13"/>
        <item h="1" x="149"/>
        <item h="1" x="159"/>
        <item h="1" x="21"/>
        <item h="1" x="172"/>
        <item h="1" x="176"/>
        <item h="1" x="184"/>
        <item h="1" x="48"/>
        <item h="1" x="49"/>
        <item h="1" x="63"/>
        <item h="1" x="93"/>
        <item h="1" x="146"/>
        <item h="1" x="25"/>
        <item h="1" x="185"/>
        <item h="1" x="52"/>
        <item h="1" x="51"/>
        <item h="1" x="76"/>
        <item h="1" x="114"/>
        <item h="1" x="143"/>
        <item h="1" x="180"/>
        <item h="1" x="81"/>
        <item h="1" x="84"/>
        <item h="1" x="102"/>
        <item h="1" x="117"/>
        <item h="1" x="116"/>
        <item h="1" x="140"/>
        <item h="1" x="168"/>
        <item h="1" x="166"/>
        <item h="1" x="42"/>
        <item h="1" x="98"/>
        <item h="1" x="122"/>
        <item h="1" x="129"/>
        <item h="1" x="20"/>
        <item h="1" x="174"/>
        <item h="1" x="34"/>
        <item h="1" x="53"/>
        <item h="1" x="54"/>
        <item h="1" x="64"/>
        <item h="1" x="107"/>
        <item h="1" x="65"/>
        <item h="1" x="95"/>
        <item h="1" x="99"/>
        <item h="1" x="113"/>
        <item h="1" x="119"/>
        <item h="1" x="8"/>
        <item h="1" x="14"/>
        <item h="1" x="10"/>
        <item h="1" x="183"/>
        <item h="1" x="130"/>
        <item h="1" x="11"/>
        <item h="1" x="155"/>
        <item h="1" x="22"/>
        <item h="1" x="31"/>
        <item h="1" x="186"/>
        <item h="1" x="30"/>
        <item h="1" x="175"/>
        <item h="1" x="57"/>
        <item h="1" x="58"/>
        <item h="1" x="70"/>
        <item h="1" x="115"/>
        <item h="1" x="9"/>
        <item h="1" x="56"/>
        <item h="1" x="32"/>
        <item h="1" x="29"/>
        <item h="1" x="35"/>
        <item h="1" x="190"/>
        <item h="1" x="131"/>
        <item h="1" x="33"/>
        <item h="1" x="80"/>
        <item h="1" x="132"/>
        <item h="1" x="151"/>
        <item h="1" x="158"/>
        <item h="1" x="97"/>
        <item h="1" x="120"/>
        <item h="1" x="156"/>
        <item h="1" x="193"/>
        <item h="1" x="59"/>
        <item h="1" x="67"/>
        <item h="1" x="87"/>
        <item h="1" x="135"/>
        <item h="1" x="153"/>
        <item h="1" x="154"/>
        <item h="1" x="36"/>
        <item h="1" x="189"/>
        <item h="1" x="66"/>
        <item h="1" x="89"/>
        <item h="1" x="5"/>
        <item h="1" x="144"/>
        <item h="1" x="1"/>
        <item h="1" x="24"/>
        <item h="1" x="37"/>
        <item h="1" x="191"/>
        <item h="1" x="71"/>
        <item h="1" x="69"/>
        <item h="1" x="79"/>
        <item h="1" x="145"/>
        <item h="1" x="161"/>
        <item h="1" x="38"/>
        <item h="1" x="86"/>
        <item h="1" x="118"/>
        <item h="1" x="39"/>
        <item h="1" x="78"/>
        <item h="1" x="88"/>
        <item h="1" x="106"/>
        <item h="1" x="134"/>
        <item h="1" x="138"/>
        <item h="1" x="40"/>
        <item h="1" x="205"/>
        <item h="1" x="196"/>
        <item h="1" x="201"/>
        <item h="1" x="187"/>
        <item h="1" x="199"/>
        <item h="1" x="203"/>
        <item h="1" x="206"/>
        <item h="1" x="200"/>
        <item h="1" x="208"/>
        <item h="1" x="207"/>
        <item h="1" x="182"/>
        <item h="1" x="210"/>
        <item h="1" x="173"/>
        <item h="1" x="188"/>
        <item h="1" x="195"/>
        <item h="1" x="211"/>
        <item h="1" x="212"/>
        <item h="1" x="214"/>
        <item h="1" x="216"/>
        <item h="1" x="217"/>
        <item h="1" x="111"/>
        <item h="1" x="213"/>
        <item h="1" x="202"/>
        <item h="1" x="215"/>
        <item h="1" x="218"/>
        <item h="1" x="219"/>
        <item h="1" x="221"/>
        <item h="1" x="220"/>
        <item h="1" x="222"/>
        <item h="1" x="223"/>
        <item h="1" x="224"/>
        <item h="1" x="225"/>
        <item h="1" x="231"/>
        <item h="1" x="0"/>
        <item h="1" x="229"/>
        <item h="1" x="230"/>
        <item h="1" x="233"/>
        <item h="1" x="209"/>
        <item h="1" x="226"/>
        <item h="1" x="227"/>
        <item h="1" x="228"/>
        <item h="1" x="232"/>
        <item x="198"/>
        <item m="1" x="241"/>
        <item x="236"/>
        <item x="237"/>
        <item x="204"/>
        <item x="235"/>
        <item x="238"/>
        <item x="239"/>
        <item x="240"/>
        <item x="234"/>
        <item t="default"/>
      </items>
    </pivotField>
    <pivotField showAll="0"/>
    <pivotField showAll="0"/>
    <pivotField showAll="0"/>
    <pivotField showAll="0"/>
    <pivotField showAll="0"/>
    <pivotField showAll="0"/>
    <pivotField showAll="0"/>
    <pivotField dataField="1" showAll="0"/>
  </pivotFields>
  <rowFields count="1">
    <field x="6"/>
  </rowFields>
  <rowItems count="1">
    <i t="grand">
      <x/>
    </i>
  </rowItems>
  <colItems count="1">
    <i/>
  </colItems>
  <pageFields count="2">
    <pageField fld="0" hier="-1"/>
    <pageField fld="41" hier="-1"/>
  </pageFields>
  <dataFields count="1">
    <dataField name="Soma de QTDE" fld="4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Tabela dinâmica7"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N1334:O1337" firstHeaderRow="1" firstDataRow="1" firstDataCol="1" rowPageCount="2" colPageCount="1"/>
  <pivotFields count="50">
    <pivotField axis="axisPage" multipleItemSelectionAllowed="1" showAll="0">
      <items count="5">
        <item h="1" x="1"/>
        <item h="1" x="0"/>
        <item x="2"/>
        <item h="1" x="3"/>
        <item t="default"/>
      </items>
    </pivotField>
    <pivotField showAll="0"/>
    <pivotField showAll="0"/>
    <pivotField showAll="0"/>
    <pivotField showAll="0"/>
    <pivotField showAll="0"/>
    <pivotField axis="axisRow" showAll="0">
      <items count="712">
        <item x="432"/>
        <item x="276"/>
        <item x="397"/>
        <item x="112"/>
        <item x="88"/>
        <item x="82"/>
        <item x="350"/>
        <item x="42"/>
        <item x="316"/>
        <item x="311"/>
        <item x="347"/>
        <item x="375"/>
        <item x="8"/>
        <item x="368"/>
        <item x="63"/>
        <item x="230"/>
        <item x="348"/>
        <item x="235"/>
        <item x="228"/>
        <item x="240"/>
        <item x="373"/>
        <item x="120"/>
        <item x="426"/>
        <item x="165"/>
        <item x="278"/>
        <item x="282"/>
        <item x="190"/>
        <item x="180"/>
        <item x="361"/>
        <item x="298"/>
        <item x="414"/>
        <item x="119"/>
        <item x="56"/>
        <item x="339"/>
        <item x="410"/>
        <item x="385"/>
        <item x="170"/>
        <item x="169"/>
        <item x="239"/>
        <item x="10"/>
        <item x="9"/>
        <item x="309"/>
        <item x="248"/>
        <item x="393"/>
        <item x="236"/>
        <item x="272"/>
        <item x="340"/>
        <item x="362"/>
        <item x="57"/>
        <item x="395"/>
        <item x="399"/>
        <item x="406"/>
        <item x="182"/>
        <item x="183"/>
        <item x="238"/>
        <item x="219"/>
        <item x="141"/>
        <item x="192"/>
        <item x="428"/>
        <item x="55"/>
        <item x="43"/>
        <item x="100"/>
        <item x="81"/>
        <item x="370"/>
        <item x="376"/>
        <item x="377"/>
        <item x="274"/>
        <item x="275"/>
        <item x="247"/>
        <item x="91"/>
        <item x="3"/>
        <item x="435"/>
        <item x="154"/>
        <item x="157"/>
        <item x="151"/>
        <item x="264"/>
        <item x="254"/>
        <item x="379"/>
        <item x="263"/>
        <item x="253"/>
        <item x="194"/>
        <item x="424"/>
        <item x="84"/>
        <item x="341"/>
        <item x="111"/>
        <item x="419"/>
        <item x="387"/>
        <item x="383"/>
        <item x="352"/>
        <item x="342"/>
        <item x="133"/>
        <item x="104"/>
        <item x="330"/>
        <item x="109"/>
        <item x="156"/>
        <item x="32"/>
        <item x="93"/>
        <item x="224"/>
        <item x="367"/>
        <item x="366"/>
        <item x="233"/>
        <item x="193"/>
        <item x="401"/>
        <item x="50"/>
        <item x="345"/>
        <item x="314"/>
        <item x="280"/>
        <item x="292"/>
        <item x="288"/>
        <item x="343"/>
        <item x="269"/>
        <item x="18"/>
        <item x="19"/>
        <item x="234"/>
        <item x="31"/>
        <item x="304"/>
        <item x="46"/>
        <item x="49"/>
        <item x="62"/>
        <item x="210"/>
        <item x="14"/>
        <item x="396"/>
        <item x="106"/>
        <item x="67"/>
        <item x="200"/>
        <item x="107"/>
        <item x="25"/>
        <item x="199"/>
        <item x="90"/>
        <item x="171"/>
        <item x="335"/>
        <item x="110"/>
        <item x="125"/>
        <item x="123"/>
        <item x="77"/>
        <item x="294"/>
        <item x="167"/>
        <item x="166"/>
        <item x="265"/>
        <item x="251"/>
        <item x="411"/>
        <item x="187"/>
        <item x="363"/>
        <item x="101"/>
        <item x="152"/>
        <item x="175"/>
        <item x="351"/>
        <item x="99"/>
        <item x="250"/>
        <item x="45"/>
        <item x="211"/>
        <item x="214"/>
        <item x="213"/>
        <item x="7"/>
        <item x="174"/>
        <item x="135"/>
        <item x="27"/>
        <item x="122"/>
        <item x="121"/>
        <item x="98"/>
        <item x="409"/>
        <item x="71"/>
        <item x="129"/>
        <item x="44"/>
        <item x="185"/>
        <item x="216"/>
        <item x="215"/>
        <item x="20"/>
        <item x="4"/>
        <item x="433"/>
        <item x="365"/>
        <item x="270"/>
        <item x="255"/>
        <item x="310"/>
        <item x="287"/>
        <item x="188"/>
        <item x="28"/>
        <item x="434"/>
        <item x="344"/>
        <item x="97"/>
        <item x="89"/>
        <item x="48"/>
        <item x="245"/>
        <item x="346"/>
        <item x="244"/>
        <item x="289"/>
        <item x="408"/>
        <item x="300"/>
        <item x="371"/>
        <item x="158"/>
        <item x="404"/>
        <item x="407"/>
        <item x="59"/>
        <item x="356"/>
        <item x="95"/>
        <item x="308"/>
        <item x="315"/>
        <item x="260"/>
        <item x="259"/>
        <item x="319"/>
        <item x="60"/>
        <item x="355"/>
        <item x="286"/>
        <item x="285"/>
        <item x="380"/>
        <item x="389"/>
        <item x="390"/>
        <item x="218"/>
        <item x="41"/>
        <item x="17"/>
        <item x="26"/>
        <item x="208"/>
        <item x="207"/>
        <item x="150"/>
        <item x="191"/>
        <item x="295"/>
        <item x="184"/>
        <item x="54"/>
        <item x="256"/>
        <item x="405"/>
        <item x="422"/>
        <item x="163"/>
        <item x="427"/>
        <item x="431"/>
        <item x="201"/>
        <item x="400"/>
        <item x="162"/>
        <item x="161"/>
        <item x="398"/>
        <item x="246"/>
        <item x="22"/>
        <item x="12"/>
        <item x="69"/>
        <item x="79"/>
        <item x="353"/>
        <item x="241"/>
        <item x="242"/>
        <item x="179"/>
        <item x="354"/>
        <item x="413"/>
        <item x="78"/>
        <item x="86"/>
        <item x="384"/>
        <item x="70"/>
        <item x="349"/>
        <item x="306"/>
        <item x="305"/>
        <item x="181"/>
        <item x="139"/>
        <item x="418"/>
        <item x="87"/>
        <item x="417"/>
        <item x="113"/>
        <item x="416"/>
        <item x="266"/>
        <item x="2"/>
        <item x="312"/>
        <item x="425"/>
        <item x="74"/>
        <item x="73"/>
        <item x="313"/>
        <item x="16"/>
        <item x="21"/>
        <item x="118"/>
        <item x="153"/>
        <item x="415"/>
        <item x="29"/>
        <item x="394"/>
        <item x="229"/>
        <item x="281"/>
        <item x="284"/>
        <item x="38"/>
        <item x="258"/>
        <item x="102"/>
        <item x="114"/>
        <item x="116"/>
        <item x="115"/>
        <item x="392"/>
        <item x="61"/>
        <item x="386"/>
        <item x="391"/>
        <item x="252"/>
        <item x="388"/>
        <item x="372"/>
        <item x="143"/>
        <item x="429"/>
        <item x="374"/>
        <item x="33"/>
        <item x="359"/>
        <item x="225"/>
        <item x="358"/>
        <item x="323"/>
        <item x="159"/>
        <item x="160"/>
        <item x="307"/>
        <item x="296"/>
        <item x="221"/>
        <item x="412"/>
        <item x="195"/>
        <item x="290"/>
        <item x="232"/>
        <item x="249"/>
        <item m="1" x="705"/>
        <item x="131"/>
        <item x="277"/>
        <item x="430"/>
        <item x="92"/>
        <item x="66"/>
        <item x="205"/>
        <item x="35"/>
        <item x="39"/>
        <item x="37"/>
        <item x="128"/>
        <item x="402"/>
        <item x="103"/>
        <item x="369"/>
        <item x="220"/>
        <item x="96"/>
        <item x="124"/>
        <item x="318"/>
        <item x="130"/>
        <item x="297"/>
        <item x="24"/>
        <item x="23"/>
        <item x="423"/>
        <item x="68"/>
        <item x="0"/>
        <item x="204"/>
        <item x="206"/>
        <item x="268"/>
        <item x="237"/>
        <item x="338"/>
        <item x="337"/>
        <item x="403"/>
        <item x="58"/>
        <item x="223"/>
        <item x="202"/>
        <item x="127"/>
        <item x="293"/>
        <item x="322"/>
        <item x="226"/>
        <item x="94"/>
        <item x="227"/>
        <item x="243"/>
        <item x="5"/>
        <item x="321"/>
        <item x="325"/>
        <item x="381"/>
        <item x="13"/>
        <item x="11"/>
        <item x="47"/>
        <item x="327"/>
        <item x="364"/>
        <item x="382"/>
        <item x="217"/>
        <item x="189"/>
        <item x="34"/>
        <item x="64"/>
        <item x="378"/>
        <item x="267"/>
        <item x="117"/>
        <item x="147"/>
        <item x="146"/>
        <item x="173"/>
        <item x="172"/>
        <item x="177"/>
        <item x="176"/>
        <item x="148"/>
        <item x="357"/>
        <item x="320"/>
        <item x="437"/>
        <item x="438"/>
        <item x="439"/>
        <item x="440"/>
        <item x="442"/>
        <item x="443"/>
        <item x="445"/>
        <item x="446"/>
        <item x="454"/>
        <item x="448"/>
        <item x="449"/>
        <item x="450"/>
        <item x="699"/>
        <item x="453"/>
        <item x="441"/>
        <item x="455"/>
        <item x="456"/>
        <item x="457"/>
        <item x="458"/>
        <item x="459"/>
        <item x="460"/>
        <item x="461"/>
        <item x="462"/>
        <item x="463"/>
        <item x="464"/>
        <item x="465"/>
        <item x="466"/>
        <item x="467"/>
        <item x="468"/>
        <item x="469"/>
        <item x="470"/>
        <item x="471"/>
        <item x="472"/>
        <item x="473"/>
        <item x="475"/>
        <item x="476"/>
        <item x="478"/>
        <item x="474"/>
        <item x="477"/>
        <item x="479"/>
        <item x="480"/>
        <item x="481"/>
        <item x="484"/>
        <item x="436"/>
        <item x="447"/>
        <item x="452"/>
        <item x="486"/>
        <item x="488"/>
        <item x="489"/>
        <item x="490"/>
        <item x="336"/>
        <item x="491"/>
        <item x="444"/>
        <item x="492"/>
        <item x="494"/>
        <item x="495"/>
        <item x="497"/>
        <item x="498"/>
        <item x="499"/>
        <item x="500"/>
        <item x="501"/>
        <item x="502"/>
        <item x="503"/>
        <item x="504"/>
        <item x="505"/>
        <item x="506"/>
        <item x="507"/>
        <item x="509"/>
        <item x="493"/>
        <item x="511"/>
        <item x="512"/>
        <item x="513"/>
        <item x="514"/>
        <item x="515"/>
        <item x="516"/>
        <item x="517"/>
        <item x="518"/>
        <item x="519"/>
        <item x="520"/>
        <item x="521"/>
        <item x="522"/>
        <item x="523"/>
        <item x="524"/>
        <item x="525"/>
        <item x="526"/>
        <item x="527"/>
        <item x="528"/>
        <item x="529"/>
        <item x="530"/>
        <item x="531"/>
        <item x="532"/>
        <item x="533"/>
        <item x="510"/>
        <item x="534"/>
        <item x="535"/>
        <item x="536"/>
        <item x="537"/>
        <item x="538"/>
        <item x="496"/>
        <item x="508"/>
        <item x="539"/>
        <item x="540"/>
        <item x="542"/>
        <item x="543"/>
        <item x="544"/>
        <item x="545"/>
        <item x="487"/>
        <item x="546"/>
        <item x="550"/>
        <item x="552"/>
        <item x="553"/>
        <item x="554"/>
        <item x="555"/>
        <item x="557"/>
        <item x="558"/>
        <item x="559"/>
        <item x="560"/>
        <item x="561"/>
        <item x="562"/>
        <item x="563"/>
        <item x="565"/>
        <item x="566"/>
        <item x="567"/>
        <item x="568"/>
        <item x="569"/>
        <item x="570"/>
        <item x="571"/>
        <item m="1" x="709"/>
        <item x="573"/>
        <item x="574"/>
        <item x="575"/>
        <item x="576"/>
        <item x="577"/>
        <item m="1" x="710"/>
        <item x="579"/>
        <item x="580"/>
        <item x="581"/>
        <item x="582"/>
        <item x="583"/>
        <item x="584"/>
        <item x="585"/>
        <item x="586"/>
        <item m="1" x="707"/>
        <item x="588"/>
        <item x="589"/>
        <item x="590"/>
        <item x="591"/>
        <item x="592"/>
        <item x="593"/>
        <item x="594"/>
        <item x="595"/>
        <item x="1"/>
        <item x="6"/>
        <item x="15"/>
        <item x="30"/>
        <item x="36"/>
        <item x="40"/>
        <item x="51"/>
        <item x="52"/>
        <item x="53"/>
        <item x="65"/>
        <item x="72"/>
        <item x="75"/>
        <item x="76"/>
        <item x="80"/>
        <item x="83"/>
        <item x="85"/>
        <item x="105"/>
        <item x="108"/>
        <item x="126"/>
        <item x="132"/>
        <item x="134"/>
        <item x="136"/>
        <item x="137"/>
        <item x="138"/>
        <item x="140"/>
        <item x="142"/>
        <item x="144"/>
        <item x="145"/>
        <item x="149"/>
        <item x="155"/>
        <item x="164"/>
        <item x="168"/>
        <item x="178"/>
        <item x="186"/>
        <item x="196"/>
        <item x="197"/>
        <item x="198"/>
        <item x="203"/>
        <item x="209"/>
        <item x="212"/>
        <item x="222"/>
        <item x="231"/>
        <item x="257"/>
        <item x="261"/>
        <item x="262"/>
        <item x="271"/>
        <item x="273"/>
        <item x="279"/>
        <item x="283"/>
        <item x="291"/>
        <item x="299"/>
        <item x="301"/>
        <item x="302"/>
        <item x="303"/>
        <item x="317"/>
        <item x="324"/>
        <item x="326"/>
        <item x="328"/>
        <item x="329"/>
        <item x="331"/>
        <item x="332"/>
        <item x="333"/>
        <item x="334"/>
        <item x="360"/>
        <item x="420"/>
        <item x="421"/>
        <item x="482"/>
        <item x="483"/>
        <item x="485"/>
        <item x="541"/>
        <item x="547"/>
        <item x="548"/>
        <item x="549"/>
        <item x="551"/>
        <item x="556"/>
        <item x="564"/>
        <item x="596"/>
        <item x="597"/>
        <item x="598"/>
        <item x="599"/>
        <item x="600"/>
        <item x="601"/>
        <item x="602"/>
        <item x="603"/>
        <item x="604"/>
        <item x="605"/>
        <item x="606"/>
        <item x="607"/>
        <item x="608"/>
        <item x="609"/>
        <item x="610"/>
        <item x="611"/>
        <item x="612"/>
        <item x="613"/>
        <item x="572"/>
        <item x="578"/>
        <item x="614"/>
        <item x="615"/>
        <item x="616"/>
        <item x="617"/>
        <item m="1" x="708"/>
        <item x="619"/>
        <item x="620"/>
        <item x="621"/>
        <item x="622"/>
        <item x="623"/>
        <item x="624"/>
        <item x="625"/>
        <item x="626"/>
        <item x="627"/>
        <item x="628"/>
        <item x="629"/>
        <item x="630"/>
        <item x="631"/>
        <item x="632"/>
        <item x="633"/>
        <item x="634"/>
        <item x="587"/>
        <item x="618"/>
        <item x="635"/>
        <item x="636"/>
        <item x="637"/>
        <item x="638"/>
        <item x="639"/>
        <item x="640"/>
        <item x="641"/>
        <item x="642"/>
        <item x="643"/>
        <item x="644"/>
        <item x="645"/>
        <item x="646"/>
        <item x="647"/>
        <item x="648"/>
        <item x="649"/>
        <item m="1" x="706"/>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50"/>
        <item x="682"/>
        <item x="683"/>
        <item x="684"/>
        <item x="685"/>
        <item x="686"/>
        <item x="687"/>
        <item x="688"/>
        <item x="689"/>
        <item x="690"/>
        <item x="691"/>
        <item x="692"/>
        <item x="693"/>
        <item x="694"/>
        <item x="695"/>
        <item x="696"/>
        <item x="697"/>
        <item x="698"/>
        <item x="451"/>
        <item x="700"/>
        <item x="701"/>
        <item x="702"/>
        <item x="703"/>
        <item x="7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44" showAll="0"/>
    <pivotField showAll="0"/>
    <pivotField showAll="0"/>
    <pivotField showAll="0"/>
    <pivotField showAll="0"/>
    <pivotField showAll="0"/>
    <pivotField showAll="0"/>
    <pivotField showAll="0"/>
    <pivotField axis="axisPage" multipleItemSelectionAllowed="1" showAll="0">
      <items count="220">
        <item h="1" x="90"/>
        <item h="1" x="150"/>
        <item h="1" x="177"/>
        <item h="1" x="45"/>
        <item h="1" x="82"/>
        <item h="1" x="91"/>
        <item h="1" x="125"/>
        <item h="1" x="158"/>
        <item h="1" x="152"/>
        <item h="1" x="37"/>
        <item h="1" x="136"/>
        <item h="1" x="53"/>
        <item h="1" x="63"/>
        <item h="1" x="100"/>
        <item h="1" x="122"/>
        <item h="1" x="139"/>
        <item h="1" x="3"/>
        <item h="1" x="167"/>
        <item h="1" x="35"/>
        <item h="1" x="112"/>
        <item h="1" x="102"/>
        <item h="1" x="117"/>
        <item h="1" x="141"/>
        <item h="1" x="137"/>
        <item h="1" x="19"/>
        <item h="1" x="151"/>
        <item h="1" x="6"/>
        <item h="1" x="39"/>
        <item h="1" x="118"/>
        <item h="1" x="181"/>
        <item h="1" x="111"/>
        <item h="1" x="11"/>
        <item h="1" x="15"/>
        <item h="1" x="34"/>
        <item h="1" x="25"/>
        <item h="1" x="36"/>
        <item h="1" x="38"/>
        <item h="1" x="2"/>
        <item h="1" x="66"/>
        <item h="1" x="94"/>
        <item h="1" x="164"/>
        <item h="1" x="74"/>
        <item h="1" x="165"/>
        <item h="1" x="65"/>
        <item h="1" x="124"/>
        <item h="1" x="4"/>
        <item h="1" x="27"/>
        <item h="1" x="54"/>
        <item h="1" x="55"/>
        <item h="1" x="70"/>
        <item h="1" x="85"/>
        <item h="1" x="115"/>
        <item h="1" x="129"/>
        <item h="1" x="149"/>
        <item h="1" x="18"/>
        <item h="1" x="153"/>
        <item h="1" x="67"/>
        <item h="1" x="93"/>
        <item h="1" x="99"/>
        <item h="1" x="116"/>
        <item h="1" x="146"/>
        <item h="1" x="157"/>
        <item h="1" x="88"/>
        <item h="1" x="119"/>
        <item h="1" x="12"/>
        <item h="1" x="138"/>
        <item h="1" x="148"/>
        <item h="1" x="16"/>
        <item h="1" x="159"/>
        <item h="1" x="166"/>
        <item h="1" x="169"/>
        <item h="1" x="43"/>
        <item h="1" x="56"/>
        <item h="1" x="86"/>
        <item h="1" x="133"/>
        <item h="1" x="155"/>
        <item h="1" x="171"/>
        <item h="1" x="41"/>
        <item h="1" x="44"/>
        <item h="1" x="134"/>
        <item h="1" x="68"/>
        <item h="1" x="73"/>
        <item h="1" x="75"/>
        <item h="1" x="120"/>
        <item h="1" x="130"/>
        <item h="1" x="154"/>
        <item h="1" x="33"/>
        <item h="1" x="170"/>
        <item h="1" x="81"/>
        <item h="1" x="92"/>
        <item h="1" x="126"/>
        <item h="1" x="131"/>
        <item h="1" x="20"/>
        <item h="1" x="156"/>
        <item h="1" x="42"/>
        <item h="1" x="47"/>
        <item h="1" x="57"/>
        <item h="1" x="98"/>
        <item h="1" x="22"/>
        <item h="1" x="69"/>
        <item h="1" x="83"/>
        <item h="1" x="89"/>
        <item h="1" x="95"/>
        <item h="1" x="109"/>
        <item h="1" x="7"/>
        <item h="1" x="9"/>
        <item h="1" x="163"/>
        <item h="1" x="58"/>
        <item h="1" x="114"/>
        <item h="1" x="144"/>
        <item h="1" x="21"/>
        <item h="1" x="28"/>
        <item h="1" x="172"/>
        <item h="1" x="50"/>
        <item h="1" x="51"/>
        <item h="1" x="59"/>
        <item h="1" x="107"/>
        <item h="1" x="14"/>
        <item h="1" x="23"/>
        <item h="1" x="26"/>
        <item h="1" x="179"/>
        <item h="1" x="49"/>
        <item h="1" x="106"/>
        <item h="1" x="105"/>
        <item h="1" x="145"/>
        <item h="1" x="29"/>
        <item h="1" x="78"/>
        <item h="1" x="97"/>
        <item h="1" x="127"/>
        <item h="1" x="161"/>
        <item h="1" x="176"/>
        <item h="1" x="79"/>
        <item h="1" x="31"/>
        <item h="1" x="40"/>
        <item h="1" x="72"/>
        <item h="1" x="140"/>
        <item h="1" x="147"/>
        <item h="1" x="46"/>
        <item h="1" x="87"/>
        <item h="1" x="113"/>
        <item h="1" x="110"/>
        <item h="1" x="8"/>
        <item h="1" x="48"/>
        <item h="1" x="52"/>
        <item h="1" x="61"/>
        <item h="1" x="80"/>
        <item h="1" x="132"/>
        <item h="1" x="143"/>
        <item h="1" x="30"/>
        <item h="1" x="62"/>
        <item h="1" x="77"/>
        <item h="1" x="5"/>
        <item h="1" x="13"/>
        <item h="1" x="32"/>
        <item h="1" x="175"/>
        <item h="1" x="60"/>
        <item h="1" x="103"/>
        <item h="1" x="123"/>
        <item h="1" x="10"/>
        <item h="1" x="142"/>
        <item h="1" x="24"/>
        <item h="1" x="71"/>
        <item h="1" x="76"/>
        <item h="1" x="104"/>
        <item h="1" x="108"/>
        <item h="1" x="135"/>
        <item h="1" x="1"/>
        <item h="1" x="17"/>
        <item h="1" x="178"/>
        <item h="1" x="64"/>
        <item h="1" x="96"/>
        <item h="1" x="121"/>
        <item h="1" x="128"/>
        <item h="1" x="183"/>
        <item h="1" x="173"/>
        <item h="1" x="162"/>
        <item h="1" x="184"/>
        <item h="1" x="185"/>
        <item h="1" x="186"/>
        <item h="1" x="188"/>
        <item h="1" x="190"/>
        <item h="1" x="191"/>
        <item h="1" x="168"/>
        <item h="1" x="160"/>
        <item h="1" x="101"/>
        <item h="1" x="174"/>
        <item h="1" x="180"/>
        <item h="1" x="193"/>
        <item h="1" x="189"/>
        <item h="1" x="187"/>
        <item h="1" x="195"/>
        <item h="1" x="84"/>
        <item h="1" x="192"/>
        <item h="1" x="194"/>
        <item h="1" x="197"/>
        <item h="1" x="200"/>
        <item h="1" x="199"/>
        <item h="1" x="201"/>
        <item h="1" x="202"/>
        <item h="1" x="203"/>
        <item h="1" x="204"/>
        <item h="1" x="196"/>
        <item h="1" x="205"/>
        <item h="1" x="0"/>
        <item h="1" x="207"/>
        <item h="1" x="211"/>
        <item h="1" x="208"/>
        <item h="1" x="206"/>
        <item h="1" x="209"/>
        <item h="1" m="1" x="218"/>
        <item h="1" x="213"/>
        <item h="1" x="214"/>
        <item x="182"/>
        <item x="198"/>
        <item x="210"/>
        <item x="216"/>
        <item x="215"/>
        <item x="212"/>
        <item x="21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3">
    <i>
      <x v="439"/>
    </i>
    <i>
      <x v="667"/>
    </i>
    <i t="grand">
      <x/>
    </i>
  </rowItems>
  <colItems count="1">
    <i/>
  </colItems>
  <pageFields count="2">
    <pageField fld="0" hier="-1"/>
    <pageField fld="39" hier="-1"/>
  </pageFields>
  <dataFields count="1">
    <dataField name="Soma de QTDE" fld="4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C000000}" name="Tabela dinâmica1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A1334:AB1342" firstHeaderRow="1" firstDataRow="1" firstDataCol="1" rowPageCount="2" colPageCount="1"/>
  <pivotFields count="43">
    <pivotField axis="axisPage" multipleItemSelectionAllowed="1" showAll="0">
      <items count="147">
        <item h="1" m="1" x="25"/>
        <item h="1" m="1" x="29"/>
        <item h="1" m="1" x="26"/>
        <item h="1" m="1" x="28"/>
        <item h="1" m="1" x="27"/>
        <item h="1" m="1" x="100"/>
        <item h="1" m="1" x="102"/>
        <item h="1" m="1" x="101"/>
        <item h="1" m="1" x="12"/>
        <item h="1" m="1" x="109"/>
        <item h="1" m="1" x="79"/>
        <item h="1" m="1" x="129"/>
        <item h="1" m="1" x="13"/>
        <item h="1" m="1" x="81"/>
        <item h="1" m="1" x="38"/>
        <item h="1" m="1" x="39"/>
        <item h="1" m="1" x="40"/>
        <item h="1" m="1" x="105"/>
        <item h="1" m="1" x="9"/>
        <item h="1" m="1" x="10"/>
        <item h="1" m="1" x="83"/>
        <item h="1" m="1" x="133"/>
        <item h="1" m="1" x="106"/>
        <item h="1" m="1" x="118"/>
        <item h="1" m="1" x="90"/>
        <item h="1" m="1" x="92"/>
        <item h="1" m="1" x="94"/>
        <item h="1" m="1" x="95"/>
        <item h="1" m="1" x="96"/>
        <item h="1" m="1" x="97"/>
        <item h="1" m="1" x="132"/>
        <item h="1" m="1" x="124"/>
        <item h="1" m="1" x="22"/>
        <item h="1" m="1" x="121"/>
        <item h="1" m="1" x="103"/>
        <item h="1" m="1" x="104"/>
        <item h="1" m="1" x="120"/>
        <item h="1" m="1" x="16"/>
        <item h="1" m="1" x="47"/>
        <item h="1" m="1" x="42"/>
        <item h="1" m="1" x="138"/>
        <item h="1" m="1" x="137"/>
        <item h="1" m="1" x="21"/>
        <item h="1" m="1" x="57"/>
        <item h="1" m="1" x="80"/>
        <item h="1" m="1" x="30"/>
        <item h="1" m="1" x="125"/>
        <item h="1" m="1" x="112"/>
        <item h="1" m="1" x="23"/>
        <item h="1" m="1" x="82"/>
        <item h="1" m="1" x="33"/>
        <item h="1" m="1" x="20"/>
        <item h="1" m="1" x="46"/>
        <item h="1" m="1" x="19"/>
        <item h="1" m="1" x="43"/>
        <item h="1" m="1" x="122"/>
        <item h="1" m="1" x="142"/>
        <item h="1" m="1" x="127"/>
        <item h="1" m="1" x="114"/>
        <item h="1" m="1" x="77"/>
        <item h="1" m="1" x="60"/>
        <item h="1" m="1" x="116"/>
        <item h="1" m="1" x="8"/>
        <item h="1" m="1" x="75"/>
        <item h="1" m="1" x="111"/>
        <item h="1" m="1" x="107"/>
        <item h="1" m="1" x="139"/>
        <item h="1" m="1" x="84"/>
        <item h="1" m="1" x="128"/>
        <item h="1" m="1" x="135"/>
        <item h="1" m="1" x="53"/>
        <item h="1" x="0"/>
        <item h="1" m="1" x="144"/>
        <item h="1" m="1" x="86"/>
        <item h="1" m="1" x="143"/>
        <item h="1" m="1" x="78"/>
        <item h="1" m="1" x="58"/>
        <item h="1" m="1" x="36"/>
        <item h="1" m="1" x="88"/>
        <item h="1" m="1" x="18"/>
        <item h="1" m="1" x="55"/>
        <item h="1" m="1" x="56"/>
        <item h="1" m="1" x="11"/>
        <item h="1" m="1" x="5"/>
        <item h="1" m="1" x="115"/>
        <item h="1" m="1" x="61"/>
        <item h="1" m="1" x="15"/>
        <item h="1" m="1" x="72"/>
        <item h="1" m="1" x="49"/>
        <item h="1" m="1" x="17"/>
        <item h="1" m="1" x="62"/>
        <item h="1" m="1" x="76"/>
        <item h="1" m="1" x="87"/>
        <item h="1" m="1" x="54"/>
        <item h="1" x="2"/>
        <item h="1" m="1" x="50"/>
        <item h="1" m="1" x="136"/>
        <item h="1" m="1" x="119"/>
        <item h="1" m="1" x="117"/>
        <item h="1" m="1" x="110"/>
        <item h="1" m="1" x="51"/>
        <item h="1" m="1" x="6"/>
        <item h="1" m="1" x="31"/>
        <item h="1" m="1" x="130"/>
        <item h="1" m="1" x="93"/>
        <item h="1" m="1" x="145"/>
        <item h="1" m="1" x="4"/>
        <item h="1" m="1" x="73"/>
        <item h="1" x="3"/>
        <item h="1" m="1" x="48"/>
        <item h="1" m="1" x="141"/>
        <item h="1" m="1" x="41"/>
        <item h="1" m="1" x="71"/>
        <item h="1" m="1" x="66"/>
        <item h="1" m="1" x="32"/>
        <item h="1" m="1" x="65"/>
        <item h="1" m="1" x="70"/>
        <item h="1" m="1" x="74"/>
        <item h="1" m="1" x="52"/>
        <item h="1" m="1" x="69"/>
        <item h="1" m="1" x="64"/>
        <item h="1" m="1" x="123"/>
        <item h="1" m="1" x="85"/>
        <item h="1" m="1" x="140"/>
        <item h="1" m="1" x="108"/>
        <item h="1" m="1" x="37"/>
        <item h="1" m="1" x="134"/>
        <item h="1" m="1" x="35"/>
        <item h="1" m="1" x="45"/>
        <item h="1" m="1" x="44"/>
        <item h="1" m="1" x="34"/>
        <item h="1" m="1" x="14"/>
        <item h="1" m="1" x="59"/>
        <item x="1"/>
        <item h="1" m="1" x="89"/>
        <item h="1" m="1" x="67"/>
        <item h="1" m="1" x="131"/>
        <item h="1" m="1" x="98"/>
        <item h="1" m="1" x="24"/>
        <item h="1" m="1" x="126"/>
        <item h="1" m="1" x="99"/>
        <item h="1" m="1" x="68"/>
        <item h="1" m="1" x="63"/>
        <item h="1" m="1" x="91"/>
        <item h="1" m="1" x="113"/>
        <item h="1" m="1" x="7"/>
        <item t="default"/>
      </items>
    </pivotField>
    <pivotField showAll="0"/>
    <pivotField showAll="0"/>
    <pivotField showAll="0"/>
    <pivotField showAll="0"/>
    <pivotField showAll="0"/>
    <pivotField axis="axisRow" showAll="0">
      <items count="490">
        <item m="1" x="454"/>
        <item m="1" x="464"/>
        <item m="1" x="459"/>
        <item m="1" x="474"/>
        <item m="1" x="462"/>
        <item m="1" x="479"/>
        <item m="1" x="472"/>
        <item m="1" x="476"/>
        <item m="1" x="471"/>
        <item m="1" x="481"/>
        <item m="1" x="485"/>
        <item m="1" x="477"/>
        <item m="1" x="457"/>
        <item m="1" x="460"/>
        <item m="1" x="469"/>
        <item m="1" x="466"/>
        <item m="1" x="467"/>
        <item m="1" x="486"/>
        <item m="1" x="465"/>
        <item m="1" x="483"/>
        <item m="1" x="463"/>
        <item m="1" x="487"/>
        <item m="1" x="473"/>
        <item m="1" x="458"/>
        <item m="1" x="488"/>
        <item x="402"/>
        <item x="182"/>
        <item x="320"/>
        <item x="15"/>
        <item x="275"/>
        <item x="241"/>
        <item x="151"/>
        <item x="270"/>
        <item x="114"/>
        <item x="240"/>
        <item x="157"/>
        <item x="184"/>
        <item x="311"/>
        <item x="173"/>
        <item x="200"/>
        <item x="66"/>
        <item x="13"/>
        <item x="377"/>
        <item x="34"/>
        <item x="335"/>
        <item x="217"/>
        <item x="213"/>
        <item x="56"/>
        <item x="130"/>
        <item x="99"/>
        <item x="435"/>
        <item x="129"/>
        <item x="177"/>
        <item x="123"/>
        <item x="202"/>
        <item x="324"/>
        <item x="161"/>
        <item x="165"/>
        <item x="219"/>
        <item x="153"/>
        <item x="280"/>
        <item x="70"/>
        <item x="168"/>
        <item x="306"/>
        <item x="68"/>
        <item x="307"/>
        <item x="62"/>
        <item x="185"/>
        <item x="449"/>
        <item x="49"/>
        <item x="198"/>
        <item x="362"/>
        <item x="448"/>
        <item x="295"/>
        <item x="289"/>
        <item x="44"/>
        <item x="352"/>
        <item x="313"/>
        <item x="156"/>
        <item x="190"/>
        <item x="179"/>
        <item x="201"/>
        <item x="172"/>
        <item x="359"/>
        <item x="59"/>
        <item x="401"/>
        <item x="111"/>
        <item x="281"/>
        <item x="102"/>
        <item x="225"/>
        <item x="210"/>
        <item x="369"/>
        <item x="302"/>
        <item x="145"/>
        <item x="442"/>
        <item x="443"/>
        <item x="267"/>
        <item x="431"/>
        <item x="339"/>
        <item x="357"/>
        <item x="310"/>
        <item x="286"/>
        <item x="274"/>
        <item x="358"/>
        <item x="7"/>
        <item x="24"/>
        <item x="73"/>
        <item x="282"/>
        <item x="260"/>
        <item x="436"/>
        <item x="375"/>
        <item x="234"/>
        <item x="43"/>
        <item x="32"/>
        <item x="340"/>
        <item x="354"/>
        <item x="336"/>
        <item x="158"/>
        <item x="166"/>
        <item x="136"/>
        <item x="88"/>
        <item x="251"/>
        <item x="252"/>
        <item x="226"/>
        <item x="191"/>
        <item x="12"/>
        <item x="297"/>
        <item x="231"/>
        <item m="1" x="456"/>
        <item x="278"/>
        <item x="69"/>
        <item x="146"/>
        <item x="291"/>
        <item x="374"/>
        <item x="192"/>
        <item x="8"/>
        <item x="138"/>
        <item x="203"/>
        <item x="318"/>
        <item x="90"/>
        <item x="77"/>
        <item x="301"/>
        <item x="312"/>
        <item x="266"/>
        <item x="42"/>
        <item x="223"/>
        <item x="171"/>
        <item x="97"/>
        <item x="51"/>
        <item x="329"/>
        <item x="19"/>
        <item x="22"/>
        <item x="125"/>
        <item x="46"/>
        <item x="224"/>
        <item x="316"/>
        <item x="35"/>
        <item x="444"/>
        <item x="232"/>
        <item x="86"/>
        <item x="78"/>
        <item x="163"/>
        <item x="194"/>
        <item x="293"/>
        <item x="174"/>
        <item x="332"/>
        <item x="408"/>
        <item x="248"/>
        <item x="31"/>
        <item x="355"/>
        <item x="363"/>
        <item x="364"/>
        <item x="338"/>
        <item x="333"/>
        <item x="29"/>
        <item x="127"/>
        <item x="65"/>
        <item x="98"/>
        <item x="144"/>
        <item x="426"/>
        <item x="368"/>
        <item x="126"/>
        <item x="437"/>
        <item x="254"/>
        <item x="269"/>
        <item x="447"/>
        <item x="425"/>
        <item x="229"/>
        <item x="265"/>
        <item x="433"/>
        <item x="64"/>
        <item x="233"/>
        <item x="148"/>
        <item x="67"/>
        <item x="71"/>
        <item x="72"/>
        <item x="167"/>
        <item x="16"/>
        <item x="325"/>
        <item x="14"/>
        <item m="1" x="480"/>
        <item x="80"/>
        <item x="236"/>
        <item x="381"/>
        <item x="309"/>
        <item x="47"/>
        <item x="249"/>
        <item x="170"/>
        <item x="272"/>
        <item x="250"/>
        <item x="9"/>
        <item x="28"/>
        <item x="113"/>
        <item x="193"/>
        <item x="100"/>
        <item x="45"/>
        <item x="155"/>
        <item x="290"/>
        <item x="117"/>
        <item x="48"/>
        <item x="58"/>
        <item x="96"/>
        <item x="279"/>
        <item m="1" x="484"/>
        <item x="417"/>
        <item x="326"/>
        <item x="57"/>
        <item x="189"/>
        <item x="288"/>
        <item x="140"/>
        <item x="294"/>
        <item x="6"/>
        <item x="0"/>
        <item x="221"/>
        <item x="334"/>
        <item x="10"/>
        <item x="119"/>
        <item m="1" x="455"/>
        <item x="41"/>
        <item x="110"/>
        <item x="87"/>
        <item x="149"/>
        <item x="186"/>
        <item x="116"/>
        <item x="142"/>
        <item x="239"/>
        <item x="268"/>
        <item x="105"/>
        <item x="106"/>
        <item m="1" x="461"/>
        <item x="205"/>
        <item x="37"/>
        <item x="164"/>
        <item x="3"/>
        <item x="176"/>
        <item x="305"/>
        <item x="284"/>
        <item x="285"/>
        <item x="121"/>
        <item x="216"/>
        <item x="128"/>
        <item x="331"/>
        <item x="104"/>
        <item x="360"/>
        <item x="212"/>
        <item x="317"/>
        <item x="343"/>
        <item x="397"/>
        <item x="353"/>
        <item x="39"/>
        <item x="263"/>
        <item x="235"/>
        <item x="112"/>
        <item x="399"/>
        <item x="91"/>
        <item x="407"/>
        <item x="345"/>
        <item x="379"/>
        <item x="446"/>
        <item x="299"/>
        <item x="208"/>
        <item x="287"/>
        <item x="450"/>
        <item x="439"/>
        <item x="33"/>
        <item x="1"/>
        <item x="92"/>
        <item x="131"/>
        <item x="134"/>
        <item x="133"/>
        <item x="132"/>
        <item x="38"/>
        <item x="40"/>
        <item x="169"/>
        <item x="84"/>
        <item x="303"/>
        <item x="76"/>
        <item x="356"/>
        <item x="82"/>
        <item x="259"/>
        <item x="432"/>
        <item x="419"/>
        <item x="147"/>
        <item x="262"/>
        <item x="255"/>
        <item x="141"/>
        <item x="416"/>
        <item x="227"/>
        <item x="75"/>
        <item x="94"/>
        <item x="124"/>
        <item x="271"/>
        <item m="1" x="470"/>
        <item x="20"/>
        <item x="89"/>
        <item x="264"/>
        <item x="95"/>
        <item x="404"/>
        <item x="63"/>
        <item x="180"/>
        <item x="61"/>
        <item x="238"/>
        <item x="195"/>
        <item x="197"/>
        <item x="237"/>
        <item x="445"/>
        <item x="188"/>
        <item x="403"/>
        <item x="319"/>
        <item x="344"/>
        <item x="298"/>
        <item x="409"/>
        <item x="243"/>
        <item x="327"/>
        <item x="328"/>
        <item x="187"/>
        <item x="246"/>
        <item x="349"/>
        <item x="55"/>
        <item x="330"/>
        <item x="103"/>
        <item x="204"/>
        <item x="222"/>
        <item x="143"/>
        <item x="427"/>
        <item x="159"/>
        <item x="296"/>
        <item x="199"/>
        <item x="178"/>
        <item x="348"/>
        <item x="228"/>
        <item x="257"/>
        <item x="347"/>
        <item x="346"/>
        <item x="107"/>
        <item x="351"/>
        <item x="4"/>
        <item x="23"/>
        <item x="139"/>
        <item x="322"/>
        <item x="261"/>
        <item x="52"/>
        <item x="392"/>
        <item x="17"/>
        <item x="115"/>
        <item x="292"/>
        <item x="183"/>
        <item x="370"/>
        <item x="441"/>
        <item x="120"/>
        <item x="79"/>
        <item x="135"/>
        <item x="253"/>
        <item m="1" x="475"/>
        <item m="1" x="468"/>
        <item x="277"/>
        <item x="108"/>
        <item x="247"/>
        <item x="81"/>
        <item x="25"/>
        <item x="211"/>
        <item x="215"/>
        <item x="2"/>
        <item x="385"/>
        <item x="74"/>
        <item x="162"/>
        <item x="11"/>
        <item x="393"/>
        <item x="36"/>
        <item x="118"/>
        <item x="423"/>
        <item x="256"/>
        <item x="21"/>
        <item x="273"/>
        <item x="152"/>
        <item x="122"/>
        <item x="175"/>
        <item x="350"/>
        <item m="1" x="482"/>
        <item x="376"/>
        <item x="93"/>
        <item x="337"/>
        <item x="451"/>
        <item x="300"/>
        <item x="242"/>
        <item x="54"/>
        <item x="396"/>
        <item x="315"/>
        <item x="209"/>
        <item x="283"/>
        <item x="101"/>
        <item x="365"/>
        <item x="390"/>
        <item x="18"/>
        <item x="27"/>
        <item x="30"/>
        <item x="218"/>
        <item x="341"/>
        <item x="137"/>
        <item x="424"/>
        <item x="276"/>
        <item x="406"/>
        <item x="150"/>
        <item x="214"/>
        <item x="220"/>
        <item x="181"/>
        <item x="154"/>
        <item x="314"/>
        <item x="308"/>
        <item m="1" x="478"/>
        <item x="398"/>
        <item x="5"/>
        <item x="160"/>
        <item x="83"/>
        <item x="85"/>
        <item x="244"/>
        <item x="321"/>
        <item x="26"/>
        <item x="50"/>
        <item x="196"/>
        <item x="342"/>
        <item x="60"/>
        <item x="304"/>
        <item x="361"/>
        <item x="207"/>
        <item x="245"/>
        <item x="109"/>
        <item x="53"/>
        <item x="391"/>
        <item x="206"/>
        <item x="258"/>
        <item x="230"/>
        <item x="452"/>
        <item x="323"/>
        <item x="366"/>
        <item x="367"/>
        <item x="371"/>
        <item x="372"/>
        <item x="373"/>
        <item x="378"/>
        <item x="380"/>
        <item x="382"/>
        <item x="383"/>
        <item x="384"/>
        <item x="386"/>
        <item x="387"/>
        <item x="388"/>
        <item x="389"/>
        <item x="394"/>
        <item x="395"/>
        <item x="400"/>
        <item x="405"/>
        <item x="410"/>
        <item x="411"/>
        <item x="412"/>
        <item x="413"/>
        <item x="414"/>
        <item x="415"/>
        <item x="418"/>
        <item x="420"/>
        <item x="421"/>
        <item x="422"/>
        <item x="428"/>
        <item x="429"/>
        <item x="430"/>
        <item x="434"/>
        <item x="438"/>
        <item x="440"/>
        <item x="4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48">
        <item h="1" x="59"/>
        <item h="1" x="61"/>
        <item h="1" x="222"/>
        <item h="1" x="112"/>
        <item h="1" x="135"/>
        <item h="1" x="150"/>
        <item h="1" x="151"/>
        <item h="1" x="1"/>
        <item h="1" x="63"/>
        <item h="1" x="76"/>
        <item h="1" x="97"/>
        <item h="1" x="136"/>
        <item h="1" x="152"/>
        <item h="1" x="19"/>
        <item h="1" x="171"/>
        <item m="1" x="246"/>
        <item h="1" x="43"/>
        <item h="1" x="64"/>
        <item h="1" x="90"/>
        <item h="1" x="137"/>
        <item h="1" x="153"/>
        <item h="1" x="167"/>
        <item h="1" x="14"/>
        <item h="1" x="179"/>
        <item h="1" x="213"/>
        <item h="1" x="47"/>
        <item h="1" x="66"/>
        <item h="1" x="98"/>
        <item h="1" x="99"/>
        <item h="1" x="124"/>
        <item h="1" x="2"/>
        <item h="1" x="11"/>
        <item h="1" x="199"/>
        <item h="1" x="77"/>
        <item h="1" x="125"/>
        <item h="1" x="4"/>
        <item h="1" x="13"/>
        <item h="1" x="180"/>
        <item h="1" x="6"/>
        <item h="1" x="21"/>
        <item h="1" x="185"/>
        <item h="1" x="38"/>
        <item h="1" x="78"/>
        <item h="1" x="101"/>
        <item h="1" x="140"/>
        <item h="1" x="155"/>
        <item h="1" x="5"/>
        <item h="1" x="166"/>
        <item h="1" x="22"/>
        <item h="1" x="186"/>
        <item h="1" x="39"/>
        <item h="1" x="79"/>
        <item h="1" x="114"/>
        <item h="1" x="126"/>
        <item h="1" x="168"/>
        <item h="1" x="23"/>
        <item h="1" x="187"/>
        <item h="1" x="62"/>
        <item h="1" x="80"/>
        <item h="1" x="115"/>
        <item h="1" x="123"/>
        <item h="1" x="138"/>
        <item h="1" x="181"/>
        <item h="1" x="24"/>
        <item h="1" x="214"/>
        <item h="1" x="67"/>
        <item h="1" x="81"/>
        <item h="1" x="139"/>
        <item h="1" x="16"/>
        <item h="1" x="25"/>
        <item h="1" x="40"/>
        <item h="1" x="68"/>
        <item h="1" x="102"/>
        <item h="1" x="111"/>
        <item h="1" x="157"/>
        <item h="1" x="169"/>
        <item h="1" x="15"/>
        <item h="1" x="197"/>
        <item h="1" x="215"/>
        <item h="1" x="57"/>
        <item h="1" x="117"/>
        <item h="1" x="127"/>
        <item h="1" x="170"/>
        <item h="1" x="10"/>
        <item h="1" x="182"/>
        <item h="1" x="204"/>
        <item h="1" x="52"/>
        <item h="1" x="82"/>
        <item h="1" x="100"/>
        <item h="1" x="103"/>
        <item h="1" x="141"/>
        <item h="1" x="142"/>
        <item h="1" x="7"/>
        <item h="1" x="17"/>
        <item h="1" x="26"/>
        <item h="1" x="41"/>
        <item h="1" x="216"/>
        <item h="1" x="104"/>
        <item h="1" x="129"/>
        <item h="1" x="172"/>
        <item h="1" x="20"/>
        <item h="1" x="27"/>
        <item h="1" x="42"/>
        <item h="1" x="51"/>
        <item h="1" x="69"/>
        <item h="1" x="70"/>
        <item h="1" x="223"/>
        <item h="1" x="83"/>
        <item h="1" x="85"/>
        <item h="1" x="8"/>
        <item h="1" x="28"/>
        <item h="1" x="12"/>
        <item h="1" x="65"/>
        <item h="1" x="225"/>
        <item h="1" x="84"/>
        <item h="1" x="143"/>
        <item h="1" x="29"/>
        <item h="1" x="190"/>
        <item h="1" x="3"/>
        <item h="1" x="71"/>
        <item h="1" x="86"/>
        <item h="1" x="105"/>
        <item h="1" x="106"/>
        <item h="1" x="113"/>
        <item h="1" x="118"/>
        <item h="1" x="144"/>
        <item h="1" x="30"/>
        <item h="1" x="44"/>
        <item h="1" x="203"/>
        <item h="1" x="53"/>
        <item h="1" x="72"/>
        <item h="1" x="108"/>
        <item h="1" x="119"/>
        <item h="1" x="183"/>
        <item h="1" x="205"/>
        <item h="1" x="54"/>
        <item h="1" x="107"/>
        <item h="1" x="128"/>
        <item h="1" x="145"/>
        <item h="1" x="173"/>
        <item h="1" x="18"/>
        <item h="1" x="191"/>
        <item h="1" x="55"/>
        <item h="1" x="217"/>
        <item h="1" x="87"/>
        <item h="1" x="88"/>
        <item h="1" x="146"/>
        <item h="1" x="184"/>
        <item h="1" x="31"/>
        <item h="1" x="45"/>
        <item h="1" x="56"/>
        <item h="1" x="91"/>
        <item h="1" x="130"/>
        <item h="1" x="154"/>
        <item h="1" x="159"/>
        <item h="1" x="32"/>
        <item h="1" x="46"/>
        <item h="1" x="92"/>
        <item h="1" x="131"/>
        <item h="1" x="158"/>
        <item h="1" x="161"/>
        <item h="1" x="33"/>
        <item h="1" x="93"/>
        <item h="1" x="162"/>
        <item h="1" x="9"/>
        <item h="1" x="34"/>
        <item h="1" x="218"/>
        <item h="1" x="48"/>
        <item h="1" x="73"/>
        <item h="1" x="120"/>
        <item h="1" x="147"/>
        <item h="1" x="35"/>
        <item h="1" x="49"/>
        <item h="1" x="74"/>
        <item h="1" x="109"/>
        <item h="1" x="121"/>
        <item h="1" x="110"/>
        <item h="1" x="132"/>
        <item h="1" x="148"/>
        <item h="1" x="174"/>
        <item h="1" x="210"/>
        <item h="1" x="58"/>
        <item h="1" x="133"/>
        <item h="1" x="156"/>
        <item h="1" x="175"/>
        <item h="1" x="36"/>
        <item h="1" x="50"/>
        <item h="1" x="220"/>
        <item h="1" x="94"/>
        <item h="1" x="116"/>
        <item h="1" x="160"/>
        <item h="1" x="163"/>
        <item h="1" x="176"/>
        <item h="1" x="37"/>
        <item h="1" x="195"/>
        <item h="1" x="95"/>
        <item h="1" x="89"/>
        <item h="1" x="165"/>
        <item h="1" x="177"/>
        <item h="1" x="96"/>
        <item h="1" x="134"/>
        <item h="1" x="149"/>
        <item h="1" x="164"/>
        <item h="1" x="75"/>
        <item h="1" x="122"/>
        <item h="1" x="60"/>
        <item h="1" x="0"/>
        <item h="1" m="1" x="235"/>
        <item h="1" x="178"/>
        <item h="1" m="1" x="236"/>
        <item h="1" m="1" x="237"/>
        <item h="1" m="1" x="238"/>
        <item h="1" m="1" x="239"/>
        <item h="1" m="1" x="240"/>
        <item h="1" m="1" x="241"/>
        <item h="1" m="1" x="242"/>
        <item x="206"/>
        <item h="1" x="211"/>
        <item h="1" x="224"/>
        <item h="1" x="226"/>
        <item h="1" x="227"/>
        <item h="1" x="228"/>
        <item m="1" x="243"/>
        <item x="229"/>
        <item m="1" x="244"/>
        <item m="1" x="234"/>
        <item m="1" x="245"/>
        <item x="230"/>
        <item h="1" x="188"/>
        <item h="1" x="189"/>
        <item h="1" x="192"/>
        <item h="1" x="193"/>
        <item h="1" x="194"/>
        <item h="1" x="196"/>
        <item h="1" x="198"/>
        <item h="1" x="200"/>
        <item h="1" x="201"/>
        <item h="1" x="202"/>
        <item h="1" x="207"/>
        <item h="1" x="208"/>
        <item h="1" x="209"/>
        <item h="1" x="212"/>
        <item h="1" x="219"/>
        <item h="1" x="221"/>
        <item x="231"/>
        <item x="232"/>
        <item x="233"/>
        <item t="default"/>
      </items>
    </pivotField>
    <pivotField showAll="0"/>
    <pivotField showAll="0"/>
    <pivotField showAll="0"/>
    <pivotField showAll="0"/>
    <pivotField showAll="0"/>
    <pivotField showAll="0"/>
    <pivotField showAll="0"/>
    <pivotField showAll="0"/>
    <pivotField dataField="1" showAll="0"/>
  </pivotFields>
  <rowFields count="1">
    <field x="6"/>
  </rowFields>
  <rowItems count="8">
    <i>
      <x v="66"/>
    </i>
    <i>
      <x v="253"/>
    </i>
    <i>
      <x v="347"/>
    </i>
    <i>
      <x v="402"/>
    </i>
    <i>
      <x v="452"/>
    </i>
    <i>
      <x v="482"/>
    </i>
    <i>
      <x v="488"/>
    </i>
    <i t="grand">
      <x/>
    </i>
  </rowItems>
  <colItems count="1">
    <i/>
  </colItems>
  <pageFields count="2">
    <pageField fld="0" hier="-1"/>
    <pageField fld="33" hier="-1"/>
  </pageFields>
  <dataFields count="1">
    <dataField name="Soma de Qdte" fld="4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Tabela dinâmica9"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D22:F28" firstHeaderRow="0" firstDataRow="1" firstDataCol="1" rowPageCount="2" colPageCount="1"/>
  <pivotFields count="19">
    <pivotField axis="axisPage" multipleItemSelectionAllowed="1" showAll="0">
      <items count="4">
        <item h="1" x="0"/>
        <item x="1"/>
        <item x="2"/>
        <item t="default"/>
      </items>
    </pivotField>
    <pivotField axis="axisRow" numFmtId="17" showAll="0">
      <items count="18">
        <item x="0"/>
        <item x="1"/>
        <item x="2"/>
        <item x="3"/>
        <item x="4"/>
        <item x="5"/>
        <item x="6"/>
        <item x="7"/>
        <item x="8"/>
        <item x="9"/>
        <item x="10"/>
        <item x="11"/>
        <item x="12"/>
        <item x="13"/>
        <item x="14"/>
        <item x="15"/>
        <item x="16"/>
        <item t="default"/>
      </items>
    </pivotField>
    <pivotField axis="axisPage" multipleItemSelectionAllowed="1" showAll="0">
      <items count="5">
        <item h="1" x="1"/>
        <item h="1" x="2"/>
        <item x="0"/>
        <item h="1" x="3"/>
        <item t="default"/>
      </items>
    </pivotField>
    <pivotField showAll="0"/>
    <pivotField showAll="0"/>
    <pivotField showAll="0"/>
    <pivotField numFmtId="44" showAll="0"/>
    <pivotField numFmtId="44" showAll="0"/>
    <pivotField numFmtId="44" showAll="0"/>
    <pivotField numFmtId="1" showAll="0"/>
    <pivotField showAll="0"/>
    <pivotField showAll="0"/>
    <pivotField dataField="1" numFmtId="44" showAll="0"/>
    <pivotField numFmtId="44" showAll="0"/>
    <pivotField numFmtId="44" showAll="0"/>
    <pivotField dataField="1" numFmtId="9"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18"/>
    <field x="17"/>
    <field x="1"/>
  </rowFields>
  <rowItems count="6">
    <i>
      <x/>
    </i>
    <i>
      <x v="1"/>
    </i>
    <i>
      <x v="2"/>
    </i>
    <i>
      <x v="3"/>
    </i>
    <i>
      <x v="4"/>
    </i>
    <i t="grand">
      <x/>
    </i>
  </rowItems>
  <colFields count="1">
    <field x="-2"/>
  </colFields>
  <colItems count="2">
    <i>
      <x/>
    </i>
    <i i="1">
      <x v="1"/>
    </i>
  </colItems>
  <pageFields count="2">
    <pageField fld="2" hier="-1"/>
    <pageField fld="0" hier="-1"/>
  </pageFields>
  <dataFields count="2">
    <dataField name="Cobertura" fld="15" baseField="14" baseItem="1" numFmtId="9"/>
    <dataField name="Objetivo" fld="12" baseField="14" baseItem="1" numFmtId="1"/>
  </dataFields>
  <formats count="39">
    <format dxfId="330">
      <pivotArea type="all" dataOnly="0" outline="0" fieldPosition="0"/>
    </format>
    <format dxfId="329">
      <pivotArea field="18" type="button" dataOnly="0" labelOnly="1" outline="0" axis="axisRow" fieldPosition="0"/>
    </format>
    <format dxfId="328">
      <pivotArea dataOnly="0" labelOnly="1" outline="0" fieldPosition="0">
        <references count="1">
          <reference field="4294967294" count="2">
            <x v="0"/>
            <x v="1"/>
          </reference>
        </references>
      </pivotArea>
    </format>
    <format dxfId="327">
      <pivotArea type="all" dataOnly="0" outline="0" fieldPosition="0"/>
    </format>
    <format dxfId="326">
      <pivotArea field="18" type="button" dataOnly="0" labelOnly="1" outline="0" axis="axisRow" fieldPosition="0"/>
    </format>
    <format dxfId="325">
      <pivotArea dataOnly="0" labelOnly="1" outline="0" fieldPosition="0">
        <references count="1">
          <reference field="4294967294" count="2">
            <x v="0"/>
            <x v="1"/>
          </reference>
        </references>
      </pivotArea>
    </format>
    <format dxfId="324">
      <pivotArea collapsedLevelsAreSubtotals="1" fieldPosition="0">
        <references count="1">
          <reference field="18" count="1">
            <x v="0"/>
          </reference>
        </references>
      </pivotArea>
    </format>
    <format dxfId="323">
      <pivotArea collapsedLevelsAreSubtotals="1" fieldPosition="0">
        <references count="1">
          <reference field="18" count="1">
            <x v="1"/>
          </reference>
        </references>
      </pivotArea>
    </format>
    <format dxfId="322">
      <pivotArea collapsedLevelsAreSubtotals="1" fieldPosition="0">
        <references count="1">
          <reference field="18" count="1">
            <x v="2"/>
          </reference>
        </references>
      </pivotArea>
    </format>
    <format dxfId="321">
      <pivotArea collapsedLevelsAreSubtotals="1" fieldPosition="0">
        <references count="1">
          <reference field="18" count="1">
            <x v="3"/>
          </reference>
        </references>
      </pivotArea>
    </format>
    <format dxfId="320">
      <pivotArea collapsedLevelsAreSubtotals="1" fieldPosition="0">
        <references count="1">
          <reference field="18" count="1">
            <x v="4"/>
          </reference>
        </references>
      </pivotArea>
    </format>
    <format dxfId="319">
      <pivotArea collapsedLevelsAreSubtotals="1" fieldPosition="0">
        <references count="1">
          <reference field="18" count="1">
            <x v="5"/>
          </reference>
        </references>
      </pivotArea>
    </format>
    <format dxfId="318">
      <pivotArea collapsedLevelsAreSubtotals="1" fieldPosition="0">
        <references count="1">
          <reference field="18" count="1">
            <x v="6"/>
          </reference>
        </references>
      </pivotArea>
    </format>
    <format dxfId="317">
      <pivotArea collapsedLevelsAreSubtotals="1" fieldPosition="0">
        <references count="1">
          <reference field="18" count="1">
            <x v="7"/>
          </reference>
        </references>
      </pivotArea>
    </format>
    <format dxfId="316">
      <pivotArea collapsedLevelsAreSubtotals="1" fieldPosition="0">
        <references count="1">
          <reference field="18" count="1">
            <x v="8"/>
          </reference>
        </references>
      </pivotArea>
    </format>
    <format dxfId="315">
      <pivotArea collapsedLevelsAreSubtotals="1" fieldPosition="0">
        <references count="1">
          <reference field="18" count="1">
            <x v="9"/>
          </reference>
        </references>
      </pivotArea>
    </format>
    <format dxfId="314">
      <pivotArea collapsedLevelsAreSubtotals="1" fieldPosition="0">
        <references count="1">
          <reference field="18" count="1">
            <x v="10"/>
          </reference>
        </references>
      </pivotArea>
    </format>
    <format dxfId="313">
      <pivotArea outline="0" collapsedLevelsAreSubtotals="1" fieldPosition="0">
        <references count="1">
          <reference field="4294967294" count="1" selected="0">
            <x v="1"/>
          </reference>
        </references>
      </pivotArea>
    </format>
    <format dxfId="312">
      <pivotArea collapsedLevelsAreSubtotals="1" fieldPosition="0">
        <references count="2">
          <reference field="4294967294" count="1" selected="0">
            <x v="0"/>
          </reference>
          <reference field="18" count="1">
            <x v="0"/>
          </reference>
        </references>
      </pivotArea>
    </format>
    <format dxfId="311">
      <pivotArea collapsedLevelsAreSubtotals="1" fieldPosition="0">
        <references count="2">
          <reference field="4294967294" count="1" selected="0">
            <x v="0"/>
          </reference>
          <reference field="18" count="1">
            <x v="1"/>
          </reference>
        </references>
      </pivotArea>
    </format>
    <format dxfId="310">
      <pivotArea collapsedLevelsAreSubtotals="1" fieldPosition="0">
        <references count="2">
          <reference field="4294967294" count="1" selected="0">
            <x v="0"/>
          </reference>
          <reference field="18" count="1">
            <x v="2"/>
          </reference>
        </references>
      </pivotArea>
    </format>
    <format dxfId="309">
      <pivotArea collapsedLevelsAreSubtotals="1" fieldPosition="0">
        <references count="2">
          <reference field="4294967294" count="1" selected="0">
            <x v="0"/>
          </reference>
          <reference field="18" count="1">
            <x v="3"/>
          </reference>
        </references>
      </pivotArea>
    </format>
    <format dxfId="308">
      <pivotArea collapsedLevelsAreSubtotals="1" fieldPosition="0">
        <references count="2">
          <reference field="4294967294" count="1" selected="0">
            <x v="0"/>
          </reference>
          <reference field="18" count="1">
            <x v="4"/>
          </reference>
        </references>
      </pivotArea>
    </format>
    <format dxfId="307">
      <pivotArea collapsedLevelsAreSubtotals="1" fieldPosition="0">
        <references count="2">
          <reference field="4294967294" count="1" selected="0">
            <x v="0"/>
          </reference>
          <reference field="18" count="1">
            <x v="5"/>
          </reference>
        </references>
      </pivotArea>
    </format>
    <format dxfId="306">
      <pivotArea collapsedLevelsAreSubtotals="1" fieldPosition="0">
        <references count="2">
          <reference field="4294967294" count="1" selected="0">
            <x v="0"/>
          </reference>
          <reference field="18" count="1">
            <x v="6"/>
          </reference>
        </references>
      </pivotArea>
    </format>
    <format dxfId="305">
      <pivotArea collapsedLevelsAreSubtotals="1" fieldPosition="0">
        <references count="2">
          <reference field="4294967294" count="1" selected="0">
            <x v="0"/>
          </reference>
          <reference field="18" count="1">
            <x v="7"/>
          </reference>
        </references>
      </pivotArea>
    </format>
    <format dxfId="304">
      <pivotArea collapsedLevelsAreSubtotals="1" fieldPosition="0">
        <references count="2">
          <reference field="4294967294" count="1" selected="0">
            <x v="0"/>
          </reference>
          <reference field="18" count="1">
            <x v="8"/>
          </reference>
        </references>
      </pivotArea>
    </format>
    <format dxfId="303">
      <pivotArea collapsedLevelsAreSubtotals="1" fieldPosition="0">
        <references count="2">
          <reference field="4294967294" count="1" selected="0">
            <x v="0"/>
          </reference>
          <reference field="18" count="1">
            <x v="9"/>
          </reference>
        </references>
      </pivotArea>
    </format>
    <format dxfId="302">
      <pivotArea collapsedLevelsAreSubtotals="1" fieldPosition="0">
        <references count="2">
          <reference field="4294967294" count="1" selected="0">
            <x v="0"/>
          </reference>
          <reference field="18" count="1">
            <x v="10"/>
          </reference>
        </references>
      </pivotArea>
    </format>
    <format dxfId="301">
      <pivotArea collapsedLevelsAreSubtotals="1" fieldPosition="0">
        <references count="2">
          <reference field="4294967294" count="1" selected="0">
            <x v="0"/>
          </reference>
          <reference field="18" count="1">
            <x v="11"/>
          </reference>
        </references>
      </pivotArea>
    </format>
    <format dxfId="300">
      <pivotArea outline="0" collapsedLevelsAreSubtotals="1" fieldPosition="0"/>
    </format>
    <format dxfId="299">
      <pivotArea dataOnly="0" labelOnly="1" fieldPosition="0">
        <references count="1">
          <reference field="18" count="0"/>
        </references>
      </pivotArea>
    </format>
    <format dxfId="298">
      <pivotArea dataOnly="0" labelOnly="1" grandRow="1" outline="0" fieldPosition="0"/>
    </format>
    <format>
      <pivotArea outline="0" collapsedLevelsAreSubtotals="1" fieldPosition="0"/>
    </format>
    <format>
      <pivotArea dataOnly="0" labelOnly="1" fieldPosition="0">
        <references count="1">
          <reference field="18" count="0"/>
        </references>
      </pivotArea>
    </format>
    <format>
      <pivotArea dataOnly="0" labelOnly="1" grandRow="1" outline="0" fieldPosition="0"/>
    </format>
    <format dxfId="297">
      <pivotArea outline="0" collapsedLevelsAreSubtotals="1" fieldPosition="0"/>
    </format>
    <format dxfId="296">
      <pivotArea dataOnly="0" labelOnly="1" fieldPosition="0">
        <references count="1">
          <reference field="18" count="0"/>
        </references>
      </pivotArea>
    </format>
    <format dxfId="295">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A00-00000F000000}" name="Tabela dinâmica7" cacheId="1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194:D214" firstHeaderRow="1" firstDataRow="1" firstDataCol="2"/>
  <pivotFields count="22">
    <pivotField compact="0" numFmtId="14" outline="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s>
    </pivotField>
    <pivotField compact="0" outline="0" showAll="0" defaultSubtotal="0"/>
    <pivotField compact="0" outline="0" showAll="0" defaultSubtotal="0"/>
    <pivotField compact="0" outline="0" showAll="0" defaultSubtotal="0"/>
    <pivotField axis="axisRow" compact="0" outline="0" showAll="0" defaultSubtotal="0">
      <items count="35">
        <item x="31"/>
        <item x="30"/>
        <item x="26"/>
        <item x="2"/>
        <item x="19"/>
        <item x="23"/>
        <item x="15"/>
        <item x="33"/>
        <item x="3"/>
        <item x="10"/>
        <item x="22"/>
        <item x="20"/>
        <item x="18"/>
        <item x="12"/>
        <item x="1"/>
        <item x="16"/>
        <item x="0"/>
        <item x="21"/>
        <item x="32"/>
        <item x="24"/>
        <item x="34"/>
        <item x="7"/>
        <item x="13"/>
        <item x="29"/>
        <item x="9"/>
        <item x="14"/>
        <item x="5"/>
        <item x="6"/>
        <item x="28"/>
        <item x="27"/>
        <item x="25"/>
        <item x="17"/>
        <item x="11"/>
        <item x="8"/>
        <item x="4"/>
      </items>
    </pivotField>
    <pivotField compact="0" outline="0" showAll="0" defaultSubtotal="0"/>
    <pivotField compact="0" numFmtId="1" outline="0" showAll="0" defaultSubtotal="0"/>
    <pivotField compact="0" numFmtId="164" outline="0" showAll="0" defaultSubtotal="0"/>
    <pivotField dataField="1" compact="0" numFmtId="165" outline="0" showAll="0" defaultSubtotal="0"/>
    <pivotField compact="0" numFmtId="10"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h="1" sd="0" x="0"/>
        <item h="1" sd="0" x="1"/>
        <item h="1" sd="0" x="2"/>
        <item h="1" sd="0" x="3"/>
        <item h="1" sd="0" x="4"/>
        <item h="1" sd="0" x="5"/>
        <item h="1" sd="0" x="6"/>
        <item h="1" sd="0" x="7"/>
        <item h="1" sd="0" x="8"/>
        <item h="1" sd="0" x="9"/>
        <item x="10"/>
        <item x="11"/>
        <item x="12"/>
        <item h="1" sd="0" x="13"/>
      </items>
    </pivotField>
  </pivotFields>
  <rowFields count="2">
    <field x="21"/>
    <field x="4"/>
  </rowFields>
  <rowItems count="20">
    <i>
      <x v="10"/>
      <x v="8"/>
    </i>
    <i r="1">
      <x v="9"/>
    </i>
    <i r="1">
      <x v="20"/>
    </i>
    <i r="1">
      <x v="24"/>
    </i>
    <i r="1">
      <x v="33"/>
    </i>
    <i r="1">
      <x v="34"/>
    </i>
    <i>
      <x v="11"/>
      <x v="9"/>
    </i>
    <i r="1">
      <x v="22"/>
    </i>
    <i r="1">
      <x v="24"/>
    </i>
    <i r="1">
      <x v="33"/>
    </i>
    <i r="1">
      <x v="34"/>
    </i>
    <i>
      <x v="12"/>
      <x v="5"/>
    </i>
    <i r="1">
      <x v="9"/>
    </i>
    <i r="1">
      <x v="10"/>
    </i>
    <i r="1">
      <x v="14"/>
    </i>
    <i r="1">
      <x v="17"/>
    </i>
    <i r="1">
      <x v="24"/>
    </i>
    <i r="1">
      <x v="33"/>
    </i>
    <i r="1">
      <x v="34"/>
    </i>
    <i t="grand">
      <x/>
    </i>
  </rowItems>
  <colItems count="1">
    <i/>
  </colItems>
  <dataFields count="1">
    <dataField name="VENDA" fld="8" baseField="4" baseItem="8" numFmtId="165"/>
  </dataFields>
  <formats count="6">
    <format dxfId="177">
      <pivotArea dataOnly="0" labelOnly="1" outline="0" axis="axisValues" fieldPosition="0"/>
    </format>
    <format dxfId="176">
      <pivotArea field="21" type="button" dataOnly="0" labelOnly="1" outline="0" axis="axisRow" fieldPosition="0"/>
    </format>
    <format dxfId="175">
      <pivotArea field="4" type="button" dataOnly="0" labelOnly="1" outline="0" axis="axisRow" fieldPosition="1"/>
    </format>
    <format dxfId="174">
      <pivotArea dataOnly="0" labelOnly="1" outline="0" axis="axisValues" fieldPosition="0"/>
    </format>
    <format dxfId="173">
      <pivotArea grandRow="1" outline="0" collapsedLevelsAreSubtotals="1" fieldPosition="0"/>
    </format>
    <format dxfId="172">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A00-00000E000000}" name="Tabela dinâmica8" cacheId="1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I3:K10" firstHeaderRow="1" firstDataRow="1" firstDataCol="2"/>
  <pivotFields count="22">
    <pivotField compact="0" numFmtId="14" outline="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s>
    </pivotField>
    <pivotField compact="0" outline="0" showAll="0" defaultSubtotal="0"/>
    <pivotField compact="0" outline="0" showAll="0" defaultSubtotal="0"/>
    <pivotField compact="0" outline="0" showAll="0" defaultSubtotal="0"/>
    <pivotField compact="0" outline="0" showAll="0" defaultSubtotal="0"/>
    <pivotField axis="axisRow" compact="0" outline="0" multipleItemSelectionAllowed="1" showAll="0" defaultSubtotal="0">
      <items count="4">
        <item h="1" x="2"/>
        <item x="3"/>
        <item h="1" x="0"/>
        <item x="1"/>
      </items>
    </pivotField>
    <pivotField dataField="1" compact="0" numFmtId="1" outline="0" showAll="0" defaultSubtotal="0"/>
    <pivotField compact="0" numFmtId="164" outline="0" showAll="0" defaultSubtotal="0"/>
    <pivotField compact="0" numFmtId="165" outline="0" showAll="0" defaultSubtotal="0"/>
    <pivotField compact="0" numFmtId="10"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h="1" sd="0" x="0"/>
        <item h="1" sd="0" x="1"/>
        <item h="1" sd="0" x="2"/>
        <item h="1" sd="0" x="3"/>
        <item h="1" sd="0" x="4"/>
        <item h="1" sd="0" x="5"/>
        <item h="1" sd="0" x="6"/>
        <item h="1" sd="0" x="7"/>
        <item h="1" sd="0" x="8"/>
        <item h="1" sd="0" x="9"/>
        <item x="10"/>
        <item x="11"/>
        <item x="12"/>
        <item h="1" sd="0" x="13"/>
      </items>
    </pivotField>
  </pivotFields>
  <rowFields count="2">
    <field x="21"/>
    <field x="5"/>
  </rowFields>
  <rowItems count="7">
    <i>
      <x v="10"/>
      <x v="1"/>
    </i>
    <i r="1">
      <x v="3"/>
    </i>
    <i>
      <x v="11"/>
      <x v="1"/>
    </i>
    <i r="1">
      <x v="3"/>
    </i>
    <i>
      <x v="12"/>
      <x v="1"/>
    </i>
    <i r="1">
      <x v="3"/>
    </i>
    <i t="grand">
      <x/>
    </i>
  </rowItems>
  <colItems count="1">
    <i/>
  </colItems>
  <dataFields count="1">
    <dataField name="HORAS" fld="6" baseField="21" baseItem="10" numFmtId="1"/>
  </dataFields>
  <formats count="1">
    <format dxfId="178">
      <pivotArea dataOnly="0"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A00-000012000000}" name="Tabela dinâmica9"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F196:L225" firstHeaderRow="0" firstDataRow="1" firstDataCol="3" rowPageCount="1" colPageCount="1"/>
  <pivotFields count="9">
    <pivotField dataField="1" compact="0" outline="0" showAll="0" defaultSubtotal="0"/>
    <pivotField axis="axisRow" compact="0" outline="0" showAll="0" defaultSubtotal="0">
      <items count="82">
        <item x="47"/>
        <item x="35"/>
        <item x="64"/>
        <item x="46"/>
        <item x="30"/>
        <item x="3"/>
        <item x="26"/>
        <item x="42"/>
        <item x="33"/>
        <item x="27"/>
        <item x="75"/>
        <item x="23"/>
        <item x="58"/>
        <item x="24"/>
        <item x="72"/>
        <item x="17"/>
        <item x="18"/>
        <item x="16"/>
        <item x="54"/>
        <item x="63"/>
        <item x="44"/>
        <item x="56"/>
        <item x="65"/>
        <item x="81"/>
        <item x="20"/>
        <item x="55"/>
        <item x="12"/>
        <item x="60"/>
        <item x="25"/>
        <item x="76"/>
        <item x="77"/>
        <item x="66"/>
        <item x="40"/>
        <item x="62"/>
        <item x="34"/>
        <item x="29"/>
        <item x="57"/>
        <item x="45"/>
        <item x="50"/>
        <item x="36"/>
        <item x="59"/>
        <item x="9"/>
        <item x="8"/>
        <item x="4"/>
        <item x="32"/>
        <item x="74"/>
        <item x="48"/>
        <item x="49"/>
        <item x="73"/>
        <item x="6"/>
        <item x="5"/>
        <item x="0"/>
        <item x="7"/>
        <item x="79"/>
        <item x="80"/>
        <item x="70"/>
        <item x="69"/>
        <item x="68"/>
        <item x="1"/>
        <item x="78"/>
        <item x="71"/>
        <item x="52"/>
        <item x="11"/>
        <item x="10"/>
        <item x="19"/>
        <item x="53"/>
        <item x="28"/>
        <item x="2"/>
        <item x="22"/>
        <item x="21"/>
        <item x="39"/>
        <item x="43"/>
        <item x="67"/>
        <item x="38"/>
        <item x="41"/>
        <item x="14"/>
        <item x="15"/>
        <item x="13"/>
        <item x="61"/>
        <item x="31"/>
        <item x="51"/>
        <item x="37"/>
      </items>
    </pivotField>
    <pivotField axis="axisRow" compact="0" outline="0" showAll="0" defaultSubtotal="0">
      <items count="25">
        <item x="11"/>
        <item x="4"/>
        <item x="6"/>
        <item x="15"/>
        <item x="0"/>
        <item x="1"/>
        <item x="23"/>
        <item x="21"/>
        <item x="3"/>
        <item x="24"/>
        <item x="19"/>
        <item x="2"/>
        <item x="13"/>
        <item x="9"/>
        <item x="8"/>
        <item x="14"/>
        <item x="10"/>
        <item x="16"/>
        <item x="18"/>
        <item x="17"/>
        <item x="22"/>
        <item x="7"/>
        <item x="20"/>
        <item x="12"/>
        <item x="5"/>
      </items>
    </pivotField>
    <pivotField axis="axisRow" compact="0" outline="0" showAll="0" defaultSubtotal="0">
      <items count="3">
        <item x="0"/>
        <item x="1"/>
        <item x="2"/>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axis="axisPage" compact="0" outline="0" multipleItemSelectionAllowed="1" showAll="0" defaultSubtotal="0">
      <items count="4">
        <item h="1" x="1"/>
        <item x="0"/>
        <item x="3"/>
        <item x="2"/>
      </items>
    </pivotField>
  </pivotFields>
  <rowFields count="3">
    <field x="1"/>
    <field x="3"/>
    <field x="2"/>
  </rowFields>
  <rowItems count="29">
    <i>
      <x v="3"/>
      <x v="1"/>
      <x v="23"/>
    </i>
    <i>
      <x v="5"/>
      <x/>
      <x v="11"/>
    </i>
    <i>
      <x v="14"/>
      <x v="2"/>
      <x v="4"/>
    </i>
    <i>
      <x v="15"/>
      <x/>
      <x v="4"/>
    </i>
    <i>
      <x v="16"/>
      <x/>
      <x v="8"/>
    </i>
    <i>
      <x v="17"/>
      <x/>
      <x v="11"/>
    </i>
    <i>
      <x v="24"/>
      <x/>
      <x v="2"/>
    </i>
    <i>
      <x v="25"/>
      <x v="2"/>
      <x v="15"/>
    </i>
    <i>
      <x v="26"/>
      <x/>
      <x v="24"/>
    </i>
    <i>
      <x v="31"/>
      <x v="2"/>
      <x v="17"/>
    </i>
    <i>
      <x v="34"/>
      <x v="1"/>
      <x v="4"/>
    </i>
    <i>
      <x v="35"/>
      <x v="1"/>
      <x v="4"/>
    </i>
    <i>
      <x v="37"/>
      <x v="1"/>
      <x/>
    </i>
    <i>
      <x v="41"/>
      <x/>
      <x v="8"/>
    </i>
    <i>
      <x v="42"/>
      <x/>
      <x v="11"/>
    </i>
    <i>
      <x v="43"/>
      <x/>
      <x v="8"/>
    </i>
    <i>
      <x v="47"/>
      <x v="1"/>
      <x v="4"/>
    </i>
    <i>
      <x v="48"/>
      <x v="2"/>
      <x v="7"/>
    </i>
    <i>
      <x v="49"/>
      <x/>
      <x v="8"/>
    </i>
    <i>
      <x v="50"/>
      <x/>
      <x v="11"/>
    </i>
    <i>
      <x v="51"/>
      <x/>
      <x v="4"/>
    </i>
    <i>
      <x v="52"/>
      <x/>
      <x v="1"/>
    </i>
    <i>
      <x v="66"/>
      <x v="1"/>
      <x v="11"/>
    </i>
    <i>
      <x v="67"/>
      <x/>
      <x v="5"/>
    </i>
    <i>
      <x v="72"/>
      <x v="2"/>
      <x v="8"/>
    </i>
    <i>
      <x v="75"/>
      <x/>
      <x v="4"/>
    </i>
    <i>
      <x v="76"/>
      <x/>
      <x v="8"/>
    </i>
    <i>
      <x v="77"/>
      <x/>
      <x v="11"/>
    </i>
    <i t="grand">
      <x/>
    </i>
  </rowItems>
  <colFields count="1">
    <field x="-2"/>
  </colFields>
  <colItems count="4">
    <i>
      <x/>
    </i>
    <i i="1">
      <x v="1"/>
    </i>
    <i i="2">
      <x v="2"/>
    </i>
    <i i="3">
      <x v="3"/>
    </i>
  </colItems>
  <pageFields count="1">
    <pageField fld="8" hier="-1"/>
  </pageFields>
  <dataFields count="4">
    <dataField name="Soma de Qtde" fld="0" baseField="0" baseItem="0"/>
    <dataField name="_Vlr Projeto" fld="4" baseField="2" baseItem="7" numFmtId="44"/>
    <dataField name="_Mensalidade" fld="5" baseField="2" baseItem="7" numFmtId="44"/>
    <dataField name="_Horas" fld="6" baseField="2" baseItem="7" numFmtId="1"/>
  </dataFields>
  <formats count="3">
    <format dxfId="181">
      <pivotArea outline="0" collapsedLevelsAreSubtotals="1" fieldPosition="0"/>
    </format>
    <format dxfId="180">
      <pivotArea outline="0" fieldPosition="0">
        <references count="1">
          <reference field="4294967294" count="3" selected="0">
            <x v="1"/>
            <x v="2"/>
            <x v="3"/>
          </reference>
        </references>
      </pivotArea>
    </format>
    <format dxfId="179">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A00-000011000000}" name="Tabela dinâmica5" cacheId="10"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B5:C9" firstHeaderRow="1" firstDataRow="1" firstDataCol="1" rowPageCount="1" colPageCount="1"/>
  <pivotFields count="22">
    <pivotField compact="0" numFmtId="14" outline="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s>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4">
        <item h="1" x="2"/>
        <item h="1" x="3"/>
        <item x="0"/>
        <item h="1" x="1"/>
      </items>
    </pivotField>
    <pivotField compact="0" numFmtId="1" outline="0" showAll="0" defaultSubtotal="0"/>
    <pivotField compact="0" numFmtId="164" outline="0" showAll="0" defaultSubtotal="0"/>
    <pivotField dataField="1" compact="0" numFmtId="165" outline="0" showAll="0" defaultSubtotal="0"/>
    <pivotField compact="0" numFmtId="10"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multipleItemSelectionAllowed="1" showAll="0" defaultSubtotal="0">
      <items count="14">
        <item h="1" sd="0" x="0"/>
        <item h="1" sd="0" x="1"/>
        <item h="1" sd="0" x="2"/>
        <item h="1" sd="0" x="3"/>
        <item h="1" sd="0" x="4"/>
        <item h="1" sd="0" x="5"/>
        <item h="1" sd="0" x="6"/>
        <item h="1" sd="0" x="7"/>
        <item h="1" sd="0" x="8"/>
        <item h="1" sd="0" x="9"/>
        <item sd="0" x="10"/>
        <item sd="0" x="11"/>
        <item sd="0" x="12"/>
        <item h="1" sd="0" x="13"/>
      </items>
    </pivotField>
  </pivotFields>
  <rowFields count="1">
    <field x="21"/>
  </rowFields>
  <rowItems count="4">
    <i>
      <x v="10"/>
    </i>
    <i>
      <x v="11"/>
    </i>
    <i>
      <x v="12"/>
    </i>
    <i t="grand">
      <x/>
    </i>
  </rowItems>
  <colItems count="1">
    <i/>
  </colItems>
  <pageFields count="1">
    <pageField fld="5" hier="-1"/>
  </pageFields>
  <dataFields count="1">
    <dataField name="RECORRENTE" fld="8" baseField="21" baseItem="10" numFmtId="165"/>
  </dataFields>
  <formats count="4">
    <format dxfId="185">
      <pivotArea field="21" type="button" dataOnly="0" labelOnly="1" outline="0" axis="axisRow" fieldPosition="0"/>
    </format>
    <format dxfId="184">
      <pivotArea dataOnly="0" labelOnly="1" outline="0" axis="axisValues" fieldPosition="0"/>
    </format>
    <format dxfId="183">
      <pivotArea grandRow="1" outline="0" collapsedLevelsAreSubtotals="1" fieldPosition="0"/>
    </format>
    <format dxfId="182">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A00-000010000000}" name="Tabela dinâmica6"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5:G9" firstHeaderRow="1" firstDataRow="1" firstDataCol="1"/>
  <pivotFields count="2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 t="default"/>
      </items>
    </pivotField>
    <pivotField showAll="0"/>
    <pivotField showAll="0"/>
    <pivotField showAll="0"/>
    <pivotField showAll="0"/>
    <pivotField showAll="0"/>
    <pivotField numFmtId="1" showAll="0"/>
    <pivotField numFmtId="164" showAll="0"/>
    <pivotField dataField="1" numFmtId="165" showAll="0"/>
    <pivotField numFmtId="10" showAll="0"/>
    <pivotField showAll="0"/>
    <pivotField showAll="0"/>
    <pivotField numFmtId="165" showAll="0"/>
    <pivotField numFmtId="165"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h="1" sd="0" x="1"/>
        <item h="1" sd="0" x="2"/>
        <item h="1" sd="0" x="3"/>
        <item h="1" sd="0" x="4"/>
        <item h="1" sd="0" x="5"/>
        <item h="1" sd="0" x="6"/>
        <item h="1" sd="0" x="7"/>
        <item h="1" sd="0" x="8"/>
        <item h="1" sd="0" x="9"/>
        <item sd="0" x="10"/>
        <item sd="0" x="11"/>
        <item sd="0" x="12"/>
        <item h="1" sd="0" x="13"/>
      </items>
    </pivotField>
  </pivotFields>
  <rowFields count="1">
    <field x="21"/>
  </rowFields>
  <rowItems count="4">
    <i>
      <x v="10"/>
    </i>
    <i>
      <x v="11"/>
    </i>
    <i>
      <x v="12"/>
    </i>
    <i t="grand">
      <x/>
    </i>
  </rowItems>
  <colItems count="1">
    <i/>
  </colItems>
  <dataFields count="1">
    <dataField name="Soma de VlrTotal" fld="8" baseField="0" baseItem="0" numFmtId="165"/>
  </dataFields>
  <formats count="4">
    <format dxfId="189">
      <pivotArea grandRow="1" outline="0" collapsedLevelsAreSubtotals="1" fieldPosition="0"/>
    </format>
    <format dxfId="188">
      <pivotArea dataOnly="0" labelOnly="1" grandRow="1" outline="0" fieldPosition="0"/>
    </format>
    <format dxfId="187">
      <pivotArea field="21" type="button" dataOnly="0" labelOnly="1" outline="0" axis="axisRow" fieldPosition="0"/>
    </format>
    <format dxfId="186">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B00-000017000000}" name="Tabela dinâmica3"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L9" firstHeaderRow="1" firstDataRow="2" firstDataCol="1"/>
  <pivotFields count="2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 t="default"/>
      </items>
    </pivotField>
    <pivotField showAll="0"/>
    <pivotField axis="axisRow" showAll="0">
      <items count="4">
        <item x="0"/>
        <item x="1"/>
        <item x="2"/>
        <item t="default"/>
      </items>
    </pivotField>
    <pivotField showAll="0"/>
    <pivotField showAll="0"/>
    <pivotField axis="axisCol" showAll="0">
      <items count="5">
        <item x="2"/>
        <item x="3"/>
        <item x="0"/>
        <item x="1"/>
        <item t="default"/>
      </items>
    </pivotField>
    <pivotField numFmtId="1" showAll="0"/>
    <pivotField numFmtId="164" showAll="0"/>
    <pivotField dataField="1" numFmtId="165" showAll="0"/>
    <pivotField numFmtId="10" showAll="0"/>
    <pivotField showAll="0"/>
    <pivotField showAll="0"/>
    <pivotField numFmtId="165" showAll="0"/>
    <pivotField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5"/>
  </colFields>
  <colItems count="5">
    <i>
      <x/>
    </i>
    <i>
      <x v="1"/>
    </i>
    <i>
      <x v="2"/>
    </i>
    <i>
      <x v="3"/>
    </i>
    <i t="grand">
      <x/>
    </i>
  </colItems>
  <dataFields count="1">
    <dataField name="Soma de VlrTotal" fld="8" baseField="0" baseItem="0" numFmtId="165"/>
  </dataFields>
  <formats count="25">
    <format dxfId="100">
      <pivotArea type="all" dataOnly="0" outline="0" fieldPosition="0"/>
    </format>
    <format dxfId="99">
      <pivotArea outline="0" collapsedLevelsAreSubtotals="1" fieldPosition="0"/>
    </format>
    <format dxfId="98">
      <pivotArea type="origin" dataOnly="0" labelOnly="1" outline="0" fieldPosition="0"/>
    </format>
    <format dxfId="97">
      <pivotArea field="5" type="button" dataOnly="0" labelOnly="1" outline="0" axis="axisCol" fieldPosition="0"/>
    </format>
    <format dxfId="96">
      <pivotArea type="topRight" dataOnly="0" labelOnly="1" outline="0"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fieldPosition="0">
        <references count="1">
          <reference field="5" count="0"/>
        </references>
      </pivotArea>
    </format>
    <format dxfId="91">
      <pivotArea dataOnly="0" labelOnly="1" grandCol="1" outline="0" fieldPosition="0"/>
    </format>
    <format dxfId="90">
      <pivotArea type="origin" dataOnly="0" labelOnly="1" outline="0" fieldPosition="0"/>
    </format>
    <format dxfId="89">
      <pivotArea field="5" type="button" dataOnly="0" labelOnly="1" outline="0" axis="axisCol" fieldPosition="0"/>
    </format>
    <format dxfId="88">
      <pivotArea type="topRight" dataOnly="0" labelOnly="1" outline="0" fieldPosition="0"/>
    </format>
    <format dxfId="87">
      <pivotArea field="2" type="button" dataOnly="0" labelOnly="1" outline="0" axis="axisRow" fieldPosition="0"/>
    </format>
    <format dxfId="86">
      <pivotArea dataOnly="0" labelOnly="1" fieldPosition="0">
        <references count="1">
          <reference field="5" count="0"/>
        </references>
      </pivotArea>
    </format>
    <format dxfId="85">
      <pivotArea dataOnly="0" labelOnly="1" grandCol="1" outline="0" fieldPosition="0"/>
    </format>
    <format dxfId="84">
      <pivotArea type="origin" dataOnly="0" labelOnly="1" outline="0" fieldPosition="0"/>
    </format>
    <format dxfId="83">
      <pivotArea field="5" type="button" dataOnly="0" labelOnly="1" outline="0" axis="axisCol" fieldPosition="0"/>
    </format>
    <format dxfId="82">
      <pivotArea type="topRight" dataOnly="0" labelOnly="1" outline="0" fieldPosition="0"/>
    </format>
    <format dxfId="81">
      <pivotArea field="2" type="button" dataOnly="0" labelOnly="1" outline="0" axis="axisRow" fieldPosition="0"/>
    </format>
    <format dxfId="80">
      <pivotArea dataOnly="0" labelOnly="1" fieldPosition="0">
        <references count="1">
          <reference field="5" count="0"/>
        </references>
      </pivotArea>
    </format>
    <format dxfId="79">
      <pivotArea dataOnly="0" labelOnly="1" grandCol="1" outline="0" fieldPosition="0"/>
    </format>
    <format dxfId="78">
      <pivotArea grandRow="1" outline="0" collapsedLevelsAreSubtotals="1" fieldPosition="0"/>
    </format>
    <format dxfId="77">
      <pivotArea dataOnly="0" labelOnly="1" grandRow="1" outline="0" fieldPosition="0"/>
    </format>
    <format dxfId="76">
      <pivotArea dataOnly="0" grandRow="1" axis="axisRow"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B00-000016000000}" name="Tabela dinâmica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G516:I522" firstHeaderRow="0" firstDataRow="1" firstDataCol="1" rowPageCount="2" colPageCount="1"/>
  <pivotFields count="19">
    <pivotField axis="axisPage" multipleItemSelectionAllowed="1" showAll="0">
      <items count="4">
        <item h="1" x="0"/>
        <item x="1"/>
        <item x="2"/>
        <item t="default"/>
      </items>
    </pivotField>
    <pivotField axis="axisRow" numFmtId="17" showAll="0">
      <items count="18">
        <item x="0"/>
        <item x="1"/>
        <item x="2"/>
        <item x="3"/>
        <item x="4"/>
        <item x="5"/>
        <item x="6"/>
        <item x="7"/>
        <item x="8"/>
        <item x="9"/>
        <item x="10"/>
        <item x="11"/>
        <item x="12"/>
        <item x="13"/>
        <item x="14"/>
        <item x="15"/>
        <item x="16"/>
        <item t="default"/>
      </items>
    </pivotField>
    <pivotField axis="axisPage" multipleItemSelectionAllowed="1" showAll="0">
      <items count="5">
        <item h="1" x="1"/>
        <item h="1" x="2"/>
        <item x="0"/>
        <item h="1" x="3"/>
        <item t="default"/>
      </items>
    </pivotField>
    <pivotField showAll="0"/>
    <pivotField showAll="0"/>
    <pivotField showAll="0"/>
    <pivotField numFmtId="44" showAll="0"/>
    <pivotField numFmtId="44" showAll="0"/>
    <pivotField numFmtId="44" showAll="0"/>
    <pivotField numFmtId="1" showAll="0"/>
    <pivotField showAll="0"/>
    <pivotField showAll="0"/>
    <pivotField dataField="1" numFmtId="44" showAll="0"/>
    <pivotField numFmtId="44" showAll="0"/>
    <pivotField numFmtId="44" showAll="0"/>
    <pivotField dataField="1" numFmtId="9"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items>
    </pivotField>
  </pivotFields>
  <rowFields count="3">
    <field x="18"/>
    <field x="17"/>
    <field x="1"/>
  </rowFields>
  <rowItems count="6">
    <i>
      <x v="9"/>
    </i>
    <i>
      <x v="10"/>
    </i>
    <i>
      <x v="11"/>
    </i>
    <i>
      <x v="12"/>
    </i>
    <i>
      <x v="13"/>
    </i>
    <i t="grand">
      <x/>
    </i>
  </rowItems>
  <colFields count="1">
    <field x="-2"/>
  </colFields>
  <colItems count="2">
    <i>
      <x/>
    </i>
    <i i="1">
      <x v="1"/>
    </i>
  </colItems>
  <pageFields count="2">
    <pageField fld="2" hier="-1"/>
    <pageField fld="0" hier="-1"/>
  </pageFields>
  <dataFields count="2">
    <dataField name="Cobertura" fld="15" baseField="14" baseItem="1" numFmtId="9"/>
    <dataField name="Objetivo" fld="12" baseField="14" baseItem="1" numFmtId="1"/>
  </dataFields>
  <formats count="25">
    <format dxfId="125">
      <pivotArea type="all" dataOnly="0" outline="0" fieldPosition="0"/>
    </format>
    <format dxfId="124">
      <pivotArea outline="0" collapsedLevelsAreSubtotals="1" fieldPosition="0"/>
    </format>
    <format dxfId="123">
      <pivotArea field="18" type="button" dataOnly="0" labelOnly="1" outline="0" axis="axisRow" fieldPosition="0"/>
    </format>
    <format dxfId="122">
      <pivotArea dataOnly="0" labelOnly="1" fieldPosition="0">
        <references count="1">
          <reference field="18" count="11">
            <x v="3"/>
            <x v="4"/>
            <x v="5"/>
            <x v="6"/>
            <x v="7"/>
            <x v="8"/>
            <x v="9"/>
            <x v="10"/>
            <x v="11"/>
            <x v="12"/>
            <x v="13"/>
          </reference>
        </references>
      </pivotArea>
    </format>
    <format dxfId="121">
      <pivotArea dataOnly="0" labelOnly="1" grandRow="1" outline="0" fieldPosition="0"/>
    </format>
    <format dxfId="120">
      <pivotArea dataOnly="0" labelOnly="1" outline="0" fieldPosition="0">
        <references count="1">
          <reference field="4294967294" count="2">
            <x v="0"/>
            <x v="1"/>
          </reference>
        </references>
      </pivotArea>
    </format>
    <format dxfId="119">
      <pivotArea type="all" dataOnly="0" outline="0" fieldPosition="0"/>
    </format>
    <format dxfId="118">
      <pivotArea outline="0" collapsedLevelsAreSubtotals="1" fieldPosition="0"/>
    </format>
    <format dxfId="117">
      <pivotArea field="18" type="button" dataOnly="0" labelOnly="1" outline="0" axis="axisRow" fieldPosition="0"/>
    </format>
    <format dxfId="116">
      <pivotArea dataOnly="0" labelOnly="1" fieldPosition="0">
        <references count="1">
          <reference field="18" count="11">
            <x v="3"/>
            <x v="4"/>
            <x v="5"/>
            <x v="6"/>
            <x v="7"/>
            <x v="8"/>
            <x v="9"/>
            <x v="10"/>
            <x v="11"/>
            <x v="12"/>
            <x v="13"/>
          </reference>
        </references>
      </pivotArea>
    </format>
    <format dxfId="115">
      <pivotArea dataOnly="0" labelOnly="1" grandRow="1" outline="0" fieldPosition="0"/>
    </format>
    <format dxfId="114">
      <pivotArea dataOnly="0" labelOnly="1" outline="0" fieldPosition="0">
        <references count="1">
          <reference field="4294967294" count="2">
            <x v="0"/>
            <x v="1"/>
          </reference>
        </references>
      </pivotArea>
    </format>
    <format dxfId="113">
      <pivotArea collapsedLevelsAreSubtotals="1" fieldPosition="0">
        <references count="1">
          <reference field="18" count="1">
            <x v="13"/>
          </reference>
        </references>
      </pivotArea>
    </format>
    <format dxfId="112">
      <pivotArea collapsedLevelsAreSubtotals="1" fieldPosition="0">
        <references count="1">
          <reference field="18" count="1">
            <x v="12"/>
          </reference>
        </references>
      </pivotArea>
    </format>
    <format dxfId="111">
      <pivotArea collapsedLevelsAreSubtotals="1" fieldPosition="0">
        <references count="1">
          <reference field="18" count="1">
            <x v="11"/>
          </reference>
        </references>
      </pivotArea>
    </format>
    <format dxfId="110">
      <pivotArea collapsedLevelsAreSubtotals="1" fieldPosition="0">
        <references count="1">
          <reference field="18" count="1">
            <x v="10"/>
          </reference>
        </references>
      </pivotArea>
    </format>
    <format dxfId="109">
      <pivotArea collapsedLevelsAreSubtotals="1" fieldPosition="0">
        <references count="1">
          <reference field="18" count="1">
            <x v="9"/>
          </reference>
        </references>
      </pivotArea>
    </format>
    <format dxfId="108">
      <pivotArea collapsedLevelsAreSubtotals="1" fieldPosition="0">
        <references count="1">
          <reference field="18" count="1">
            <x v="8"/>
          </reference>
        </references>
      </pivotArea>
    </format>
    <format dxfId="107">
      <pivotArea collapsedLevelsAreSubtotals="1" fieldPosition="0">
        <references count="1">
          <reference field="18" count="1">
            <x v="7"/>
          </reference>
        </references>
      </pivotArea>
    </format>
    <format dxfId="106">
      <pivotArea collapsedLevelsAreSubtotals="1" fieldPosition="0">
        <references count="1">
          <reference field="18" count="1">
            <x v="6"/>
          </reference>
        </references>
      </pivotArea>
    </format>
    <format dxfId="105">
      <pivotArea collapsedLevelsAreSubtotals="1" fieldPosition="0">
        <references count="1">
          <reference field="18" count="1">
            <x v="5"/>
          </reference>
        </references>
      </pivotArea>
    </format>
    <format dxfId="104">
      <pivotArea collapsedLevelsAreSubtotals="1" fieldPosition="0">
        <references count="1">
          <reference field="18" count="1">
            <x v="4"/>
          </reference>
        </references>
      </pivotArea>
    </format>
    <format dxfId="103">
      <pivotArea collapsedLevelsAreSubtotals="1" fieldPosition="0">
        <references count="1">
          <reference field="18" count="1">
            <x v="3"/>
          </reference>
        </references>
      </pivotArea>
    </format>
    <format dxfId="102">
      <pivotArea dataOnly="0" labelOnly="1" fieldPosition="0">
        <references count="1">
          <reference field="18" count="11">
            <x v="3"/>
            <x v="4"/>
            <x v="5"/>
            <x v="6"/>
            <x v="7"/>
            <x v="8"/>
            <x v="9"/>
            <x v="10"/>
            <x v="11"/>
            <x v="12"/>
            <x v="13"/>
          </reference>
        </references>
      </pivotArea>
    </format>
    <format dxfId="10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B00-000015000000}" name="Tabela dinâmica1"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D9" firstHeaderRow="0" firstDataRow="1" firstDataCol="1"/>
  <pivotFields count="2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 t="default"/>
      </items>
    </pivotField>
    <pivotField showAll="0"/>
    <pivotField showAll="0"/>
    <pivotField showAll="0"/>
    <pivotField showAll="0"/>
    <pivotField axis="axisRow" showAll="0">
      <items count="5">
        <item x="2"/>
        <item x="3"/>
        <item x="0"/>
        <item x="1"/>
        <item t="default"/>
      </items>
    </pivotField>
    <pivotField dataField="1" numFmtId="1" showAll="0"/>
    <pivotField numFmtId="164" showAll="0"/>
    <pivotField dataField="1" numFmtId="165" showAll="0"/>
    <pivotField numFmtId="10" showAll="0"/>
    <pivotField showAll="0"/>
    <pivotField showAll="0"/>
    <pivotField numFmtId="165" showAll="0"/>
    <pivotField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_VlrTotal" fld="8" baseField="5" baseItem="0" numFmtId="165"/>
    <dataField name="_Qtde" fld="6" baseField="5" baseItem="0" numFmtId="1"/>
  </dataFields>
  <formats count="26">
    <format dxfId="151">
      <pivotArea field="5" type="button" dataOnly="0" labelOnly="1" outline="0" axis="axisRow" fieldPosition="0"/>
    </format>
    <format dxfId="150">
      <pivotArea dataOnly="0" labelOnly="1" outline="0" fieldPosition="0">
        <references count="1">
          <reference field="4294967294" count="2">
            <x v="0"/>
            <x v="1"/>
          </reference>
        </references>
      </pivotArea>
    </format>
    <format dxfId="149">
      <pivotArea field="5" type="button" dataOnly="0" labelOnly="1" outline="0" axis="axisRow" fieldPosition="0"/>
    </format>
    <format dxfId="148">
      <pivotArea dataOnly="0" labelOnly="1" outline="0" fieldPosition="0">
        <references count="1">
          <reference field="4294967294" count="2">
            <x v="0"/>
            <x v="1"/>
          </reference>
        </references>
      </pivotArea>
    </format>
    <format dxfId="147">
      <pivotArea type="all" dataOnly="0" outline="0" fieldPosition="0"/>
    </format>
    <format dxfId="146">
      <pivotArea dataOnly="0" labelOnly="1" grandRow="1" outline="0" fieldPosition="0"/>
    </format>
    <format dxfId="145">
      <pivotArea grandRow="1" outline="0" collapsedLevelsAreSubtotals="1" fieldPosition="0"/>
    </format>
    <format dxfId="144">
      <pivotArea dataOnly="0" labelOnly="1" grandRow="1" outline="0" fieldPosition="0"/>
    </format>
    <format dxfId="143">
      <pivotArea grandRow="1" outline="0" collapsedLevelsAreSubtotals="1" fieldPosition="0"/>
    </format>
    <format dxfId="142">
      <pivotArea dataOnly="0" labelOnly="1" grandRow="1" outline="0" fieldPosition="0"/>
    </format>
    <format dxfId="141">
      <pivotArea grandRow="1" outline="0" collapsedLevelsAreSubtotals="1" fieldPosition="0"/>
    </format>
    <format dxfId="140">
      <pivotArea dataOnly="0" labelOnly="1" grandRow="1" outline="0" fieldPosition="0"/>
    </format>
    <format dxfId="139">
      <pivotArea field="5" type="button" dataOnly="0" labelOnly="1" outline="0" axis="axisRow" fieldPosition="0"/>
    </format>
    <format dxfId="138">
      <pivotArea dataOnly="0" labelOnly="1" outline="0" fieldPosition="0">
        <references count="1">
          <reference field="4294967294" count="2">
            <x v="0"/>
            <x v="1"/>
          </reference>
        </references>
      </pivotArea>
    </format>
    <format dxfId="137">
      <pivotArea type="all" dataOnly="0" outline="0" fieldPosition="0"/>
    </format>
    <format dxfId="136">
      <pivotArea outline="0" collapsedLevelsAreSubtotals="1" fieldPosition="0"/>
    </format>
    <format dxfId="135">
      <pivotArea field="5" type="button" dataOnly="0" labelOnly="1" outline="0" axis="axisRow" fieldPosition="0"/>
    </format>
    <format dxfId="134">
      <pivotArea dataOnly="0" labelOnly="1" fieldPosition="0">
        <references count="1">
          <reference field="5" count="0"/>
        </references>
      </pivotArea>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type="all" dataOnly="0" outline="0" fieldPosition="0"/>
    </format>
    <format dxfId="130">
      <pivotArea outline="0" collapsedLevelsAreSubtotals="1" fieldPosition="0"/>
    </format>
    <format dxfId="129">
      <pivotArea field="5" type="button" dataOnly="0" labelOnly="1" outline="0" axis="axisRow" fieldPosition="0"/>
    </format>
    <format dxfId="128">
      <pivotArea dataOnly="0" labelOnly="1" fieldPosition="0">
        <references count="1">
          <reference field="5" count="0"/>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B00-000014000000}" name="Tabela dinâmica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G537:I543" firstHeaderRow="0" firstDataRow="1" firstDataCol="1" rowPageCount="2" colPageCount="1"/>
  <pivotFields count="19">
    <pivotField axis="axisPage" multipleItemSelectionAllowed="1" showAll="0">
      <items count="4">
        <item h="1" x="0"/>
        <item x="1"/>
        <item x="2"/>
        <item t="default"/>
      </items>
    </pivotField>
    <pivotField axis="axisRow" numFmtId="17" showAll="0">
      <items count="18">
        <item x="0"/>
        <item x="1"/>
        <item x="2"/>
        <item x="3"/>
        <item x="4"/>
        <item x="5"/>
        <item x="6"/>
        <item x="7"/>
        <item x="8"/>
        <item x="9"/>
        <item x="10"/>
        <item x="11"/>
        <item x="12"/>
        <item x="13"/>
        <item x="14"/>
        <item x="15"/>
        <item x="16"/>
        <item t="default"/>
      </items>
    </pivotField>
    <pivotField axis="axisPage" showAll="0">
      <items count="5">
        <item x="1"/>
        <item x="2"/>
        <item x="0"/>
        <item x="3"/>
        <item t="default"/>
      </items>
    </pivotField>
    <pivotField showAll="0"/>
    <pivotField showAll="0"/>
    <pivotField showAll="0"/>
    <pivotField numFmtId="44" showAll="0"/>
    <pivotField numFmtId="44" showAll="0"/>
    <pivotField numFmtId="44" showAll="0"/>
    <pivotField numFmtId="1" showAll="0"/>
    <pivotField showAll="0"/>
    <pivotField showAll="0"/>
    <pivotField numFmtId="2" showAll="0"/>
    <pivotField dataField="1" numFmtId="2" showAll="0"/>
    <pivotField numFmtId="44" showAll="0"/>
    <pivotField numFmtId="10" showAll="0"/>
    <pivotField dataField="1" numFmtId="10"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8"/>
    <field x="17"/>
    <field x="1"/>
  </rowFields>
  <rowItems count="6">
    <i>
      <x v="1"/>
    </i>
    <i>
      <x v="2"/>
    </i>
    <i>
      <x v="3"/>
    </i>
    <i>
      <x v="4"/>
    </i>
    <i>
      <x v="5"/>
    </i>
    <i t="grand">
      <x/>
    </i>
  </rowItems>
  <colFields count="1">
    <field x="-2"/>
  </colFields>
  <colItems count="2">
    <i>
      <x/>
    </i>
    <i i="1">
      <x v="1"/>
    </i>
  </colItems>
  <pageFields count="2">
    <pageField fld="0" hier="-1"/>
    <pageField fld="2" hier="-1"/>
  </pageFields>
  <dataFields count="2">
    <dataField name="Cobertura" fld="16" baseField="16" baseItem="3" numFmtId="10"/>
    <dataField name="Objetivo" fld="13" baseField="16" baseItem="3" numFmtId="2"/>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B00-000013000000}" name="Tabela dinâ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515:C547" firstHeaderRow="1" firstDataRow="1" firstDataCol="1" rowPageCount="1" colPageCount="1"/>
  <pivotFields count="2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7"/>
        <item x="85"/>
        <item x="88"/>
        <item x="86"/>
        <item x="84"/>
        <item x="83"/>
        <item x="82"/>
        <item x="90"/>
        <item x="91"/>
        <item x="89"/>
        <item x="92"/>
        <item x="93"/>
        <item x="94"/>
        <item x="95"/>
        <item x="96"/>
        <item x="97"/>
        <item x="98"/>
        <item x="99"/>
        <item t="default"/>
      </items>
    </pivotField>
    <pivotField showAll="0"/>
    <pivotField showAll="0"/>
    <pivotField showAll="0"/>
    <pivotField axis="axisRow" showAll="0" sortType="descending">
      <items count="36">
        <item x="4"/>
        <item x="8"/>
        <item x="11"/>
        <item x="17"/>
        <item x="25"/>
        <item x="27"/>
        <item x="28"/>
        <item x="6"/>
        <item x="5"/>
        <item x="14"/>
        <item x="9"/>
        <item x="29"/>
        <item x="13"/>
        <item x="7"/>
        <item x="34"/>
        <item x="24"/>
        <item x="32"/>
        <item x="21"/>
        <item x="0"/>
        <item x="16"/>
        <item x="1"/>
        <item x="12"/>
        <item x="18"/>
        <item x="20"/>
        <item x="22"/>
        <item x="10"/>
        <item x="3"/>
        <item x="33"/>
        <item x="15"/>
        <item x="23"/>
        <item x="19"/>
        <item x="2"/>
        <item x="26"/>
        <item x="30"/>
        <item x="31"/>
        <item t="default"/>
      </items>
      <autoSortScope>
        <pivotArea dataOnly="0" outline="0" fieldPosition="0">
          <references count="1">
            <reference field="4294967294" count="1" selected="0">
              <x v="0"/>
            </reference>
          </references>
        </pivotArea>
      </autoSortScope>
    </pivotField>
    <pivotField axis="axisPage" showAll="0">
      <items count="5">
        <item x="2"/>
        <item x="3"/>
        <item x="0"/>
        <item x="1"/>
        <item t="default"/>
      </items>
    </pivotField>
    <pivotField dataField="1" numFmtId="1" showAll="0"/>
    <pivotField numFmtId="164" showAll="0"/>
    <pivotField numFmtId="165" showAll="0"/>
    <pivotField numFmtId="10" showAll="0"/>
    <pivotField showAll="0"/>
    <pivotField showAll="0"/>
    <pivotField numFmtId="165" showAll="0"/>
    <pivotField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2">
    <i>
      <x v="31"/>
    </i>
    <i>
      <x v="32"/>
    </i>
    <i>
      <x v="20"/>
    </i>
    <i>
      <x v="26"/>
    </i>
    <i>
      <x/>
    </i>
    <i>
      <x v="34"/>
    </i>
    <i>
      <x v="13"/>
    </i>
    <i>
      <x v="6"/>
    </i>
    <i>
      <x v="8"/>
    </i>
    <i>
      <x v="3"/>
    </i>
    <i>
      <x v="12"/>
    </i>
    <i>
      <x v="7"/>
    </i>
    <i>
      <x v="28"/>
    </i>
    <i>
      <x v="24"/>
    </i>
    <i>
      <x v="15"/>
    </i>
    <i>
      <x v="33"/>
    </i>
    <i>
      <x v="30"/>
    </i>
    <i>
      <x v="17"/>
    </i>
    <i>
      <x v="29"/>
    </i>
    <i>
      <x v="5"/>
    </i>
    <i>
      <x v="22"/>
    </i>
    <i>
      <x v="18"/>
    </i>
    <i>
      <x v="23"/>
    </i>
    <i>
      <x v="21"/>
    </i>
    <i>
      <x v="11"/>
    </i>
    <i>
      <x v="27"/>
    </i>
    <i>
      <x v="9"/>
    </i>
    <i>
      <x v="2"/>
    </i>
    <i>
      <x v="16"/>
    </i>
    <i>
      <x v="19"/>
    </i>
    <i>
      <x v="4"/>
    </i>
    <i t="grand">
      <x/>
    </i>
  </rowItems>
  <colItems count="1">
    <i/>
  </colItems>
  <pageFields count="1">
    <pageField fld="5" item="2" hier="-1"/>
  </pageFields>
  <dataFields count="1">
    <dataField name="_Qtde" fld="6" baseField="4" baseItem="31" numFmtId="1"/>
  </dataFields>
  <formats count="20">
    <format dxfId="171">
      <pivotArea field="4" type="button" dataOnly="0" labelOnly="1" outline="0" axis="axisRow" fieldPosition="0"/>
    </format>
    <format dxfId="170">
      <pivotArea dataOnly="0" labelOnly="1" outline="0" axis="axisValues" fieldPosition="0"/>
    </format>
    <format dxfId="169">
      <pivotArea grandRow="1" outline="0" collapsedLevelsAreSubtotals="1" fieldPosition="0"/>
    </format>
    <format dxfId="168">
      <pivotArea dataOnly="0" labelOnly="1" grandRow="1" outline="0" fieldPosition="0"/>
    </format>
    <format dxfId="167">
      <pivotArea type="all" dataOnly="0" outline="0" fieldPosition="0"/>
    </format>
    <format dxfId="166">
      <pivotArea outline="0" collapsedLevelsAreSubtotals="1" fieldPosition="0"/>
    </format>
    <format dxfId="165">
      <pivotArea field="4" type="button" dataOnly="0" labelOnly="1" outline="0" axis="axisRow" fieldPosition="0"/>
    </format>
    <format dxfId="164">
      <pivotArea dataOnly="0" labelOnly="1" fieldPosition="0">
        <references count="1">
          <reference field="4" count="31">
            <x v="0"/>
            <x v="2"/>
            <x v="3"/>
            <x v="4"/>
            <x v="5"/>
            <x v="6"/>
            <x v="7"/>
            <x v="8"/>
            <x v="9"/>
            <x v="11"/>
            <x v="12"/>
            <x v="13"/>
            <x v="15"/>
            <x v="16"/>
            <x v="17"/>
            <x v="18"/>
            <x v="19"/>
            <x v="20"/>
            <x v="21"/>
            <x v="22"/>
            <x v="23"/>
            <x v="24"/>
            <x v="26"/>
            <x v="27"/>
            <x v="28"/>
            <x v="29"/>
            <x v="30"/>
            <x v="31"/>
            <x v="32"/>
            <x v="33"/>
            <x v="34"/>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4" type="button" dataOnly="0" labelOnly="1" outline="0" axis="axisRow" fieldPosition="0"/>
    </format>
    <format dxfId="158">
      <pivotArea dataOnly="0" labelOnly="1" fieldPosition="0">
        <references count="1">
          <reference field="4" count="31">
            <x v="0"/>
            <x v="2"/>
            <x v="3"/>
            <x v="4"/>
            <x v="5"/>
            <x v="6"/>
            <x v="7"/>
            <x v="8"/>
            <x v="9"/>
            <x v="11"/>
            <x v="12"/>
            <x v="13"/>
            <x v="15"/>
            <x v="16"/>
            <x v="17"/>
            <x v="18"/>
            <x v="19"/>
            <x v="20"/>
            <x v="21"/>
            <x v="22"/>
            <x v="23"/>
            <x v="24"/>
            <x v="26"/>
            <x v="27"/>
            <x v="28"/>
            <x v="29"/>
            <x v="30"/>
            <x v="31"/>
            <x v="32"/>
            <x v="33"/>
            <x v="34"/>
          </reference>
        </references>
      </pivotArea>
    </format>
    <format dxfId="157">
      <pivotArea dataOnly="0" labelOnly="1" grandRow="1" outline="0" fieldPosition="0"/>
    </format>
    <format dxfId="156">
      <pivotArea dataOnly="0" labelOnly="1" outline="0" axis="axisValues" fieldPosition="0"/>
    </format>
    <format dxfId="155">
      <pivotArea field="4" type="button" dataOnly="0" labelOnly="1" outline="0" axis="axisRow" fieldPosition="0"/>
    </format>
    <format dxfId="154">
      <pivotArea dataOnly="0" labelOnly="1" outline="0" axis="axisValues" fieldPosition="0"/>
    </format>
    <format dxfId="153">
      <pivotArea grandRow="1" outline="0" collapsedLevelsAreSubtotals="1" fieldPosition="0"/>
    </format>
    <format dxfId="152">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D00-00001E000000}" name="Tabela dinâmica5"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B4:AC17" firstHeaderRow="1" firstDataRow="1" firstDataCol="1" rowPageCount="2" colPageCount="1"/>
  <pivotFields count="13">
    <pivotField numFmtId="14"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m="1" x="72"/>
        <item x="61"/>
        <item x="63"/>
        <item x="64"/>
        <item x="65"/>
        <item x="66"/>
        <item x="67"/>
        <item x="68"/>
        <item x="69"/>
        <item x="70"/>
        <item x="71"/>
        <item t="default"/>
      </items>
    </pivotField>
    <pivotField axis="axisPage" multipleItemSelectionAllowed="1" showAll="0">
      <items count="6">
        <item h="1" x="3"/>
        <item h="1" x="2"/>
        <item h="1" x="4"/>
        <item x="0"/>
        <item h="1" x="1"/>
        <item t="default"/>
      </items>
    </pivotField>
    <pivotField dataField="1" numFmtId="166" showAll="0"/>
    <pivotField numFmtId="14" showAll="0">
      <items count="75">
        <item x="0"/>
        <item x="1"/>
        <item x="2"/>
        <item x="3"/>
        <item x="4"/>
        <item x="5"/>
        <item x="6"/>
        <item x="7"/>
        <item x="8"/>
        <item x="9"/>
        <item x="10"/>
        <item x="11"/>
        <item m="1" x="73"/>
        <item x="12"/>
        <item x="13"/>
        <item x="14"/>
        <item x="15"/>
        <item x="16"/>
        <item x="17"/>
        <item x="18"/>
        <item x="19"/>
        <item x="20"/>
        <item x="21"/>
        <item x="22"/>
        <item x="23"/>
        <item x="24"/>
        <item x="25"/>
        <item x="26"/>
        <item x="27"/>
        <item x="28"/>
        <item x="29"/>
        <item x="30"/>
        <item x="31"/>
        <item x="32"/>
        <item x="33"/>
        <item x="34"/>
        <item m="1" x="72"/>
        <item x="36"/>
        <item x="37"/>
        <item x="38"/>
        <item x="39"/>
        <item x="40"/>
        <item x="41"/>
        <item x="42"/>
        <item x="43"/>
        <item x="44"/>
        <item x="45"/>
        <item x="46"/>
        <item x="47"/>
        <item x="48"/>
        <item x="49"/>
        <item x="50"/>
        <item x="51"/>
        <item x="52"/>
        <item x="53"/>
        <item x="54"/>
        <item x="55"/>
        <item x="56"/>
        <item x="57"/>
        <item x="35"/>
        <item x="58"/>
        <item x="59"/>
        <item x="60"/>
        <item x="61"/>
        <item x="62"/>
        <item x="63"/>
        <item x="64"/>
        <item x="65"/>
        <item x="66"/>
        <item x="67"/>
        <item x="68"/>
        <item x="69"/>
        <item x="70"/>
        <item x="71"/>
        <item t="default"/>
      </items>
    </pivotField>
    <pivotField showAll="0"/>
    <pivotField axis="axisPage" multipleItemSelectionAllowed="1" showAll="0">
      <items count="8">
        <item h="1" x="0"/>
        <item h="1" x="1"/>
        <item x="2"/>
        <item h="1" x="3"/>
        <item h="1" x="4"/>
        <item h="1" x="5"/>
        <item h="1" x="6"/>
        <item t="default"/>
      </items>
    </pivotField>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9"/>
  </rowFields>
  <rowItems count="13">
    <i>
      <x v="1"/>
    </i>
    <i>
      <x v="2"/>
    </i>
    <i>
      <x v="3"/>
    </i>
    <i>
      <x v="4"/>
    </i>
    <i>
      <x v="5"/>
    </i>
    <i>
      <x v="6"/>
    </i>
    <i>
      <x v="7"/>
    </i>
    <i>
      <x v="8"/>
    </i>
    <i>
      <x v="9"/>
    </i>
    <i>
      <x v="10"/>
    </i>
    <i>
      <x v="11"/>
    </i>
    <i>
      <x v="12"/>
    </i>
    <i t="grand">
      <x/>
    </i>
  </rowItems>
  <colItems count="1">
    <i/>
  </colItems>
  <pageFields count="2">
    <pageField fld="5" hier="-1"/>
    <pageField fld="1" hier="-1"/>
  </pageFields>
  <dataFields count="1">
    <dataField name="Soma de Comissão" fld="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D00-00001D000000}" name="Tabela dinâmica3"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V3:W16" firstHeaderRow="1" firstDataRow="1" firstDataCol="1" rowPageCount="1" colPageCount="1"/>
  <pivotFields count="13">
    <pivotField numFmtId="14"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m="1" x="72"/>
        <item x="61"/>
        <item x="63"/>
        <item x="64"/>
        <item x="65"/>
        <item x="66"/>
        <item x="67"/>
        <item x="68"/>
        <item x="69"/>
        <item x="70"/>
        <item x="71"/>
        <item t="default"/>
      </items>
    </pivotField>
    <pivotField showAll="0"/>
    <pivotField dataField="1" numFmtId="166" showAll="0"/>
    <pivotField numFmtId="14" showAll="0">
      <items count="75">
        <item x="1"/>
        <item x="2"/>
        <item x="3"/>
        <item x="4"/>
        <item x="5"/>
        <item x="6"/>
        <item x="7"/>
        <item x="8"/>
        <item x="9"/>
        <item x="10"/>
        <item x="11"/>
        <item m="1" x="73"/>
        <item x="12"/>
        <item x="13"/>
        <item x="14"/>
        <item x="15"/>
        <item x="16"/>
        <item x="17"/>
        <item x="18"/>
        <item x="19"/>
        <item x="20"/>
        <item x="21"/>
        <item x="22"/>
        <item x="23"/>
        <item x="24"/>
        <item x="25"/>
        <item x="26"/>
        <item x="27"/>
        <item x="28"/>
        <item x="29"/>
        <item x="30"/>
        <item x="31"/>
        <item x="32"/>
        <item x="33"/>
        <item x="34"/>
        <item m="1" x="72"/>
        <item x="36"/>
        <item x="37"/>
        <item x="38"/>
        <item x="39"/>
        <item x="40"/>
        <item x="41"/>
        <item x="42"/>
        <item x="43"/>
        <item x="44"/>
        <item x="45"/>
        <item x="46"/>
        <item x="47"/>
        <item x="48"/>
        <item x="49"/>
        <item x="50"/>
        <item x="51"/>
        <item x="52"/>
        <item x="53"/>
        <item x="54"/>
        <item x="55"/>
        <item x="56"/>
        <item x="57"/>
        <item x="0"/>
        <item x="35"/>
        <item x="58"/>
        <item x="59"/>
        <item x="60"/>
        <item x="61"/>
        <item x="62"/>
        <item x="63"/>
        <item x="64"/>
        <item x="65"/>
        <item x="66"/>
        <item x="67"/>
        <item x="68"/>
        <item x="69"/>
        <item x="70"/>
        <item x="71"/>
        <item t="default"/>
      </items>
    </pivotField>
    <pivotField showAll="0"/>
    <pivotField axis="axisPage" multipleItemSelectionAllowed="1" showAll="0">
      <items count="8">
        <item x="0"/>
        <item h="1" x="1"/>
        <item h="1" x="2"/>
        <item h="1" x="3"/>
        <item h="1" x="4"/>
        <item h="1" x="5"/>
        <item h="1" x="6"/>
        <item t="default"/>
      </items>
    </pivotField>
    <pivotField showAll="0" defaultSubtotal="0"/>
    <pivotField showAll="0" defaultSubtotal="0"/>
    <pivotField multipleItemSelectionAllowed="1" showAll="0" defaultSubtotal="0">
      <items count="8">
        <item h="1" x="0"/>
        <item x="1"/>
        <item h="1" x="2"/>
        <item h="1" x="3"/>
        <item h="1" x="4"/>
        <item h="1" x="5"/>
        <item h="1" x="6"/>
        <item h="1"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1"/>
        <item x="2"/>
        <item x="3"/>
        <item x="4"/>
        <item x="5"/>
        <item x="0"/>
        <item x="6"/>
        <item x="7"/>
        <item x="8"/>
      </items>
    </pivotField>
    <pivotField dragToRow="0" dragToCol="0" dragToPage="0" showAll="0" defaultSubtotal="0"/>
  </pivotFields>
  <rowFields count="1">
    <field x="9"/>
  </rowFields>
  <rowItems count="13">
    <i>
      <x v="1"/>
    </i>
    <i>
      <x v="2"/>
    </i>
    <i>
      <x v="3"/>
    </i>
    <i>
      <x v="4"/>
    </i>
    <i>
      <x v="5"/>
    </i>
    <i>
      <x v="6"/>
    </i>
    <i>
      <x v="7"/>
    </i>
    <i>
      <x v="8"/>
    </i>
    <i>
      <x v="9"/>
    </i>
    <i>
      <x v="10"/>
    </i>
    <i>
      <x v="11"/>
    </i>
    <i>
      <x v="12"/>
    </i>
    <i t="grand">
      <x/>
    </i>
  </rowItems>
  <colItems count="1">
    <i/>
  </colItems>
  <pageFields count="1">
    <pageField fld="5" hier="-1"/>
  </pageFields>
  <dataFields count="1">
    <dataField name="Soma de Comissão" fld="2" baseField="0" baseItem="0" numFmtId="166"/>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D00-000018000000}" name="Tabela dinâmica7"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Y4:Z17" firstHeaderRow="1" firstDataRow="1" firstDataCol="1" rowPageCount="2" colPageCount="1"/>
  <pivotFields count="13">
    <pivotField numFmtId="14"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m="1" x="72"/>
        <item x="61"/>
        <item x="63"/>
        <item x="64"/>
        <item x="65"/>
        <item x="66"/>
        <item x="67"/>
        <item x="68"/>
        <item x="69"/>
        <item x="70"/>
        <item x="71"/>
        <item t="default"/>
      </items>
    </pivotField>
    <pivotField axis="axisPage" multipleItemSelectionAllowed="1" showAll="0">
      <items count="6">
        <item h="1" x="3"/>
        <item h="1" x="2"/>
        <item h="1" x="4"/>
        <item x="0"/>
        <item h="1" x="1"/>
        <item t="default"/>
      </items>
    </pivotField>
    <pivotField dataField="1" numFmtId="166" showAll="0"/>
    <pivotField numFmtId="14" showAll="0">
      <items count="75">
        <item x="0"/>
        <item x="1"/>
        <item x="2"/>
        <item x="3"/>
        <item x="4"/>
        <item x="5"/>
        <item x="6"/>
        <item x="7"/>
        <item x="8"/>
        <item x="9"/>
        <item x="10"/>
        <item x="11"/>
        <item m="1" x="73"/>
        <item x="12"/>
        <item x="13"/>
        <item x="14"/>
        <item x="15"/>
        <item x="16"/>
        <item x="17"/>
        <item x="18"/>
        <item x="19"/>
        <item x="20"/>
        <item x="21"/>
        <item x="22"/>
        <item x="23"/>
        <item x="24"/>
        <item x="25"/>
        <item x="26"/>
        <item x="27"/>
        <item x="28"/>
        <item x="29"/>
        <item x="30"/>
        <item x="31"/>
        <item x="32"/>
        <item x="33"/>
        <item x="34"/>
        <item m="1" x="72"/>
        <item x="36"/>
        <item x="37"/>
        <item x="38"/>
        <item x="39"/>
        <item x="40"/>
        <item x="41"/>
        <item x="42"/>
        <item x="43"/>
        <item x="44"/>
        <item x="45"/>
        <item x="46"/>
        <item x="47"/>
        <item x="48"/>
        <item x="49"/>
        <item x="50"/>
        <item x="51"/>
        <item x="52"/>
        <item x="53"/>
        <item x="54"/>
        <item x="55"/>
        <item x="56"/>
        <item x="57"/>
        <item x="35"/>
        <item x="58"/>
        <item x="59"/>
        <item x="60"/>
        <item x="61"/>
        <item x="62"/>
        <item x="63"/>
        <item x="64"/>
        <item x="65"/>
        <item x="66"/>
        <item x="67"/>
        <item x="68"/>
        <item x="69"/>
        <item x="70"/>
        <item x="71"/>
        <item t="default"/>
      </items>
    </pivotField>
    <pivotField showAll="0"/>
    <pivotField axis="axisPage" multipleItemSelectionAllowed="1" showAll="0">
      <items count="8">
        <item h="1" x="0"/>
        <item x="1"/>
        <item h="1" x="2"/>
        <item h="1" x="3"/>
        <item h="1" x="4"/>
        <item h="1" x="5"/>
        <item h="1" x="6"/>
        <item t="default"/>
      </items>
    </pivotField>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9"/>
  </rowFields>
  <rowItems count="13">
    <i>
      <x v="1"/>
    </i>
    <i>
      <x v="2"/>
    </i>
    <i>
      <x v="3"/>
    </i>
    <i>
      <x v="4"/>
    </i>
    <i>
      <x v="5"/>
    </i>
    <i>
      <x v="6"/>
    </i>
    <i>
      <x v="7"/>
    </i>
    <i>
      <x v="8"/>
    </i>
    <i>
      <x v="9"/>
    </i>
    <i>
      <x v="10"/>
    </i>
    <i>
      <x v="11"/>
    </i>
    <i>
      <x v="12"/>
    </i>
    <i t="grand">
      <x/>
    </i>
  </rowItems>
  <colItems count="1">
    <i/>
  </colItems>
  <pageFields count="2">
    <pageField fld="5" hier="-1"/>
    <pageField fld="1" hier="-1"/>
  </pageFields>
  <dataFields count="1">
    <dataField name="Soma de Comissão" fld="2" baseField="0" baseItem="0"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D00-00001C000000}" name="Tabela dinâmica6"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4:E11" firstHeaderRow="1" firstDataRow="2" firstDataCol="1" rowPageCount="1" colPageCount="1"/>
  <pivotFields count="13">
    <pivotField numFmtId="14" showAll="0">
      <items count="77">
        <item x="36"/>
        <item x="37"/>
        <item x="38"/>
        <item x="39"/>
        <item x="40"/>
        <item x="41"/>
        <item x="42"/>
        <item x="43"/>
        <item x="44"/>
        <item x="45"/>
        <item x="46"/>
        <item x="47"/>
        <item x="48"/>
        <item x="49"/>
        <item x="50"/>
        <item x="51"/>
        <item x="52"/>
        <item x="53"/>
        <item x="54"/>
        <item x="55"/>
        <item x="56"/>
        <item x="57"/>
        <item x="16"/>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5"/>
        <item x="58"/>
        <item x="59"/>
        <item x="60"/>
        <item x="62"/>
        <item x="61"/>
        <item x="63"/>
        <item x="64"/>
        <item x="65"/>
        <item x="66"/>
        <item x="67"/>
        <item x="68"/>
        <item x="69"/>
        <item x="70"/>
        <item x="71"/>
        <item x="72"/>
        <item x="73"/>
        <item x="74"/>
        <item x="75"/>
        <item t="default"/>
      </items>
    </pivotField>
    <pivotField axis="axisCol" showAll="0">
      <items count="6">
        <item x="3"/>
        <item x="2"/>
        <item x="4"/>
        <item x="0"/>
        <item x="1"/>
        <item t="default"/>
      </items>
    </pivotField>
    <pivotField dataField="1" numFmtId="166" showAll="0"/>
    <pivotField numFmtId="14" showAll="0">
      <items count="77">
        <item x="36"/>
        <item x="37"/>
        <item x="38"/>
        <item x="39"/>
        <item x="40"/>
        <item x="41"/>
        <item x="42"/>
        <item x="43"/>
        <item x="44"/>
        <item x="45"/>
        <item x="46"/>
        <item x="47"/>
        <item x="48"/>
        <item x="49"/>
        <item x="50"/>
        <item x="51"/>
        <item x="52"/>
        <item x="53"/>
        <item x="54"/>
        <item x="55"/>
        <item x="56"/>
        <item x="57"/>
        <item x="16"/>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0"/>
        <item x="35"/>
        <item x="58"/>
        <item x="59"/>
        <item x="60"/>
        <item x="61"/>
        <item x="62"/>
        <item x="63"/>
        <item x="64"/>
        <item x="65"/>
        <item x="66"/>
        <item x="67"/>
        <item x="68"/>
        <item x="69"/>
        <item x="70"/>
        <item x="71"/>
        <item x="72"/>
        <item x="73"/>
        <item x="74"/>
        <item x="75"/>
        <item t="default"/>
      </items>
    </pivotField>
    <pivotField showAll="0"/>
    <pivotField axis="axisPage" multipleItemSelectionAllowed="1" showAll="0">
      <items count="8">
        <item h="1" x="3"/>
        <item h="1" x="4"/>
        <item h="1" x="1"/>
        <item h="1" x="0"/>
        <item h="1" x="2"/>
        <item h="1" x="5"/>
        <item x="6"/>
        <item t="default"/>
      </items>
    </pivotField>
    <pivotField showAll="0">
      <items count="15">
        <item h="1" sd="0" x="0"/>
        <item sd="0" x="1"/>
        <item sd="0" x="2"/>
        <item sd="0" x="3"/>
        <item sd="0" x="4"/>
        <item sd="0" x="5"/>
        <item h="1" sd="0" x="6"/>
        <item h="1" sd="0" x="7"/>
        <item h="1" sd="0" x="8"/>
        <item h="1" sd="0" x="9"/>
        <item h="1" sd="0" x="10"/>
        <item h="1" sd="0" x="11"/>
        <item sd="0" x="12"/>
        <item h="1" sd="0" x="13"/>
        <item t="default"/>
      </items>
    </pivotField>
    <pivotField showAll="0">
      <items count="7">
        <item sd="0" x="1"/>
        <item sd="0" x="2"/>
        <item sd="0" x="3"/>
        <item sd="0" x="4"/>
        <item x="0"/>
        <item x="5"/>
        <item t="default"/>
      </items>
    </pivotField>
    <pivotField showAll="0">
      <items count="10">
        <item sd="0" x="4"/>
        <item sd="0" x="5"/>
        <item x="2"/>
        <item x="3"/>
        <item x="0"/>
        <item x="1"/>
        <item x="6"/>
        <item x="7"/>
        <item x="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10">
        <item sd="0" x="4"/>
        <item sd="0" x="5"/>
        <item x="2"/>
        <item x="3"/>
        <item x="1"/>
        <item x="0"/>
        <item x="6"/>
        <item x="7"/>
        <item x="8"/>
        <item t="default"/>
      </items>
    </pivotField>
    <pivotField dragToRow="0" dragToCol="0" dragToPage="0" showAll="0" defaultSubtotal="0"/>
  </pivotFields>
  <rowFields count="1">
    <field x="9"/>
  </rowFields>
  <rowItems count="6">
    <i>
      <x v="1"/>
    </i>
    <i>
      <x v="2"/>
    </i>
    <i>
      <x v="3"/>
    </i>
    <i>
      <x v="4"/>
    </i>
    <i>
      <x v="5"/>
    </i>
    <i t="grand">
      <x/>
    </i>
  </rowItems>
  <colFields count="1">
    <field x="1"/>
  </colFields>
  <colItems count="4">
    <i>
      <x v="1"/>
    </i>
    <i>
      <x v="3"/>
    </i>
    <i>
      <x v="4"/>
    </i>
    <i t="grand">
      <x/>
    </i>
  </colItems>
  <pageFields count="1">
    <pageField fld="5" hier="-1"/>
  </pageFields>
  <dataFields count="1">
    <dataField name="Soma de Comissão" fld="2" baseField="0" baseItem="0" numFmtId="164"/>
  </dataFields>
  <formats count="3">
    <format dxfId="28">
      <pivotArea outline="0" collapsedLevelsAreSubtotals="1" fieldPosition="0"/>
    </format>
    <format dxfId="27">
      <pivotArea dataOnly="0" labelOnly="1" fieldPosition="0">
        <references count="1">
          <reference field="1" count="0"/>
        </references>
      </pivotArea>
    </format>
    <format dxfId="26">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D00-00001A000000}" name="Tabela dinâmica2"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H4:AI16" firstHeaderRow="1" firstDataRow="1" firstDataCol="1" rowPageCount="2" colPageCount="1"/>
  <pivotFields count="13">
    <pivotField numFmtId="14"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m="1" x="72"/>
        <item x="61"/>
        <item x="63"/>
        <item x="64"/>
        <item x="65"/>
        <item x="66"/>
        <item x="67"/>
        <item x="68"/>
        <item x="69"/>
        <item x="70"/>
        <item x="71"/>
        <item t="default"/>
      </items>
    </pivotField>
    <pivotField axis="axisPage" multipleItemSelectionAllowed="1" showAll="0">
      <items count="6">
        <item h="1" x="3"/>
        <item h="1" x="2"/>
        <item h="1" x="4"/>
        <item x="0"/>
        <item h="1" x="1"/>
        <item t="default"/>
      </items>
    </pivotField>
    <pivotField dataField="1" numFmtId="166" showAll="0"/>
    <pivotField numFmtId="14" showAll="0">
      <items count="75">
        <item x="0"/>
        <item x="1"/>
        <item x="2"/>
        <item x="3"/>
        <item x="4"/>
        <item x="5"/>
        <item x="6"/>
        <item x="7"/>
        <item x="8"/>
        <item x="9"/>
        <item x="10"/>
        <item x="11"/>
        <item m="1" x="73"/>
        <item x="12"/>
        <item x="13"/>
        <item x="14"/>
        <item x="15"/>
        <item x="16"/>
        <item x="17"/>
        <item x="18"/>
        <item x="19"/>
        <item x="20"/>
        <item x="21"/>
        <item x="22"/>
        <item x="23"/>
        <item x="24"/>
        <item x="25"/>
        <item x="26"/>
        <item x="27"/>
        <item x="28"/>
        <item x="29"/>
        <item x="30"/>
        <item x="31"/>
        <item x="32"/>
        <item x="33"/>
        <item x="34"/>
        <item m="1" x="72"/>
        <item x="36"/>
        <item x="37"/>
        <item x="38"/>
        <item x="39"/>
        <item x="40"/>
        <item x="41"/>
        <item x="42"/>
        <item x="43"/>
        <item x="44"/>
        <item x="45"/>
        <item x="46"/>
        <item x="47"/>
        <item x="48"/>
        <item x="49"/>
        <item x="50"/>
        <item x="51"/>
        <item x="52"/>
        <item x="53"/>
        <item x="54"/>
        <item x="55"/>
        <item x="56"/>
        <item x="57"/>
        <item x="35"/>
        <item x="58"/>
        <item x="59"/>
        <item x="60"/>
        <item x="61"/>
        <item x="62"/>
        <item x="63"/>
        <item x="64"/>
        <item x="65"/>
        <item x="66"/>
        <item x="67"/>
        <item x="68"/>
        <item x="69"/>
        <item x="70"/>
        <item x="71"/>
        <item t="default"/>
      </items>
    </pivotField>
    <pivotField showAll="0"/>
    <pivotField axis="axisPage" multipleItemSelectionAllowed="1" showAll="0">
      <items count="8">
        <item h="1" x="0"/>
        <item h="1" x="1"/>
        <item h="1" x="2"/>
        <item h="1" x="3"/>
        <item x="4"/>
        <item h="1" x="5"/>
        <item h="1" x="6"/>
        <item t="default"/>
      </items>
    </pivotField>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9"/>
  </rowFields>
  <rowItems count="12">
    <i>
      <x v="2"/>
    </i>
    <i>
      <x v="3"/>
    </i>
    <i>
      <x v="4"/>
    </i>
    <i>
      <x v="5"/>
    </i>
    <i>
      <x v="6"/>
    </i>
    <i>
      <x v="7"/>
    </i>
    <i>
      <x v="8"/>
    </i>
    <i>
      <x v="9"/>
    </i>
    <i>
      <x v="10"/>
    </i>
    <i>
      <x v="11"/>
    </i>
    <i>
      <x v="12"/>
    </i>
    <i t="grand">
      <x/>
    </i>
  </rowItems>
  <colItems count="1">
    <i/>
  </colItems>
  <pageFields count="2">
    <pageField fld="5" hier="-1"/>
    <pageField fld="1" hier="-1"/>
  </pageFields>
  <dataFields count="1">
    <dataField name="Soma de Comissão" fld="2" baseField="0" baseItem="0" numFmtId="166"/>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D00-000019000000}" name="Tabela dinâmica1"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4:J10" firstHeaderRow="1" firstDataRow="1" firstDataCol="1" rowPageCount="1" colPageCount="1"/>
  <pivotFields count="13">
    <pivotField numFmtId="14" showAll="0">
      <items count="74">
        <item x="36"/>
        <item x="37"/>
        <item x="38"/>
        <item x="39"/>
        <item x="40"/>
        <item x="41"/>
        <item x="42"/>
        <item x="43"/>
        <item x="44"/>
        <item x="45"/>
        <item x="46"/>
        <item x="47"/>
        <item x="48"/>
        <item x="49"/>
        <item x="50"/>
        <item x="51"/>
        <item x="52"/>
        <item x="53"/>
        <item x="54"/>
        <item x="55"/>
        <item x="56"/>
        <item x="57"/>
        <item x="16"/>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5"/>
        <item x="58"/>
        <item x="59"/>
        <item x="60"/>
        <item x="62"/>
        <item m="1" x="72"/>
        <item x="61"/>
        <item x="63"/>
        <item x="64"/>
        <item x="65"/>
        <item x="66"/>
        <item x="67"/>
        <item x="68"/>
        <item x="69"/>
        <item x="70"/>
        <item x="71"/>
        <item t="default"/>
      </items>
    </pivotField>
    <pivotField axis="axisRow" showAll="0">
      <items count="6">
        <item x="3"/>
        <item x="2"/>
        <item x="4"/>
        <item x="0"/>
        <item x="1"/>
        <item t="default"/>
      </items>
    </pivotField>
    <pivotField numFmtId="166" showAll="0"/>
    <pivotField numFmtId="14" showAll="0">
      <items count="75">
        <item x="36"/>
        <item x="37"/>
        <item x="38"/>
        <item x="39"/>
        <item x="40"/>
        <item x="41"/>
        <item x="42"/>
        <item x="43"/>
        <item x="44"/>
        <item x="45"/>
        <item x="46"/>
        <item x="47"/>
        <item x="48"/>
        <item x="49"/>
        <item x="50"/>
        <item x="51"/>
        <item x="52"/>
        <item x="53"/>
        <item x="54"/>
        <item x="55"/>
        <item x="56"/>
        <item x="57"/>
        <item x="16"/>
        <item x="1"/>
        <item x="2"/>
        <item x="3"/>
        <item x="4"/>
        <item x="5"/>
        <item x="6"/>
        <item x="7"/>
        <item x="8"/>
        <item x="9"/>
        <item x="10"/>
        <item x="11"/>
        <item m="1" x="73"/>
        <item x="12"/>
        <item x="13"/>
        <item x="14"/>
        <item x="15"/>
        <item x="17"/>
        <item x="18"/>
        <item x="19"/>
        <item x="20"/>
        <item x="21"/>
        <item x="22"/>
        <item x="23"/>
        <item x="24"/>
        <item x="25"/>
        <item x="26"/>
        <item x="27"/>
        <item x="28"/>
        <item x="29"/>
        <item x="30"/>
        <item x="31"/>
        <item x="32"/>
        <item x="33"/>
        <item x="34"/>
        <item m="1" x="72"/>
        <item x="0"/>
        <item x="35"/>
        <item x="58"/>
        <item x="59"/>
        <item x="60"/>
        <item x="61"/>
        <item x="62"/>
        <item x="63"/>
        <item x="64"/>
        <item x="65"/>
        <item x="66"/>
        <item x="67"/>
        <item x="68"/>
        <item x="69"/>
        <item x="70"/>
        <item x="71"/>
        <item t="default"/>
      </items>
    </pivotField>
    <pivotField showAll="0"/>
    <pivotField axis="axisPage" multipleItemSelectionAllowed="1" showAll="0">
      <items count="8">
        <item x="3"/>
        <item x="4"/>
        <item x="1"/>
        <item x="0"/>
        <item x="2"/>
        <item x="5"/>
        <item x="6"/>
        <item t="default"/>
      </items>
    </pivotField>
    <pivotField showAll="0" defaultSubtotal="0"/>
    <pivotField showAll="0" defaultSubtotal="0"/>
    <pivotField showAll="0" defaultSubtotal="0">
      <items count="8">
        <item x="4"/>
        <item x="5"/>
        <item x="2"/>
        <item x="3"/>
        <item x="0"/>
        <item x="1"/>
        <item x="6"/>
        <item x="7"/>
      </items>
    </pivotField>
    <pivotField showAll="0" defaultSubtotal="0"/>
    <pivotField showAll="0" defaultSubtotal="0"/>
    <pivotField showAll="0" defaultSubtotal="0">
      <items count="9">
        <item x="4"/>
        <item x="5"/>
        <item x="2"/>
        <item x="3"/>
        <item x="1"/>
        <item x="0"/>
        <item x="6"/>
        <item x="7"/>
        <item x="8"/>
      </items>
    </pivotField>
    <pivotField dataField="1" dragToRow="0" dragToCol="0" dragToPage="0" showAll="0" defaultSubtotal="0"/>
  </pivotFields>
  <rowFields count="1">
    <field x="1"/>
  </rowFields>
  <rowItems count="6">
    <i>
      <x/>
    </i>
    <i>
      <x v="1"/>
    </i>
    <i>
      <x v="2"/>
    </i>
    <i>
      <x v="3"/>
    </i>
    <i>
      <x v="4"/>
    </i>
    <i t="grand">
      <x/>
    </i>
  </rowItems>
  <colItems count="1">
    <i/>
  </colItems>
  <pageFields count="1">
    <pageField fld="5" hier="-1"/>
  </pageFields>
  <dataFields count="1">
    <dataField name="Soma de media" fld="12" baseField="0" baseItem="0" numFmtId="166"/>
  </dataFields>
  <formats count="1">
    <format dxfId="29">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D00-00001B000000}" name="Tabela dinâmica4"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E4:AF17" firstHeaderRow="1" firstDataRow="1" firstDataCol="1" rowPageCount="2" colPageCount="1"/>
  <pivotFields count="13">
    <pivotField numFmtId="14"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m="1" x="72"/>
        <item x="61"/>
        <item x="63"/>
        <item x="64"/>
        <item x="65"/>
        <item x="66"/>
        <item x="67"/>
        <item x="68"/>
        <item x="69"/>
        <item x="70"/>
        <item x="71"/>
        <item t="default"/>
      </items>
    </pivotField>
    <pivotField axis="axisPage" multipleItemSelectionAllowed="1" showAll="0">
      <items count="6">
        <item h="1" x="3"/>
        <item h="1" x="2"/>
        <item h="1" x="4"/>
        <item x="0"/>
        <item h="1" x="1"/>
        <item t="default"/>
      </items>
    </pivotField>
    <pivotField dataField="1" numFmtId="166" showAll="0"/>
    <pivotField numFmtId="14" showAll="0">
      <items count="75">
        <item x="0"/>
        <item x="1"/>
        <item x="2"/>
        <item x="3"/>
        <item x="4"/>
        <item x="5"/>
        <item x="6"/>
        <item x="7"/>
        <item x="8"/>
        <item x="9"/>
        <item x="10"/>
        <item x="11"/>
        <item m="1" x="73"/>
        <item x="12"/>
        <item x="13"/>
        <item x="14"/>
        <item x="15"/>
        <item x="16"/>
        <item x="17"/>
        <item x="18"/>
        <item x="19"/>
        <item x="20"/>
        <item x="21"/>
        <item x="22"/>
        <item x="23"/>
        <item x="24"/>
        <item x="25"/>
        <item x="26"/>
        <item x="27"/>
        <item x="28"/>
        <item x="29"/>
        <item x="30"/>
        <item x="31"/>
        <item x="32"/>
        <item x="33"/>
        <item x="34"/>
        <item m="1" x="72"/>
        <item x="36"/>
        <item x="37"/>
        <item x="38"/>
        <item x="39"/>
        <item x="40"/>
        <item x="41"/>
        <item x="42"/>
        <item x="43"/>
        <item x="44"/>
        <item x="45"/>
        <item x="46"/>
        <item x="47"/>
        <item x="48"/>
        <item x="49"/>
        <item x="50"/>
        <item x="51"/>
        <item x="52"/>
        <item x="53"/>
        <item x="54"/>
        <item x="55"/>
        <item x="56"/>
        <item x="57"/>
        <item x="35"/>
        <item x="58"/>
        <item x="59"/>
        <item x="60"/>
        <item x="61"/>
        <item x="62"/>
        <item x="63"/>
        <item x="64"/>
        <item x="65"/>
        <item x="66"/>
        <item x="67"/>
        <item x="68"/>
        <item x="69"/>
        <item x="70"/>
        <item x="71"/>
        <item t="default"/>
      </items>
    </pivotField>
    <pivotField showAll="0"/>
    <pivotField axis="axisPage" multipleItemSelectionAllowed="1" showAll="0">
      <items count="8">
        <item h="1" x="0"/>
        <item h="1" x="1"/>
        <item h="1" x="2"/>
        <item x="3"/>
        <item h="1" x="4"/>
        <item h="1" x="5"/>
        <item h="1" x="6"/>
        <item t="default"/>
      </items>
    </pivotField>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9"/>
  </rowFields>
  <rowItems count="13">
    <i>
      <x v="1"/>
    </i>
    <i>
      <x v="2"/>
    </i>
    <i>
      <x v="3"/>
    </i>
    <i>
      <x v="4"/>
    </i>
    <i>
      <x v="5"/>
    </i>
    <i>
      <x v="6"/>
    </i>
    <i>
      <x v="7"/>
    </i>
    <i>
      <x v="8"/>
    </i>
    <i>
      <x v="9"/>
    </i>
    <i>
      <x v="10"/>
    </i>
    <i>
      <x v="11"/>
    </i>
    <i>
      <x v="12"/>
    </i>
    <i t="grand">
      <x/>
    </i>
  </rowItems>
  <colItems count="1">
    <i/>
  </colItems>
  <pageFields count="2">
    <pageField fld="5" hier="-1"/>
    <pageField fld="1" hier="-1"/>
  </pageFields>
  <dataFields count="1">
    <dataField name="Soma de Comissão" fld="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ndas2026" displayName="vendas2026" ref="A1:V259" totalsRowCount="1" headerRowDxfId="394" dataDxfId="392" headerRowBorderDxfId="393" tableBorderDxfId="391" totalsRowBorderDxfId="390">
  <autoFilter ref="A1:V258" xr:uid="{00000000-0009-0000-0100-000001000000}">
    <filterColumn colId="0">
      <filters>
        <dateGroupItem year="2026" month="8" dateTimeGrouping="month"/>
      </filters>
    </filterColumn>
  </autoFilter>
  <tableColumns count="22">
    <tableColumn id="1" xr3:uid="{00000000-0010-0000-0000-000001000000}" name="Data" totalsRowLabel="Total" dataDxfId="389" totalsRowDxfId="388"/>
    <tableColumn id="2" xr3:uid="{00000000-0010-0000-0000-000002000000}" name="Ticket" dataDxfId="387" totalsRowDxfId="386"/>
    <tableColumn id="3" xr3:uid="{00000000-0010-0000-0000-000003000000}" name="Vendedor" dataDxfId="385" totalsRowDxfId="384"/>
    <tableColumn id="4" xr3:uid="{00000000-0010-0000-0000-000004000000}" name="Cliente" dataDxfId="383" totalsRowDxfId="382"/>
    <tableColumn id="5" xr3:uid="{00000000-0010-0000-0000-000005000000}" name="Produto" dataDxfId="381" totalsRowDxfId="380"/>
    <tableColumn id="6" xr3:uid="{00000000-0010-0000-0000-000006000000}" name="TipoReceita" dataDxfId="379" totalsRowDxfId="378"/>
    <tableColumn id="7" xr3:uid="{00000000-0010-0000-0000-000007000000}" name="Qtde" totalsRowFunction="sum" dataDxfId="377" totalsRowDxfId="376"/>
    <tableColumn id="8" xr3:uid="{00000000-0010-0000-0000-000008000000}" name="VlrUnitário" dataDxfId="375" totalsRowDxfId="374"/>
    <tableColumn id="9" xr3:uid="{00000000-0010-0000-0000-000009000000}" name="VlrTotal" totalsRowFunction="sum" dataDxfId="373" totalsRowDxfId="372"/>
    <tableColumn id="21" xr3:uid="{00000000-0010-0000-0000-000015000000}" name="Vlr Meta" totalsRowFunction="sum" dataDxfId="371" totalsRowDxfId="370"/>
    <tableColumn id="10" xr3:uid="{00000000-0010-0000-0000-00000A000000}" name="%Comissão" dataDxfId="369" totalsRowDxfId="368" dataCellStyle="Porcentagem"/>
    <tableColumn id="11" xr3:uid="{00000000-0010-0000-0000-00000B000000}" name="%ComissãoSupervisor" dataDxfId="367" totalsRowDxfId="366" dataCellStyle="Porcentagem"/>
    <tableColumn id="12" xr3:uid="{00000000-0010-0000-0000-00000C000000}" name="Base" dataDxfId="365" totalsRowDxfId="364"/>
    <tableColumn id="13" xr3:uid="{00000000-0010-0000-0000-00000D000000}" name="ComissãoVendedor " totalsRowFunction="sum" dataDxfId="363" totalsRowDxfId="362"/>
    <tableColumn id="14" xr3:uid="{00000000-0010-0000-0000-00000E000000}" name="ComissãoSupervisor" totalsRowFunction="sum" dataDxfId="361" totalsRowDxfId="360"/>
    <tableColumn id="15" xr3:uid="{00000000-0010-0000-0000-00000F000000}" name="Clicksign" dataDxfId="359" totalsRowDxfId="358"/>
    <tableColumn id="16" xr3:uid="{00000000-0010-0000-0000-000010000000}" name="Contrato_Termo Aditivo" dataDxfId="357" totalsRowDxfId="356"/>
    <tableColumn id="17" xr3:uid="{00000000-0010-0000-0000-000011000000}" name="Obs" dataDxfId="355" totalsRowDxfId="354"/>
    <tableColumn id="18" xr3:uid="{00000000-0010-0000-0000-000012000000}" name="Parcelas" dataDxfId="353" totalsRowDxfId="352"/>
    <tableColumn id="22" xr3:uid="{00000000-0010-0000-0000-000016000000}" name="Data Contrato" dataDxfId="351" totalsRowDxfId="350"/>
    <tableColumn id="19" xr3:uid="{00000000-0010-0000-0000-000013000000}" name="Contrato" dataDxfId="349" totalsRowDxfId="348"/>
    <tableColumn id="20" xr3:uid="{00000000-0010-0000-0000-000014000000}" name="SDR_RESPONSÁVEL" totalsRowFunction="count" dataDxfId="347" totalsRowDxfId="3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as" displayName="metas" ref="M1:AC65" totalsRowShown="0" headerRowDxfId="345">
  <autoFilter ref="M1:AC65" xr:uid="{00000000-0009-0000-0100-000002000000}"/>
  <tableColumns count="17">
    <tableColumn id="1" xr3:uid="{00000000-0010-0000-0100-000001000000}" name="Ano" dataDxfId="344"/>
    <tableColumn id="15" xr3:uid="{00000000-0010-0000-0100-00000F000000}" name="Mês" dataDxfId="343"/>
    <tableColumn id="2" xr3:uid="{00000000-0010-0000-0100-000002000000}" name="Vendedor"/>
    <tableColumn id="16" xr3:uid="{00000000-0010-0000-0100-000010000000}" name="Lead" dataDxfId="342"/>
    <tableColumn id="3" xr3:uid="{00000000-0010-0000-0100-000003000000}" name="Propsota" dataDxfId="341"/>
    <tableColumn id="4" xr3:uid="{00000000-0010-0000-0100-000004000000}" name="Apresentação" dataDxfId="340"/>
    <tableColumn id="5" xr3:uid="{00000000-0010-0000-0100-000005000000}" name="Meta Individual" dataDxfId="339"/>
    <tableColumn id="6" xr3:uid="{00000000-0010-0000-0100-000006000000}" name="Meta Equipe" dataDxfId="338"/>
    <tableColumn id="7" xr3:uid="{00000000-0010-0000-0100-000007000000}" name="Meta Projetos" dataDxfId="337"/>
    <tableColumn id="17" xr3:uid="{00000000-0010-0000-0100-000011000000}" name="OBLead" dataDxfId="336"/>
    <tableColumn id="8" xr3:uid="{00000000-0010-0000-0100-000008000000}" name="OB Proposta "/>
    <tableColumn id="9" xr3:uid="{00000000-0010-0000-0100-000009000000}" name="OB Apresentação"/>
    <tableColumn id="10" xr3:uid="{00000000-0010-0000-0100-00000A000000}" name="OB Individual" dataDxfId="335"/>
    <tableColumn id="11" xr3:uid="{00000000-0010-0000-0100-00000B000000}" name="OBEquipe" dataDxfId="334"/>
    <tableColumn id="12" xr3:uid="{00000000-0010-0000-0100-00000C000000}" name="OB Projetos" dataDxfId="333"/>
    <tableColumn id="13" xr3:uid="{00000000-0010-0000-0100-00000D000000}" name="OBI" dataDxfId="332" dataCellStyle="Porcentagem">
      <calculatedColumnFormula>metas[[#This Row],[Meta Individual]]/metas[[#This Row],[OB Individual]]</calculatedColumnFormula>
    </tableColumn>
    <tableColumn id="14" xr3:uid="{00000000-0010-0000-0100-00000E000000}" name="OBE" dataDxfId="331" dataCellStyle="Porcentagem"/>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ecast" displayName="forecast" ref="A1:I83" totalsRowShown="0" dataDxfId="286">
  <autoFilter ref="A1:I83" xr:uid="{00000000-0009-0000-0100-000003000000}"/>
  <tableColumns count="9">
    <tableColumn id="1" xr3:uid="{00000000-0010-0000-0200-000001000000}" name="Qtde">
      <calculatedColumnFormula>A1+1</calculatedColumnFormula>
    </tableColumn>
    <tableColumn id="2" xr3:uid="{00000000-0010-0000-0200-000002000000}" name="Cliente" dataDxfId="285"/>
    <tableColumn id="3" xr3:uid="{00000000-0010-0000-0200-000003000000}" name="Produto"/>
    <tableColumn id="4" xr3:uid="{00000000-0010-0000-0200-000004000000}" name="Responsável" dataDxfId="284"/>
    <tableColumn id="5" xr3:uid="{00000000-0010-0000-0200-000005000000}" name="Vlr Projeto" dataDxfId="283"/>
    <tableColumn id="6" xr3:uid="{00000000-0010-0000-0200-000006000000}" name="Mensalidade" dataDxfId="282"/>
    <tableColumn id="7" xr3:uid="{00000000-0010-0000-0200-000007000000}" name="Horas" dataDxfId="281"/>
    <tableColumn id="8" xr3:uid="{00000000-0010-0000-0200-000008000000}" name="Pipeline"/>
    <tableColumn id="9" xr3:uid="{00000000-0010-0000-0200-000009000000}" name="Temperatura" dataDxfId="28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11" displayName="Tabela11" ref="A1:U62" totalsRowCount="1" headerRowDxfId="279" dataDxfId="278">
  <autoFilter ref="A1:U61" xr:uid="{00000000-0009-0000-0100-000004000000}"/>
  <tableColumns count="21">
    <tableColumn id="1" xr3:uid="{00000000-0010-0000-0300-000001000000}" name="Data" totalsRowLabel="Total" dataDxfId="277" totalsRowDxfId="276"/>
    <tableColumn id="2" xr3:uid="{00000000-0010-0000-0300-000002000000}" name="Ticket" dataDxfId="275" totalsRowDxfId="274"/>
    <tableColumn id="3" xr3:uid="{00000000-0010-0000-0300-000003000000}" name="Vendedor" dataDxfId="273" totalsRowDxfId="272"/>
    <tableColumn id="4" xr3:uid="{00000000-0010-0000-0300-000004000000}" name="Cliente" dataDxfId="271" totalsRowDxfId="270"/>
    <tableColumn id="5" xr3:uid="{00000000-0010-0000-0300-000005000000}" name="Produto" dataDxfId="269" totalsRowDxfId="268"/>
    <tableColumn id="6" xr3:uid="{00000000-0010-0000-0300-000006000000}" name="TipoReceita" dataDxfId="267" totalsRowDxfId="266"/>
    <tableColumn id="7" xr3:uid="{00000000-0010-0000-0300-000007000000}" name="Qtde" dataDxfId="265" totalsRowDxfId="264"/>
    <tableColumn id="8" xr3:uid="{00000000-0010-0000-0300-000008000000}" name="VlrUnitário" dataDxfId="263" totalsRowDxfId="262"/>
    <tableColumn id="9" xr3:uid="{00000000-0010-0000-0300-000009000000}" name="VlrTotal" totalsRowFunction="sum" dataDxfId="261" totalsRowDxfId="260"/>
    <tableColumn id="10" xr3:uid="{00000000-0010-0000-0300-00000A000000}" name="Vlr Meta" totalsRowFunction="sum" dataDxfId="259" totalsRowDxfId="258"/>
    <tableColumn id="11" xr3:uid="{00000000-0010-0000-0300-00000B000000}" name="%Comissão" dataDxfId="257" totalsRowDxfId="256" dataCellStyle="Porcentagem"/>
    <tableColumn id="12" xr3:uid="{00000000-0010-0000-0300-00000C000000}" name="%ComissãoSupervisor" dataDxfId="255" totalsRowDxfId="254" dataCellStyle="Porcentagem"/>
    <tableColumn id="13" xr3:uid="{00000000-0010-0000-0300-00000D000000}" name="Base" dataDxfId="253" totalsRowDxfId="252"/>
    <tableColumn id="14" xr3:uid="{00000000-0010-0000-0300-00000E000000}" name="ComissãoVendedor " totalsRowFunction="sum" dataDxfId="251" totalsRowDxfId="250"/>
    <tableColumn id="15" xr3:uid="{00000000-0010-0000-0300-00000F000000}" name="ComissãoSupervisor" totalsRowFunction="sum" dataDxfId="249" totalsRowDxfId="248"/>
    <tableColumn id="16" xr3:uid="{00000000-0010-0000-0300-000010000000}" name="Clicksign" dataDxfId="247" totalsRowDxfId="246"/>
    <tableColumn id="17" xr3:uid="{00000000-0010-0000-0300-000011000000}" name="Contrato_Termo Aditivo" dataDxfId="245" totalsRowDxfId="244"/>
    <tableColumn id="18" xr3:uid="{00000000-0010-0000-0300-000012000000}" name="Obs" dataDxfId="243" totalsRowDxfId="242"/>
    <tableColumn id="19" xr3:uid="{00000000-0010-0000-0300-000013000000}" name="Parcelas" dataDxfId="241" totalsRowDxfId="240"/>
    <tableColumn id="20" xr3:uid="{00000000-0010-0000-0300-000014000000}" name="Contrato" dataDxfId="239" totalsRowDxfId="238"/>
    <tableColumn id="21" xr3:uid="{00000000-0010-0000-0300-000015000000}" name="SDR_RESPONSÁVEL" totalsRowFunction="count" dataDxfId="237" totalsRowDxfId="23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3" displayName="Tabela3" ref="A1:T40" totalsRowCount="1" headerRowDxfId="235" dataDxfId="233" totalsRowDxfId="231" headerRowBorderDxfId="234" tableBorderDxfId="232" totalsRowBorderDxfId="230">
  <autoFilter ref="A1:T39" xr:uid="{00000000-0009-0000-0100-000005000000}"/>
  <tableColumns count="20">
    <tableColumn id="1" xr3:uid="{00000000-0010-0000-0400-000001000000}" name="Data" totalsRowLabel="Total" dataDxfId="229" totalsRowDxfId="228"/>
    <tableColumn id="2" xr3:uid="{00000000-0010-0000-0400-000002000000}" name="Ticket" dataDxfId="227" totalsRowDxfId="226"/>
    <tableColumn id="3" xr3:uid="{00000000-0010-0000-0400-000003000000}" name="Vendedor" dataDxfId="225" totalsRowDxfId="224"/>
    <tableColumn id="4" xr3:uid="{00000000-0010-0000-0400-000004000000}" name="Cliente" dataDxfId="223" totalsRowDxfId="222"/>
    <tableColumn id="5" xr3:uid="{00000000-0010-0000-0400-000005000000}" name="Produto" dataDxfId="221" totalsRowDxfId="220"/>
    <tableColumn id="6" xr3:uid="{00000000-0010-0000-0400-000006000000}" name="TipoReceita" dataDxfId="219" totalsRowDxfId="218"/>
    <tableColumn id="7" xr3:uid="{00000000-0010-0000-0400-000007000000}" name="Qtde" dataDxfId="217" totalsRowDxfId="216"/>
    <tableColumn id="8" xr3:uid="{00000000-0010-0000-0400-000008000000}" name="VlrUnitário" dataDxfId="215" totalsRowDxfId="214"/>
    <tableColumn id="9" xr3:uid="{00000000-0010-0000-0400-000009000000}" name="VlrTotal" totalsRowFunction="sum" dataDxfId="213" totalsRowDxfId="212"/>
    <tableColumn id="10" xr3:uid="{00000000-0010-0000-0400-00000A000000}" name="%Comissão" dataDxfId="211" totalsRowDxfId="210" dataCellStyle="Porcentagem"/>
    <tableColumn id="11" xr3:uid="{00000000-0010-0000-0400-00000B000000}" name="%ComissãoSupervisor" dataDxfId="209" totalsRowDxfId="208" dataCellStyle="Porcentagem"/>
    <tableColumn id="12" xr3:uid="{00000000-0010-0000-0400-00000C000000}" name="Base" dataDxfId="207" totalsRowDxfId="206"/>
    <tableColumn id="13" xr3:uid="{00000000-0010-0000-0400-00000D000000}" name="ComissãoVendedor " totalsRowFunction="sum" dataDxfId="205" totalsRowDxfId="204"/>
    <tableColumn id="14" xr3:uid="{00000000-0010-0000-0400-00000E000000}" name="ComissãoSupervisor" totalsRowFunction="sum" dataDxfId="203" totalsRowDxfId="202"/>
    <tableColumn id="15" xr3:uid="{00000000-0010-0000-0400-00000F000000}" name="Clicksign" dataDxfId="201" totalsRowDxfId="200"/>
    <tableColumn id="16" xr3:uid="{00000000-0010-0000-0400-000010000000}" name="Contrato_Termo Aditivo" dataDxfId="199" totalsRowDxfId="198"/>
    <tableColumn id="17" xr3:uid="{00000000-0010-0000-0400-000011000000}" name="Obs" dataDxfId="197" totalsRowDxfId="196"/>
    <tableColumn id="18" xr3:uid="{00000000-0010-0000-0400-000012000000}" name="Parcelas" dataDxfId="195" totalsRowDxfId="194"/>
    <tableColumn id="19" xr3:uid="{00000000-0010-0000-0400-000013000000}" name="Contrato" dataDxfId="193" totalsRowDxfId="192"/>
    <tableColumn id="20" xr3:uid="{00000000-0010-0000-0400-000014000000}" name="SDR_RESPONSÁVEL" totalsRowFunction="count" dataDxfId="191" totalsRowDxfId="190"/>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endas2025" displayName="Vendas2025" ref="A1:T473" totalsRowCount="1" headerRowDxfId="75" dataDxfId="73" totalsRowDxfId="71" headerRowBorderDxfId="74" tableBorderDxfId="72" totalsRowBorderDxfId="70">
  <autoFilter ref="A1:T472" xr:uid="{00000000-0009-0000-0100-000006000000}"/>
  <tableColumns count="20">
    <tableColumn id="1" xr3:uid="{00000000-0010-0000-0500-000001000000}" name="Data" dataDxfId="69" totalsRowDxfId="68"/>
    <tableColumn id="2" xr3:uid="{00000000-0010-0000-0500-000002000000}" name="Ticket" dataDxfId="67" totalsRowDxfId="66"/>
    <tableColumn id="20" xr3:uid="{00000000-0010-0000-0500-000014000000}" name="Vendedor" dataDxfId="65" totalsRowDxfId="64"/>
    <tableColumn id="21" xr3:uid="{00000000-0010-0000-0500-000015000000}" name="Cliente" dataDxfId="63" totalsRowDxfId="62"/>
    <tableColumn id="4" xr3:uid="{00000000-0010-0000-0500-000004000000}" name="Produto" dataDxfId="61" totalsRowDxfId="60"/>
    <tableColumn id="22" xr3:uid="{00000000-0010-0000-0500-000016000000}" name="TipoReceita" dataDxfId="59" totalsRowDxfId="58"/>
    <tableColumn id="5" xr3:uid="{00000000-0010-0000-0500-000005000000}" name="Qtde" totalsRowFunction="sum" dataDxfId="57" totalsRowDxfId="56"/>
    <tableColumn id="6" xr3:uid="{00000000-0010-0000-0500-000006000000}" name="VlrUnitário" dataDxfId="55" totalsRowDxfId="54"/>
    <tableColumn id="7" xr3:uid="{00000000-0010-0000-0500-000007000000}" name="VlrTotal" totalsRowFunction="sum" dataDxfId="53" totalsRowDxfId="52"/>
    <tableColumn id="8" xr3:uid="{00000000-0010-0000-0500-000008000000}" name="%Comissão" dataDxfId="51" totalsRowDxfId="50"/>
    <tableColumn id="24" xr3:uid="{00000000-0010-0000-0500-000018000000}" name="%ComissãoSupervisor" dataDxfId="49" totalsRowDxfId="48" dataCellStyle="Porcentagem"/>
    <tableColumn id="23" xr3:uid="{00000000-0010-0000-0500-000017000000}" name="Base" dataDxfId="47" totalsRowDxfId="46"/>
    <tableColumn id="12" xr3:uid="{00000000-0010-0000-0500-00000C000000}" name="ComissãoVendedor " totalsRowFunction="sum" dataDxfId="45" totalsRowDxfId="44"/>
    <tableColumn id="19" xr3:uid="{00000000-0010-0000-0500-000013000000}" name="ComissãoSupervisor" totalsRowFunction="sum" dataDxfId="43" totalsRowDxfId="42">
      <calculatedColumnFormula>I2*K2</calculatedColumnFormula>
    </tableColumn>
    <tableColumn id="13" xr3:uid="{00000000-0010-0000-0500-00000D000000}" name="Clicksign" dataDxfId="41" totalsRowDxfId="40"/>
    <tableColumn id="15" xr3:uid="{00000000-0010-0000-0500-00000F000000}" name="Contrato_Termo Aditivo" dataDxfId="39" totalsRowDxfId="38"/>
    <tableColumn id="18" xr3:uid="{00000000-0010-0000-0500-000012000000}" name="Obs" dataDxfId="37" totalsRowDxfId="36"/>
    <tableColumn id="3" xr3:uid="{00000000-0010-0000-0500-000003000000}" name="Parcelas" dataDxfId="35" totalsRowDxfId="34"/>
    <tableColumn id="9" xr3:uid="{00000000-0010-0000-0500-000009000000}" name="Contrato" dataDxfId="33" totalsRowDxfId="32"/>
    <tableColumn id="10" xr3:uid="{00000000-0010-0000-0500-00000A000000}" name="SDR_RESPONSÁVEL" totalsRowFunction="count" dataDxfId="31" totalsRowDxfId="30"/>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issao" displayName="comissao" ref="A867:F1039" totalsRowShown="0" headerRowDxfId="25" dataDxfId="24">
  <autoFilter ref="A867:F1039" xr:uid="{00000000-0009-0000-0100-000007000000}">
    <filterColumn colId="0">
      <filters>
        <dateGroupItem year="2026" dateTimeGrouping="year"/>
      </filters>
    </filterColumn>
  </autoFilter>
  <tableColumns count="6">
    <tableColumn id="1" xr3:uid="{00000000-0010-0000-0600-000001000000}" name="Mês" dataDxfId="23"/>
    <tableColumn id="2" xr3:uid="{00000000-0010-0000-0600-000002000000}" name="Vendedor" dataDxfId="22"/>
    <tableColumn id="3" xr3:uid="{00000000-0010-0000-0600-000003000000}" name="Comissão" dataDxfId="21"/>
    <tableColumn id="4" xr3:uid="{00000000-0010-0000-0600-000004000000}" name="Pago em" dataDxfId="20"/>
    <tableColumn id="5" xr3:uid="{00000000-0010-0000-0600-000005000000}" name="Count" dataDxfId="19"/>
    <tableColumn id="6" xr3:uid="{00000000-0010-0000-0600-000006000000}" name="Ano" dataDxfId="18"/>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drawing" Target="../drawings/drawing2.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
  <sheetViews>
    <sheetView workbookViewId="0">
      <selection activeCell="C21" sqref="C21"/>
    </sheetView>
  </sheetViews>
  <sheetFormatPr defaultRowHeight="14.4" x14ac:dyDescent="0.3"/>
  <cols>
    <col min="1" max="1" width="10.33203125" bestFit="1" customWidth="1"/>
  </cols>
  <sheetData>
    <row r="1" spans="1:22" s="389" customFormat="1" ht="43.2" customHeight="1" x14ac:dyDescent="0.3">
      <c r="A1" s="68" t="s">
        <v>0</v>
      </c>
      <c r="B1" s="69" t="s">
        <v>1</v>
      </c>
      <c r="C1" s="69" t="s">
        <v>2</v>
      </c>
      <c r="D1" s="69" t="s">
        <v>3</v>
      </c>
      <c r="E1" s="69" t="s">
        <v>4</v>
      </c>
      <c r="F1" s="69" t="s">
        <v>5</v>
      </c>
      <c r="G1" s="69" t="s">
        <v>6</v>
      </c>
      <c r="H1" s="69" t="s">
        <v>7</v>
      </c>
      <c r="I1" s="69" t="s">
        <v>8</v>
      </c>
      <c r="J1" s="69" t="s">
        <v>9</v>
      </c>
      <c r="K1" s="69" t="s">
        <v>10</v>
      </c>
      <c r="L1" s="70" t="s">
        <v>11</v>
      </c>
      <c r="M1" s="69" t="s">
        <v>12</v>
      </c>
      <c r="N1" s="70" t="s">
        <v>13</v>
      </c>
      <c r="O1" s="70" t="s">
        <v>14</v>
      </c>
      <c r="P1" s="69" t="s">
        <v>15</v>
      </c>
      <c r="Q1" s="70" t="s">
        <v>16</v>
      </c>
      <c r="R1" s="69" t="s">
        <v>17</v>
      </c>
      <c r="S1" s="69" t="s">
        <v>18</v>
      </c>
      <c r="T1" s="69" t="s">
        <v>19</v>
      </c>
      <c r="U1" s="69" t="s">
        <v>20</v>
      </c>
      <c r="V1" s="71" t="s">
        <v>21</v>
      </c>
    </row>
    <row r="2" spans="1:22" s="256" customFormat="1" x14ac:dyDescent="0.3">
      <c r="A2" s="90">
        <v>46147</v>
      </c>
      <c r="B2" s="379">
        <v>141516</v>
      </c>
      <c r="C2" s="379" t="s">
        <v>31</v>
      </c>
      <c r="D2" s="379" t="s">
        <v>151</v>
      </c>
      <c r="E2" s="379" t="s">
        <v>152</v>
      </c>
      <c r="F2" s="379" t="s">
        <v>30</v>
      </c>
      <c r="G2" s="383">
        <v>1</v>
      </c>
      <c r="H2" s="384">
        <v>3001.35</v>
      </c>
      <c r="I2" s="385">
        <f>vendas2026[[#This Row],[Qtde]]*vendas2026[[#This Row],[VlrUnitário]]</f>
        <v>21060</v>
      </c>
      <c r="J2" s="386">
        <f>(vendas2026[[#This Row],[VlrTotal]]*0.2)+vendas2026[[#This Row],[VlrTotal]]</f>
        <v>21404.519999999997</v>
      </c>
      <c r="K2" s="387">
        <v>1</v>
      </c>
      <c r="L2" s="387">
        <f>vendas2026[[#This Row],[%Comissão]]*0.25</f>
        <v>1.7500000000000002E-2</v>
      </c>
      <c r="M2" s="385" t="s">
        <v>26</v>
      </c>
      <c r="N2" s="386">
        <f>vendas2026[[#This Row],[VlrTotal]]*vendas2026[[#This Row],[%Comissão]]</f>
        <v>1248.597</v>
      </c>
      <c r="O2" s="385">
        <f>vendas2026[[#This Row],[VlrTotal]]*vendas2026[[#This Row],[%ComissãoSupervisor]]</f>
        <v>0</v>
      </c>
      <c r="P2" s="379" t="s">
        <v>27</v>
      </c>
      <c r="Q2" s="379" t="s">
        <v>27</v>
      </c>
      <c r="R2" s="379"/>
      <c r="S2" s="379">
        <v>1</v>
      </c>
      <c r="T2" s="380">
        <v>46156</v>
      </c>
      <c r="U2" s="379" t="s">
        <v>147</v>
      </c>
      <c r="V2" s="388" t="s">
        <v>31</v>
      </c>
    </row>
    <row r="3" spans="1:22" s="256" customFormat="1" x14ac:dyDescent="0.3">
      <c r="A3" s="90">
        <v>46154</v>
      </c>
      <c r="B3" s="379">
        <v>142403</v>
      </c>
      <c r="C3" s="379" t="s">
        <v>31</v>
      </c>
      <c r="D3" s="379" t="s">
        <v>153</v>
      </c>
      <c r="E3" s="379" t="s">
        <v>47</v>
      </c>
      <c r="F3" s="379" t="s">
        <v>25</v>
      </c>
      <c r="G3" s="383">
        <v>280</v>
      </c>
      <c r="H3" s="384">
        <v>210</v>
      </c>
      <c r="I3" s="385">
        <f>vendas2026[[#This Row],[Qtde]]*vendas2026[[#This Row],[VlrUnitário]]</f>
        <v>840</v>
      </c>
      <c r="J3" s="386">
        <f>vendas2026[[#This Row],[VlrTotal]]</f>
        <v>840</v>
      </c>
      <c r="K3" s="387">
        <v>7.0000000000000007E-2</v>
      </c>
      <c r="L3" s="387">
        <f>vendas2026[[#This Row],[%Comissão]]*0.25</f>
        <v>0.25</v>
      </c>
      <c r="M3" s="385" t="s">
        <v>46</v>
      </c>
      <c r="N3" s="386">
        <f>vendas2026[[#This Row],[VlrTotal]]*vendas2026[[#This Row],[%Comissão]]</f>
        <v>840</v>
      </c>
      <c r="O3" s="385">
        <f>vendas2026[[#This Row],[VlrTotal]]*vendas2026[[#This Row],[%ComissãoSupervisor]]</f>
        <v>0</v>
      </c>
      <c r="P3" s="379" t="s">
        <v>27</v>
      </c>
      <c r="Q3" s="379" t="s">
        <v>27</v>
      </c>
      <c r="R3" s="379"/>
      <c r="S3" s="379">
        <v>10</v>
      </c>
      <c r="T3" s="380"/>
      <c r="U3" s="379" t="s">
        <v>147</v>
      </c>
      <c r="V3" s="388" t="s">
        <v>31</v>
      </c>
    </row>
    <row r="4" spans="1:22" s="256" customFormat="1" x14ac:dyDescent="0.3">
      <c r="A4" s="90">
        <v>46154</v>
      </c>
      <c r="B4" s="379">
        <v>142403</v>
      </c>
      <c r="C4" s="379" t="s">
        <v>31</v>
      </c>
      <c r="D4" s="379" t="s">
        <v>153</v>
      </c>
      <c r="E4" s="379" t="s">
        <v>47</v>
      </c>
      <c r="F4" s="379" t="s">
        <v>30</v>
      </c>
      <c r="G4" s="383">
        <v>14</v>
      </c>
      <c r="H4" s="384">
        <v>275.82</v>
      </c>
      <c r="I4" s="385">
        <f>vendas2026[[#This Row],[Qtde]]*vendas2026[[#This Row],[VlrUnitário]]</f>
        <v>7999.8000000000011</v>
      </c>
      <c r="J4" s="386">
        <f>vendas2026[[#This Row],[VlrTotal]]</f>
        <v>7999.8000000000011</v>
      </c>
      <c r="K4" s="387">
        <v>1</v>
      </c>
      <c r="L4" s="387">
        <f>vendas2026[[#This Row],[%Comissão]]*0.25</f>
        <v>1.6674999999999999E-2</v>
      </c>
      <c r="M4" s="385" t="s">
        <v>46</v>
      </c>
      <c r="N4" s="386">
        <f>vendas2026[[#This Row],[VlrTotal]]*vendas2026[[#This Row],[%Comissão]]</f>
        <v>533.58666000000005</v>
      </c>
      <c r="O4" s="385">
        <f>vendas2026[[#This Row],[VlrTotal]]*vendas2026[[#This Row],[%ComissãoSupervisor]]</f>
        <v>133.39666500000001</v>
      </c>
      <c r="P4" s="379" t="s">
        <v>27</v>
      </c>
      <c r="Q4" s="379" t="s">
        <v>27</v>
      </c>
      <c r="R4" s="379"/>
      <c r="S4" s="379">
        <v>1</v>
      </c>
      <c r="T4" s="380"/>
      <c r="U4" s="379" t="s">
        <v>147</v>
      </c>
      <c r="V4" s="388" t="s">
        <v>31</v>
      </c>
    </row>
    <row r="5" spans="1:22" s="256" customFormat="1" x14ac:dyDescent="0.3">
      <c r="A5" s="90">
        <v>46154</v>
      </c>
      <c r="B5" s="379">
        <v>142403</v>
      </c>
      <c r="C5" s="379" t="s">
        <v>31</v>
      </c>
      <c r="D5" s="379" t="s">
        <v>153</v>
      </c>
      <c r="E5" s="379" t="s">
        <v>145</v>
      </c>
      <c r="F5" s="379" t="s">
        <v>30</v>
      </c>
      <c r="G5" s="383">
        <v>1</v>
      </c>
      <c r="H5" s="384">
        <v>320.76</v>
      </c>
      <c r="I5" s="385">
        <f>vendas2026[[#This Row],[Qtde]]*vendas2026[[#This Row],[VlrUnitário]]</f>
        <v>986.7</v>
      </c>
      <c r="J5" s="386">
        <f>vendas2026[[#This Row],[VlrTotal]]</f>
        <v>986.7</v>
      </c>
      <c r="K5" s="387">
        <v>1</v>
      </c>
      <c r="L5" s="387">
        <f>vendas2026[[#This Row],[%Comissão]]*0.25</f>
        <v>0.25</v>
      </c>
      <c r="M5" s="385" t="s">
        <v>46</v>
      </c>
      <c r="N5" s="386">
        <f>vendas2026[[#This Row],[VlrTotal]]*vendas2026[[#This Row],[%Comissão]]</f>
        <v>986.7</v>
      </c>
      <c r="O5" s="385">
        <f>vendas2026[[#This Row],[VlrTotal]]*vendas2026[[#This Row],[%ComissãoSupervisor]]</f>
        <v>246.67500000000001</v>
      </c>
      <c r="P5" s="379" t="s">
        <v>27</v>
      </c>
      <c r="Q5" s="379" t="s">
        <v>27</v>
      </c>
      <c r="R5" s="379"/>
      <c r="S5" s="379">
        <v>1</v>
      </c>
      <c r="T5" s="380"/>
      <c r="U5" s="379" t="s">
        <v>147</v>
      </c>
      <c r="V5" s="388" t="s">
        <v>31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8D2C9"/>
  </sheetPr>
  <dimension ref="A1:V261"/>
  <sheetViews>
    <sheetView showGridLines="0" zoomScaleNormal="100" workbookViewId="0">
      <pane xSplit="5" ySplit="1" topLeftCell="F247" activePane="bottomRight" state="frozen"/>
      <selection pane="topRight" activeCell="F1" sqref="F1"/>
      <selection pane="bottomLeft" activeCell="A3" sqref="A3"/>
      <selection pane="bottomRight" activeCell="C251" sqref="C251"/>
    </sheetView>
  </sheetViews>
  <sheetFormatPr defaultRowHeight="14.4" x14ac:dyDescent="0.3"/>
  <cols>
    <col min="1" max="1" width="13.5546875" customWidth="1"/>
    <col min="2" max="2" width="20.44140625" customWidth="1"/>
    <col min="3" max="3" width="19.88671875" customWidth="1"/>
    <col min="4" max="4" width="18" bestFit="1" customWidth="1"/>
    <col min="5" max="5" width="21.5546875" customWidth="1"/>
    <col min="6" max="6" width="27.6640625" customWidth="1"/>
    <col min="7" max="7" width="10" customWidth="1"/>
    <col min="8" max="8" width="15.109375" bestFit="1" customWidth="1"/>
    <col min="9" max="10" width="18.109375" bestFit="1" customWidth="1"/>
    <col min="11" max="11" width="16.109375" bestFit="1" customWidth="1"/>
    <col min="12" max="12" width="26.33203125" bestFit="1" customWidth="1"/>
    <col min="13" max="13" width="9.88671875" bestFit="1" customWidth="1"/>
    <col min="14" max="14" width="23.5546875" bestFit="1" customWidth="1"/>
    <col min="15" max="15" width="24.5546875" bestFit="1" customWidth="1"/>
    <col min="16" max="16" width="13.88671875" bestFit="1" customWidth="1"/>
    <col min="17" max="17" width="27.33203125" bestFit="1" customWidth="1"/>
    <col min="18" max="18" width="9.109375" bestFit="1" customWidth="1"/>
    <col min="19" max="19" width="13.109375" bestFit="1" customWidth="1"/>
    <col min="20" max="20" width="13.109375" customWidth="1"/>
    <col min="21" max="21" width="13.5546875" bestFit="1" customWidth="1"/>
    <col min="22" max="22" width="23.6640625" bestFit="1" customWidth="1"/>
  </cols>
  <sheetData>
    <row r="1" spans="1:22" s="72" customFormat="1" x14ac:dyDescent="0.3">
      <c r="A1" s="68" t="s">
        <v>0</v>
      </c>
      <c r="B1" s="69" t="s">
        <v>1</v>
      </c>
      <c r="C1" s="69" t="s">
        <v>2</v>
      </c>
      <c r="D1" s="310" t="s">
        <v>3</v>
      </c>
      <c r="E1" s="69" t="s">
        <v>4</v>
      </c>
      <c r="F1" s="69" t="s">
        <v>5</v>
      </c>
      <c r="G1" s="69" t="s">
        <v>6</v>
      </c>
      <c r="H1" s="69" t="s">
        <v>7</v>
      </c>
      <c r="I1" s="69" t="s">
        <v>8</v>
      </c>
      <c r="J1" s="69" t="s">
        <v>9</v>
      </c>
      <c r="K1" s="69" t="s">
        <v>10</v>
      </c>
      <c r="L1" s="70" t="s">
        <v>11</v>
      </c>
      <c r="M1" s="69" t="s">
        <v>12</v>
      </c>
      <c r="N1" s="70" t="s">
        <v>13</v>
      </c>
      <c r="O1" s="70" t="s">
        <v>14</v>
      </c>
      <c r="P1" s="69" t="s">
        <v>15</v>
      </c>
      <c r="Q1" s="70" t="s">
        <v>16</v>
      </c>
      <c r="R1" s="69" t="s">
        <v>17</v>
      </c>
      <c r="S1" s="69" t="s">
        <v>18</v>
      </c>
      <c r="T1" s="69" t="s">
        <v>19</v>
      </c>
      <c r="U1" s="69" t="s">
        <v>20</v>
      </c>
      <c r="V1" s="71" t="s">
        <v>21</v>
      </c>
    </row>
    <row r="2" spans="1:22" hidden="1" x14ac:dyDescent="0.3">
      <c r="A2" s="10">
        <v>46027</v>
      </c>
      <c r="B2" s="11">
        <v>133837</v>
      </c>
      <c r="C2" s="11" t="s">
        <v>22</v>
      </c>
      <c r="D2" s="11" t="s">
        <v>23</v>
      </c>
      <c r="E2" s="11" t="s">
        <v>24</v>
      </c>
      <c r="F2" s="11" t="s">
        <v>25</v>
      </c>
      <c r="G2" s="12">
        <v>180</v>
      </c>
      <c r="H2" s="13">
        <v>117</v>
      </c>
      <c r="I2" s="14">
        <v>17837.099999999999</v>
      </c>
      <c r="J2" s="14"/>
      <c r="K2" s="15">
        <v>7.0000000000000007E-2</v>
      </c>
      <c r="L2" s="15">
        <v>0</v>
      </c>
      <c r="M2" s="14" t="s">
        <v>26</v>
      </c>
      <c r="N2" s="14">
        <v>1248.597</v>
      </c>
      <c r="O2" s="14">
        <v>0</v>
      </c>
      <c r="P2" s="11" t="s">
        <v>27</v>
      </c>
      <c r="Q2" s="11" t="s">
        <v>27</v>
      </c>
      <c r="R2" s="11"/>
      <c r="S2" s="11">
        <v>12</v>
      </c>
      <c r="T2" s="11"/>
      <c r="U2" s="11" t="s">
        <v>28</v>
      </c>
      <c r="V2" s="16" t="s">
        <v>22</v>
      </c>
    </row>
    <row r="3" spans="1:22" hidden="1" x14ac:dyDescent="0.3">
      <c r="A3" s="20">
        <v>46027</v>
      </c>
      <c r="B3" s="21">
        <v>133837</v>
      </c>
      <c r="C3" s="21" t="s">
        <v>22</v>
      </c>
      <c r="D3" s="21" t="s">
        <v>23</v>
      </c>
      <c r="E3" s="21" t="s">
        <v>29</v>
      </c>
      <c r="F3" s="21" t="s">
        <v>30</v>
      </c>
      <c r="G3" s="22">
        <v>3</v>
      </c>
      <c r="H3" s="73">
        <v>280</v>
      </c>
      <c r="I3" s="23">
        <v>840</v>
      </c>
      <c r="J3" s="23"/>
      <c r="K3" s="74">
        <v>1</v>
      </c>
      <c r="L3" s="74">
        <v>0</v>
      </c>
      <c r="M3" s="23" t="s">
        <v>26</v>
      </c>
      <c r="N3" s="23">
        <v>840</v>
      </c>
      <c r="O3" s="23">
        <v>0</v>
      </c>
      <c r="P3" s="21" t="s">
        <v>27</v>
      </c>
      <c r="Q3" s="21" t="s">
        <v>27</v>
      </c>
      <c r="R3" s="21"/>
      <c r="S3" s="21">
        <v>1</v>
      </c>
      <c r="T3" s="21"/>
      <c r="U3" s="21" t="s">
        <v>28</v>
      </c>
      <c r="V3" s="75" t="s">
        <v>22</v>
      </c>
    </row>
    <row r="4" spans="1:22" hidden="1" x14ac:dyDescent="0.3">
      <c r="A4" s="10">
        <v>46027</v>
      </c>
      <c r="B4" s="11">
        <v>135649</v>
      </c>
      <c r="C4" s="11" t="s">
        <v>31</v>
      </c>
      <c r="D4" s="11" t="s">
        <v>32</v>
      </c>
      <c r="E4" s="11" t="s">
        <v>24</v>
      </c>
      <c r="F4" s="21" t="s">
        <v>25</v>
      </c>
      <c r="G4" s="12">
        <v>60</v>
      </c>
      <c r="H4" s="13">
        <v>133.33000000000001</v>
      </c>
      <c r="I4" s="23">
        <f>vendas2026[[#This Row],[Qtde]]*vendas2026[[#This Row],[VlrUnitário]]</f>
        <v>7999.8000000000011</v>
      </c>
      <c r="J4" s="23"/>
      <c r="K4" s="74">
        <v>6.6699999999999995E-2</v>
      </c>
      <c r="L4" s="15">
        <f>vendas2026[[#This Row],[%Comissão]]*0.25</f>
        <v>1.6674999999999999E-2</v>
      </c>
      <c r="M4" s="14" t="s">
        <v>26</v>
      </c>
      <c r="N4" s="23">
        <f>vendas2026[[#This Row],[VlrTotal]]*vendas2026[[#This Row],[%Comissão]]</f>
        <v>533.58666000000005</v>
      </c>
      <c r="O4" s="14">
        <f>vendas2026[[#This Row],[VlrTotal]]*vendas2026[[#This Row],[%ComissãoSupervisor]]</f>
        <v>133.39666500000001</v>
      </c>
      <c r="P4" s="11" t="s">
        <v>27</v>
      </c>
      <c r="Q4" s="11" t="s">
        <v>27</v>
      </c>
      <c r="R4" s="11"/>
      <c r="S4" s="11">
        <v>3</v>
      </c>
      <c r="T4" s="11"/>
      <c r="U4" s="11" t="s">
        <v>28</v>
      </c>
      <c r="V4" s="16" t="s">
        <v>31</v>
      </c>
    </row>
    <row r="5" spans="1:22" hidden="1" x14ac:dyDescent="0.3">
      <c r="A5" s="10">
        <v>46027</v>
      </c>
      <c r="B5" s="11">
        <v>135649</v>
      </c>
      <c r="C5" s="11" t="s">
        <v>31</v>
      </c>
      <c r="D5" s="11" t="s">
        <v>32</v>
      </c>
      <c r="E5" s="11" t="s">
        <v>33</v>
      </c>
      <c r="F5" s="21" t="s">
        <v>30</v>
      </c>
      <c r="G5" s="12">
        <v>78</v>
      </c>
      <c r="H5" s="13">
        <v>12.65</v>
      </c>
      <c r="I5" s="23">
        <f>vendas2026[[#This Row],[VlrUnitário]]*vendas2026[[#This Row],[Qtde]]</f>
        <v>986.7</v>
      </c>
      <c r="J5" s="23"/>
      <c r="K5" s="74">
        <v>1</v>
      </c>
      <c r="L5" s="15">
        <f>vendas2026[[#This Row],[%Comissão]]*0.25</f>
        <v>0.25</v>
      </c>
      <c r="M5" s="14" t="s">
        <v>26</v>
      </c>
      <c r="N5" s="23">
        <f>vendas2026[[#This Row],[VlrTotal]]*vendas2026[[#This Row],[%Comissão]]</f>
        <v>986.7</v>
      </c>
      <c r="O5" s="14">
        <f>vendas2026[[#This Row],[VlrTotal]]*vendas2026[[#This Row],[%ComissãoSupervisor]]</f>
        <v>246.67500000000001</v>
      </c>
      <c r="P5" s="11" t="s">
        <v>27</v>
      </c>
      <c r="Q5" s="11" t="s">
        <v>27</v>
      </c>
      <c r="R5" s="11"/>
      <c r="S5" s="11">
        <v>1</v>
      </c>
      <c r="T5" s="11"/>
      <c r="U5" s="11" t="s">
        <v>28</v>
      </c>
      <c r="V5" s="16" t="s">
        <v>31</v>
      </c>
    </row>
    <row r="6" spans="1:22" hidden="1" x14ac:dyDescent="0.3">
      <c r="A6" s="10">
        <v>46034</v>
      </c>
      <c r="B6" s="11">
        <v>134739</v>
      </c>
      <c r="C6" s="11" t="s">
        <v>31</v>
      </c>
      <c r="D6" s="11" t="s">
        <v>34</v>
      </c>
      <c r="E6" s="11" t="s">
        <v>35</v>
      </c>
      <c r="F6" s="11" t="s">
        <v>35</v>
      </c>
      <c r="G6" s="12">
        <v>6</v>
      </c>
      <c r="H6" s="13">
        <v>158.40100000000001</v>
      </c>
      <c r="I6" s="23">
        <f>vendas2026[[#This Row],[VlrUnitário]]*vendas2026[[#This Row],[Qtde]]</f>
        <v>950.40600000000006</v>
      </c>
      <c r="J6" s="23"/>
      <c r="K6" s="74">
        <v>7.0000000000000001E-3</v>
      </c>
      <c r="L6" s="15">
        <f>vendas2026[[#This Row],[%Comissão]]*0.25</f>
        <v>1.75E-3</v>
      </c>
      <c r="M6" s="14" t="s">
        <v>26</v>
      </c>
      <c r="N6" s="23">
        <f>vendas2026[[#This Row],[VlrTotal]]*vendas2026[[#This Row],[%Comissão]]</f>
        <v>6.6528420000000006</v>
      </c>
      <c r="O6" s="14">
        <f>vendas2026[[#This Row],[VlrTotal]]*vendas2026[[#This Row],[%ComissãoSupervisor]]</f>
        <v>1.6632105000000001</v>
      </c>
      <c r="P6" s="11" t="s">
        <v>36</v>
      </c>
      <c r="Q6" s="11" t="s">
        <v>37</v>
      </c>
      <c r="R6" s="11"/>
      <c r="S6" s="11">
        <v>1</v>
      </c>
      <c r="T6" s="11"/>
      <c r="U6" s="11" t="s">
        <v>38</v>
      </c>
      <c r="V6" s="16" t="s">
        <v>31</v>
      </c>
    </row>
    <row r="7" spans="1:22" hidden="1" x14ac:dyDescent="0.3">
      <c r="A7" s="10">
        <v>46034</v>
      </c>
      <c r="B7" s="11">
        <v>136315</v>
      </c>
      <c r="C7" s="11" t="s">
        <v>22</v>
      </c>
      <c r="D7" s="11" t="s">
        <v>39</v>
      </c>
      <c r="E7" s="11" t="s">
        <v>40</v>
      </c>
      <c r="F7" s="11" t="s">
        <v>41</v>
      </c>
      <c r="G7" s="12">
        <v>1</v>
      </c>
      <c r="H7" s="13">
        <v>15053.87</v>
      </c>
      <c r="I7" s="23">
        <f>vendas2026[[#This Row],[VlrUnitário]]*vendas2026[[#This Row],[Qtde]]</f>
        <v>15053.87</v>
      </c>
      <c r="J7" s="23"/>
      <c r="K7" s="74">
        <v>7.0000000000000007E-2</v>
      </c>
      <c r="L7" s="15">
        <v>0</v>
      </c>
      <c r="M7" s="14" t="s">
        <v>26</v>
      </c>
      <c r="N7" s="23">
        <f>vendas2026[[#This Row],[VlrTotal]]*vendas2026[[#This Row],[%Comissão]]</f>
        <v>1053.7709000000002</v>
      </c>
      <c r="O7" s="14">
        <f>vendas2026[[#This Row],[VlrTotal]]*vendas2026[[#This Row],[%ComissãoSupervisor]]</f>
        <v>0</v>
      </c>
      <c r="P7" s="11" t="s">
        <v>27</v>
      </c>
      <c r="Q7" s="11" t="s">
        <v>27</v>
      </c>
      <c r="R7" s="11"/>
      <c r="S7" s="11">
        <v>6</v>
      </c>
      <c r="T7" s="11"/>
      <c r="U7" s="11" t="s">
        <v>28</v>
      </c>
      <c r="V7" s="16" t="s">
        <v>22</v>
      </c>
    </row>
    <row r="8" spans="1:22" hidden="1" x14ac:dyDescent="0.3">
      <c r="A8" s="10">
        <v>46034</v>
      </c>
      <c r="B8" s="11">
        <v>136315</v>
      </c>
      <c r="C8" s="11" t="s">
        <v>22</v>
      </c>
      <c r="D8" s="11" t="s">
        <v>39</v>
      </c>
      <c r="E8" s="11" t="s">
        <v>42</v>
      </c>
      <c r="F8" s="11" t="s">
        <v>30</v>
      </c>
      <c r="G8" s="12">
        <v>1</v>
      </c>
      <c r="H8" s="13">
        <v>275.62</v>
      </c>
      <c r="I8" s="23">
        <f>vendas2026[[#This Row],[VlrUnitário]]*vendas2026[[#This Row],[Qtde]]</f>
        <v>275.62</v>
      </c>
      <c r="J8" s="23"/>
      <c r="K8" s="74">
        <v>1</v>
      </c>
      <c r="L8" s="15">
        <v>0</v>
      </c>
      <c r="M8" s="14" t="s">
        <v>26</v>
      </c>
      <c r="N8" s="23">
        <f>vendas2026[[#This Row],[VlrTotal]]*vendas2026[[#This Row],[%Comissão]]</f>
        <v>275.62</v>
      </c>
      <c r="O8" s="14">
        <f>vendas2026[[#This Row],[VlrTotal]]*vendas2026[[#This Row],[%ComissãoSupervisor]]</f>
        <v>0</v>
      </c>
      <c r="P8" s="11" t="s">
        <v>27</v>
      </c>
      <c r="Q8" s="11" t="s">
        <v>27</v>
      </c>
      <c r="R8" s="11"/>
      <c r="S8" s="11">
        <v>1</v>
      </c>
      <c r="T8" s="11"/>
      <c r="U8" s="11" t="s">
        <v>28</v>
      </c>
      <c r="V8" s="16" t="s">
        <v>22</v>
      </c>
    </row>
    <row r="9" spans="1:22" hidden="1" x14ac:dyDescent="0.3">
      <c r="A9" s="10">
        <v>46043</v>
      </c>
      <c r="B9" s="11">
        <v>132374</v>
      </c>
      <c r="C9" s="11" t="s">
        <v>31</v>
      </c>
      <c r="D9" s="11" t="s">
        <v>43</v>
      </c>
      <c r="E9" s="11" t="s">
        <v>24</v>
      </c>
      <c r="F9" s="11" t="s">
        <v>25</v>
      </c>
      <c r="G9" s="12">
        <v>94</v>
      </c>
      <c r="H9" s="13">
        <v>178.5</v>
      </c>
      <c r="I9" s="23">
        <f>vendas2026[[#This Row],[VlrUnitário]]*vendas2026[[#This Row],[Qtde]]</f>
        <v>16779</v>
      </c>
      <c r="J9" s="23"/>
      <c r="K9" s="74">
        <v>6.6699999999999995E-2</v>
      </c>
      <c r="L9" s="15">
        <f>vendas2026[[#This Row],[%Comissão]]*0.25</f>
        <v>1.6674999999999999E-2</v>
      </c>
      <c r="M9" s="14" t="s">
        <v>26</v>
      </c>
      <c r="N9" s="23">
        <f>vendas2026[[#This Row],[VlrTotal]]*vendas2026[[#This Row],[%Comissão]]</f>
        <v>1119.1593</v>
      </c>
      <c r="O9" s="14">
        <f>vendas2026[[#This Row],[VlrTotal]]*vendas2026[[#This Row],[%ComissãoSupervisor]]</f>
        <v>279.78982500000001</v>
      </c>
      <c r="P9" s="11" t="s">
        <v>36</v>
      </c>
      <c r="Q9" s="11" t="s">
        <v>37</v>
      </c>
      <c r="R9" s="11"/>
      <c r="S9" s="11">
        <v>10</v>
      </c>
      <c r="T9" s="11"/>
      <c r="U9" s="11" t="s">
        <v>28</v>
      </c>
      <c r="V9" s="16" t="s">
        <v>31</v>
      </c>
    </row>
    <row r="10" spans="1:22" hidden="1" x14ac:dyDescent="0.3">
      <c r="A10" s="10">
        <v>46043</v>
      </c>
      <c r="B10" s="11">
        <v>132678</v>
      </c>
      <c r="C10" s="11" t="s">
        <v>44</v>
      </c>
      <c r="D10" s="11" t="s">
        <v>45</v>
      </c>
      <c r="E10" s="11" t="s">
        <v>24</v>
      </c>
      <c r="F10" s="11" t="s">
        <v>25</v>
      </c>
      <c r="G10" s="12">
        <v>270</v>
      </c>
      <c r="H10" s="13">
        <v>190</v>
      </c>
      <c r="I10" s="14">
        <f t="shared" ref="I10:I39" si="0">G10*H10</f>
        <v>51300</v>
      </c>
      <c r="J10" s="14"/>
      <c r="K10" s="15">
        <v>7.0000000000000007E-2</v>
      </c>
      <c r="L10" s="15">
        <f>K10*0.25</f>
        <v>1.7500000000000002E-2</v>
      </c>
      <c r="M10" s="14" t="s">
        <v>46</v>
      </c>
      <c r="N10" s="14">
        <f t="shared" ref="N10:N39" si="1">(K10*I10)</f>
        <v>3591.0000000000005</v>
      </c>
      <c r="O10" s="14">
        <f t="shared" ref="O10:O39" si="2">I10*L10</f>
        <v>897.75000000000011</v>
      </c>
      <c r="P10" s="11" t="s">
        <v>27</v>
      </c>
      <c r="Q10" s="11" t="s">
        <v>27</v>
      </c>
      <c r="R10" s="11"/>
      <c r="S10" s="11">
        <v>10</v>
      </c>
      <c r="T10" s="11"/>
      <c r="U10" s="11" t="s">
        <v>28</v>
      </c>
      <c r="V10" s="16" t="s">
        <v>44</v>
      </c>
    </row>
    <row r="11" spans="1:22" hidden="1" x14ac:dyDescent="0.3">
      <c r="A11" s="10">
        <v>46043</v>
      </c>
      <c r="B11" s="11">
        <v>132678</v>
      </c>
      <c r="C11" s="11" t="s">
        <v>44</v>
      </c>
      <c r="D11" s="11" t="s">
        <v>45</v>
      </c>
      <c r="E11" s="11" t="s">
        <v>47</v>
      </c>
      <c r="F11" s="11" t="s">
        <v>30</v>
      </c>
      <c r="G11" s="12">
        <v>5</v>
      </c>
      <c r="H11" s="13">
        <v>275.62</v>
      </c>
      <c r="I11" s="14">
        <f t="shared" si="0"/>
        <v>1378.1</v>
      </c>
      <c r="J11" s="14"/>
      <c r="K11" s="15">
        <v>1</v>
      </c>
      <c r="L11" s="15">
        <f>K11*0.25</f>
        <v>0.25</v>
      </c>
      <c r="M11" s="14" t="s">
        <v>46</v>
      </c>
      <c r="N11" s="14">
        <f t="shared" si="1"/>
        <v>1378.1</v>
      </c>
      <c r="O11" s="14">
        <f t="shared" si="2"/>
        <v>344.52499999999998</v>
      </c>
      <c r="P11" s="11" t="s">
        <v>27</v>
      </c>
      <c r="Q11" s="11" t="s">
        <v>27</v>
      </c>
      <c r="R11" s="11"/>
      <c r="S11" s="11">
        <v>1</v>
      </c>
      <c r="T11" s="11"/>
      <c r="U11" s="11" t="s">
        <v>28</v>
      </c>
      <c r="V11" s="16" t="s">
        <v>44</v>
      </c>
    </row>
    <row r="12" spans="1:22" hidden="1" x14ac:dyDescent="0.3">
      <c r="A12" s="10">
        <v>46043</v>
      </c>
      <c r="B12" s="11">
        <v>132678</v>
      </c>
      <c r="C12" s="11" t="s">
        <v>44</v>
      </c>
      <c r="D12" s="11" t="s">
        <v>45</v>
      </c>
      <c r="E12" s="11" t="s">
        <v>48</v>
      </c>
      <c r="F12" s="11" t="s">
        <v>30</v>
      </c>
      <c r="G12" s="12">
        <v>1</v>
      </c>
      <c r="H12" s="13">
        <v>356.4</v>
      </c>
      <c r="I12" s="14">
        <f t="shared" si="0"/>
        <v>356.4</v>
      </c>
      <c r="J12" s="14"/>
      <c r="K12" s="15">
        <v>1</v>
      </c>
      <c r="L12" s="15">
        <f>K12*0.25</f>
        <v>0.25</v>
      </c>
      <c r="M12" s="14" t="s">
        <v>46</v>
      </c>
      <c r="N12" s="14">
        <f t="shared" si="1"/>
        <v>356.4</v>
      </c>
      <c r="O12" s="14">
        <f t="shared" si="2"/>
        <v>89.1</v>
      </c>
      <c r="P12" s="11" t="s">
        <v>27</v>
      </c>
      <c r="Q12" s="11" t="s">
        <v>27</v>
      </c>
      <c r="R12" s="11"/>
      <c r="S12" s="11">
        <v>1</v>
      </c>
      <c r="T12" s="11"/>
      <c r="U12" s="11" t="s">
        <v>28</v>
      </c>
      <c r="V12" s="16" t="s">
        <v>44</v>
      </c>
    </row>
    <row r="13" spans="1:22" hidden="1" x14ac:dyDescent="0.3">
      <c r="A13" s="10">
        <v>46043</v>
      </c>
      <c r="B13" s="11">
        <v>136662</v>
      </c>
      <c r="C13" s="11" t="s">
        <v>31</v>
      </c>
      <c r="D13" s="11" t="s">
        <v>49</v>
      </c>
      <c r="E13" s="11" t="s">
        <v>24</v>
      </c>
      <c r="F13" s="11" t="s">
        <v>25</v>
      </c>
      <c r="G13" s="12">
        <v>10</v>
      </c>
      <c r="H13" s="13">
        <v>210</v>
      </c>
      <c r="I13" s="14">
        <f t="shared" si="0"/>
        <v>2100</v>
      </c>
      <c r="J13" s="14"/>
      <c r="K13" s="15">
        <v>7.0000000000000007E-2</v>
      </c>
      <c r="L13" s="15">
        <f>K13*0.25</f>
        <v>1.7500000000000002E-2</v>
      </c>
      <c r="M13" s="14" t="s">
        <v>26</v>
      </c>
      <c r="N13" s="14">
        <f t="shared" si="1"/>
        <v>147</v>
      </c>
      <c r="O13" s="14">
        <f t="shared" si="2"/>
        <v>36.75</v>
      </c>
      <c r="P13" s="11" t="s">
        <v>36</v>
      </c>
      <c r="Q13" s="11" t="s">
        <v>37</v>
      </c>
      <c r="R13" s="11"/>
      <c r="S13" s="11">
        <v>4</v>
      </c>
      <c r="T13" s="11"/>
      <c r="U13" s="11" t="s">
        <v>38</v>
      </c>
      <c r="V13" s="16" t="s">
        <v>31</v>
      </c>
    </row>
    <row r="14" spans="1:22" hidden="1" x14ac:dyDescent="0.3">
      <c r="A14" s="10">
        <v>46043</v>
      </c>
      <c r="B14" s="11" t="s">
        <v>50</v>
      </c>
      <c r="C14" s="11" t="s">
        <v>22</v>
      </c>
      <c r="D14" s="11" t="s">
        <v>51</v>
      </c>
      <c r="E14" s="11" t="s">
        <v>47</v>
      </c>
      <c r="F14" s="11" t="s">
        <v>25</v>
      </c>
      <c r="G14" s="12">
        <v>240</v>
      </c>
      <c r="H14" s="13">
        <v>200</v>
      </c>
      <c r="I14" s="14">
        <f t="shared" si="0"/>
        <v>48000</v>
      </c>
      <c r="J14" s="14"/>
      <c r="K14" s="15">
        <v>7.0000000000000007E-2</v>
      </c>
      <c r="L14" s="15">
        <v>0</v>
      </c>
      <c r="M14" s="14" t="s">
        <v>46</v>
      </c>
      <c r="N14" s="14">
        <f t="shared" si="1"/>
        <v>3360.0000000000005</v>
      </c>
      <c r="O14" s="14">
        <f t="shared" si="2"/>
        <v>0</v>
      </c>
      <c r="P14" s="11" t="s">
        <v>27</v>
      </c>
      <c r="Q14" s="11" t="s">
        <v>27</v>
      </c>
      <c r="R14" s="11"/>
      <c r="S14" s="11">
        <v>6</v>
      </c>
      <c r="T14" s="11"/>
      <c r="U14" s="11" t="s">
        <v>28</v>
      </c>
      <c r="V14" s="16" t="s">
        <v>22</v>
      </c>
    </row>
    <row r="15" spans="1:22" hidden="1" x14ac:dyDescent="0.3">
      <c r="A15" s="10">
        <v>46043</v>
      </c>
      <c r="B15" s="11" t="s">
        <v>50</v>
      </c>
      <c r="C15" s="11" t="s">
        <v>22</v>
      </c>
      <c r="D15" s="11" t="s">
        <v>51</v>
      </c>
      <c r="E15" s="11" t="s">
        <v>52</v>
      </c>
      <c r="F15" s="11" t="s">
        <v>41</v>
      </c>
      <c r="G15" s="12">
        <v>1</v>
      </c>
      <c r="H15" s="13">
        <v>8100</v>
      </c>
      <c r="I15" s="14">
        <f t="shared" si="0"/>
        <v>8100</v>
      </c>
      <c r="J15" s="14"/>
      <c r="K15" s="15">
        <v>7.0000000000000007E-2</v>
      </c>
      <c r="L15" s="15">
        <v>0</v>
      </c>
      <c r="M15" s="14" t="s">
        <v>46</v>
      </c>
      <c r="N15" s="14">
        <f t="shared" si="1"/>
        <v>567</v>
      </c>
      <c r="O15" s="14">
        <f t="shared" si="2"/>
        <v>0</v>
      </c>
      <c r="P15" s="11" t="s">
        <v>27</v>
      </c>
      <c r="Q15" s="11" t="s">
        <v>27</v>
      </c>
      <c r="R15" s="11"/>
      <c r="S15" s="11">
        <v>6</v>
      </c>
      <c r="T15" s="11"/>
      <c r="U15" s="11" t="s">
        <v>28</v>
      </c>
      <c r="V15" s="16" t="s">
        <v>22</v>
      </c>
    </row>
    <row r="16" spans="1:22" hidden="1" x14ac:dyDescent="0.3">
      <c r="A16" s="10">
        <v>46043</v>
      </c>
      <c r="B16" s="11" t="s">
        <v>50</v>
      </c>
      <c r="C16" s="11" t="s">
        <v>22</v>
      </c>
      <c r="D16" s="11" t="s">
        <v>51</v>
      </c>
      <c r="E16" s="11" t="s">
        <v>53</v>
      </c>
      <c r="F16" s="11" t="s">
        <v>41</v>
      </c>
      <c r="G16" s="12">
        <v>1</v>
      </c>
      <c r="H16" s="13">
        <v>1600</v>
      </c>
      <c r="I16" s="14">
        <f t="shared" si="0"/>
        <v>1600</v>
      </c>
      <c r="J16" s="14"/>
      <c r="K16" s="15">
        <v>7.0000000000000007E-2</v>
      </c>
      <c r="L16" s="15">
        <v>0</v>
      </c>
      <c r="M16" s="14" t="s">
        <v>46</v>
      </c>
      <c r="N16" s="14">
        <f t="shared" si="1"/>
        <v>112.00000000000001</v>
      </c>
      <c r="O16" s="14">
        <f t="shared" si="2"/>
        <v>0</v>
      </c>
      <c r="P16" s="11" t="s">
        <v>27</v>
      </c>
      <c r="Q16" s="11" t="s">
        <v>27</v>
      </c>
      <c r="R16" s="11"/>
      <c r="S16" s="11">
        <v>6</v>
      </c>
      <c r="T16" s="11"/>
      <c r="U16" s="11" t="s">
        <v>28</v>
      </c>
      <c r="V16" s="16" t="s">
        <v>22</v>
      </c>
    </row>
    <row r="17" spans="1:22" hidden="1" x14ac:dyDescent="0.3">
      <c r="A17" s="10">
        <v>46043</v>
      </c>
      <c r="B17" s="11" t="s">
        <v>50</v>
      </c>
      <c r="C17" s="11" t="s">
        <v>22</v>
      </c>
      <c r="D17" s="11" t="s">
        <v>51</v>
      </c>
      <c r="E17" s="11" t="s">
        <v>47</v>
      </c>
      <c r="F17" s="11" t="s">
        <v>30</v>
      </c>
      <c r="G17" s="12">
        <v>8</v>
      </c>
      <c r="H17" s="13">
        <v>250</v>
      </c>
      <c r="I17" s="14">
        <f t="shared" si="0"/>
        <v>2000</v>
      </c>
      <c r="J17" s="14"/>
      <c r="K17" s="15">
        <v>1</v>
      </c>
      <c r="L17" s="15">
        <v>0</v>
      </c>
      <c r="M17" s="14" t="s">
        <v>46</v>
      </c>
      <c r="N17" s="14">
        <f t="shared" si="1"/>
        <v>2000</v>
      </c>
      <c r="O17" s="14">
        <f t="shared" si="2"/>
        <v>0</v>
      </c>
      <c r="P17" s="11" t="s">
        <v>27</v>
      </c>
      <c r="Q17" s="11" t="s">
        <v>27</v>
      </c>
      <c r="R17" s="11"/>
      <c r="S17" s="11">
        <v>1</v>
      </c>
      <c r="T17" s="11"/>
      <c r="U17" s="11" t="s">
        <v>28</v>
      </c>
      <c r="V17" s="16" t="s">
        <v>22</v>
      </c>
    </row>
    <row r="18" spans="1:22" hidden="1" x14ac:dyDescent="0.3">
      <c r="A18" s="10">
        <v>46043</v>
      </c>
      <c r="B18" s="11" t="s">
        <v>50</v>
      </c>
      <c r="C18" s="11" t="s">
        <v>22</v>
      </c>
      <c r="D18" s="11" t="s">
        <v>51</v>
      </c>
      <c r="E18" s="11" t="s">
        <v>54</v>
      </c>
      <c r="F18" s="11" t="s">
        <v>30</v>
      </c>
      <c r="G18" s="12">
        <v>4</v>
      </c>
      <c r="H18" s="13">
        <v>100</v>
      </c>
      <c r="I18" s="14">
        <f t="shared" si="0"/>
        <v>400</v>
      </c>
      <c r="J18" s="14"/>
      <c r="K18" s="15">
        <v>1</v>
      </c>
      <c r="L18" s="15">
        <v>0</v>
      </c>
      <c r="M18" s="14" t="s">
        <v>46</v>
      </c>
      <c r="N18" s="14">
        <f t="shared" si="1"/>
        <v>400</v>
      </c>
      <c r="O18" s="14">
        <f t="shared" si="2"/>
        <v>0</v>
      </c>
      <c r="P18" s="11" t="s">
        <v>27</v>
      </c>
      <c r="Q18" s="11" t="s">
        <v>27</v>
      </c>
      <c r="R18" s="11"/>
      <c r="S18" s="11">
        <v>1</v>
      </c>
      <c r="T18" s="11"/>
      <c r="U18" s="11" t="s">
        <v>28</v>
      </c>
      <c r="V18" s="16" t="s">
        <v>22</v>
      </c>
    </row>
    <row r="19" spans="1:22" hidden="1" x14ac:dyDescent="0.3">
      <c r="A19" s="10">
        <v>46043</v>
      </c>
      <c r="B19" s="11" t="s">
        <v>50</v>
      </c>
      <c r="C19" s="11" t="s">
        <v>22</v>
      </c>
      <c r="D19" s="11" t="s">
        <v>51</v>
      </c>
      <c r="E19" s="11" t="s">
        <v>52</v>
      </c>
      <c r="F19" s="11" t="s">
        <v>30</v>
      </c>
      <c r="G19" s="12">
        <v>1</v>
      </c>
      <c r="H19" s="13">
        <v>1080</v>
      </c>
      <c r="I19" s="14">
        <f t="shared" si="0"/>
        <v>1080</v>
      </c>
      <c r="J19" s="14"/>
      <c r="K19" s="15">
        <v>1</v>
      </c>
      <c r="L19" s="15">
        <v>0</v>
      </c>
      <c r="M19" s="14" t="s">
        <v>46</v>
      </c>
      <c r="N19" s="14">
        <f t="shared" si="1"/>
        <v>1080</v>
      </c>
      <c r="O19" s="14">
        <f t="shared" si="2"/>
        <v>0</v>
      </c>
      <c r="P19" s="11" t="s">
        <v>27</v>
      </c>
      <c r="Q19" s="11" t="s">
        <v>27</v>
      </c>
      <c r="R19" s="11"/>
      <c r="S19" s="11">
        <v>1</v>
      </c>
      <c r="T19" s="11"/>
      <c r="U19" s="11" t="s">
        <v>28</v>
      </c>
      <c r="V19" s="16" t="s">
        <v>22</v>
      </c>
    </row>
    <row r="20" spans="1:22" hidden="1" x14ac:dyDescent="0.3">
      <c r="A20" s="10">
        <v>46043</v>
      </c>
      <c r="B20" s="11" t="s">
        <v>50</v>
      </c>
      <c r="C20" s="11" t="s">
        <v>22</v>
      </c>
      <c r="D20" s="11" t="s">
        <v>51</v>
      </c>
      <c r="E20" s="11" t="s">
        <v>55</v>
      </c>
      <c r="F20" s="11" t="s">
        <v>30</v>
      </c>
      <c r="G20" s="12">
        <v>30</v>
      </c>
      <c r="H20" s="13">
        <v>90</v>
      </c>
      <c r="I20" s="14">
        <f t="shared" si="0"/>
        <v>2700</v>
      </c>
      <c r="J20" s="14"/>
      <c r="K20" s="15">
        <v>1</v>
      </c>
      <c r="L20" s="15">
        <v>0</v>
      </c>
      <c r="M20" s="14" t="s">
        <v>46</v>
      </c>
      <c r="N20" s="14">
        <f t="shared" si="1"/>
        <v>2700</v>
      </c>
      <c r="O20" s="14">
        <f t="shared" si="2"/>
        <v>0</v>
      </c>
      <c r="P20" s="11" t="s">
        <v>27</v>
      </c>
      <c r="Q20" s="11" t="s">
        <v>27</v>
      </c>
      <c r="R20" s="11"/>
      <c r="S20" s="11">
        <v>1</v>
      </c>
      <c r="T20" s="11"/>
      <c r="U20" s="11" t="s">
        <v>28</v>
      </c>
      <c r="V20" s="16" t="s">
        <v>22</v>
      </c>
    </row>
    <row r="21" spans="1:22" hidden="1" x14ac:dyDescent="0.3">
      <c r="A21" s="10">
        <v>46043</v>
      </c>
      <c r="B21" s="11" t="s">
        <v>50</v>
      </c>
      <c r="C21" s="11" t="s">
        <v>22</v>
      </c>
      <c r="D21" s="11" t="s">
        <v>51</v>
      </c>
      <c r="E21" s="11" t="s">
        <v>48</v>
      </c>
      <c r="F21" s="11" t="s">
        <v>30</v>
      </c>
      <c r="G21" s="12">
        <v>1</v>
      </c>
      <c r="H21" s="13">
        <v>356.4</v>
      </c>
      <c r="I21" s="14">
        <f t="shared" si="0"/>
        <v>356.4</v>
      </c>
      <c r="J21" s="14"/>
      <c r="K21" s="15">
        <v>1</v>
      </c>
      <c r="L21" s="15">
        <v>0</v>
      </c>
      <c r="M21" s="14" t="s">
        <v>46</v>
      </c>
      <c r="N21" s="14">
        <f t="shared" si="1"/>
        <v>356.4</v>
      </c>
      <c r="O21" s="14">
        <f t="shared" si="2"/>
        <v>0</v>
      </c>
      <c r="P21" s="11" t="s">
        <v>27</v>
      </c>
      <c r="Q21" s="11" t="s">
        <v>27</v>
      </c>
      <c r="R21" s="11"/>
      <c r="S21" s="11">
        <v>1</v>
      </c>
      <c r="T21" s="11"/>
      <c r="U21" s="11" t="s">
        <v>28</v>
      </c>
      <c r="V21" s="16" t="s">
        <v>22</v>
      </c>
    </row>
    <row r="22" spans="1:22" hidden="1" x14ac:dyDescent="0.3">
      <c r="A22" s="10">
        <v>46043</v>
      </c>
      <c r="B22" s="11" t="s">
        <v>50</v>
      </c>
      <c r="C22" s="11" t="s">
        <v>22</v>
      </c>
      <c r="D22" s="11" t="s">
        <v>51</v>
      </c>
      <c r="E22" s="11" t="s">
        <v>56</v>
      </c>
      <c r="F22" s="11" t="s">
        <v>30</v>
      </c>
      <c r="G22" s="12">
        <v>1</v>
      </c>
      <c r="H22" s="13">
        <v>197</v>
      </c>
      <c r="I22" s="14">
        <f t="shared" si="0"/>
        <v>197</v>
      </c>
      <c r="J22" s="14"/>
      <c r="K22" s="15">
        <v>1</v>
      </c>
      <c r="L22" s="15">
        <v>0</v>
      </c>
      <c r="M22" s="14" t="s">
        <v>46</v>
      </c>
      <c r="N22" s="14">
        <f t="shared" si="1"/>
        <v>197</v>
      </c>
      <c r="O22" s="14">
        <f t="shared" si="2"/>
        <v>0</v>
      </c>
      <c r="P22" s="11" t="s">
        <v>27</v>
      </c>
      <c r="Q22" s="11" t="s">
        <v>27</v>
      </c>
      <c r="R22" s="11"/>
      <c r="S22" s="11">
        <v>1</v>
      </c>
      <c r="T22" s="11"/>
      <c r="U22" s="11" t="s">
        <v>28</v>
      </c>
      <c r="V22" s="16" t="s">
        <v>22</v>
      </c>
    </row>
    <row r="23" spans="1:22" hidden="1" x14ac:dyDescent="0.3">
      <c r="A23" s="10">
        <v>46043</v>
      </c>
      <c r="B23" s="11" t="s">
        <v>50</v>
      </c>
      <c r="C23" s="11" t="s">
        <v>22</v>
      </c>
      <c r="D23" s="11" t="s">
        <v>51</v>
      </c>
      <c r="E23" s="11" t="s">
        <v>53</v>
      </c>
      <c r="F23" s="11" t="s">
        <v>30</v>
      </c>
      <c r="G23" s="12">
        <v>1</v>
      </c>
      <c r="H23" s="13">
        <v>2524.7199999999998</v>
      </c>
      <c r="I23" s="14">
        <f t="shared" si="0"/>
        <v>2524.7199999999998</v>
      </c>
      <c r="J23" s="14"/>
      <c r="K23" s="15">
        <v>1</v>
      </c>
      <c r="L23" s="15">
        <v>0</v>
      </c>
      <c r="M23" s="14" t="s">
        <v>46</v>
      </c>
      <c r="N23" s="14">
        <f t="shared" si="1"/>
        <v>2524.7199999999998</v>
      </c>
      <c r="O23" s="14">
        <f t="shared" si="2"/>
        <v>0</v>
      </c>
      <c r="P23" s="11" t="s">
        <v>27</v>
      </c>
      <c r="Q23" s="11" t="s">
        <v>27</v>
      </c>
      <c r="R23" s="11"/>
      <c r="S23" s="11">
        <v>1</v>
      </c>
      <c r="T23" s="11"/>
      <c r="U23" s="11" t="s">
        <v>28</v>
      </c>
      <c r="V23" s="16" t="s">
        <v>22</v>
      </c>
    </row>
    <row r="24" spans="1:22" hidden="1" x14ac:dyDescent="0.3">
      <c r="A24" s="10">
        <v>46043</v>
      </c>
      <c r="B24" s="11">
        <v>114426</v>
      </c>
      <c r="C24" s="11" t="s">
        <v>31</v>
      </c>
      <c r="D24" s="11" t="s">
        <v>57</v>
      </c>
      <c r="E24" s="11" t="s">
        <v>24</v>
      </c>
      <c r="F24" s="11" t="s">
        <v>25</v>
      </c>
      <c r="G24" s="12">
        <v>11</v>
      </c>
      <c r="H24" s="13">
        <v>210</v>
      </c>
      <c r="I24" s="14">
        <f t="shared" si="0"/>
        <v>2310</v>
      </c>
      <c r="J24" s="14"/>
      <c r="K24" s="15">
        <v>7.0000000000000007E-2</v>
      </c>
      <c r="L24" s="15">
        <f t="shared" ref="L24:L38" si="3">K24*0.25</f>
        <v>1.7500000000000002E-2</v>
      </c>
      <c r="M24" s="14" t="s">
        <v>26</v>
      </c>
      <c r="N24" s="14">
        <f t="shared" si="1"/>
        <v>161.70000000000002</v>
      </c>
      <c r="O24" s="14">
        <f t="shared" si="2"/>
        <v>40.425000000000004</v>
      </c>
      <c r="P24" s="11" t="s">
        <v>36</v>
      </c>
      <c r="Q24" s="11" t="s">
        <v>37</v>
      </c>
      <c r="R24" s="11"/>
      <c r="S24" s="11">
        <v>6</v>
      </c>
      <c r="T24" s="11"/>
      <c r="U24" s="11" t="s">
        <v>38</v>
      </c>
      <c r="V24" s="16" t="s">
        <v>31</v>
      </c>
    </row>
    <row r="25" spans="1:22" hidden="1" x14ac:dyDescent="0.3">
      <c r="A25" s="10">
        <v>46043</v>
      </c>
      <c r="B25" s="11">
        <v>136856</v>
      </c>
      <c r="C25" s="11" t="s">
        <v>31</v>
      </c>
      <c r="D25" s="11" t="s">
        <v>58</v>
      </c>
      <c r="E25" s="11" t="s">
        <v>59</v>
      </c>
      <c r="F25" s="11" t="s">
        <v>25</v>
      </c>
      <c r="G25" s="12">
        <v>16</v>
      </c>
      <c r="H25" s="13">
        <v>178.5</v>
      </c>
      <c r="I25" s="14">
        <f t="shared" si="0"/>
        <v>2856</v>
      </c>
      <c r="J25" s="14"/>
      <c r="K25" s="15">
        <v>6.6699999999999995E-2</v>
      </c>
      <c r="L25" s="15">
        <f t="shared" si="3"/>
        <v>1.6674999999999999E-2</v>
      </c>
      <c r="M25" s="14" t="s">
        <v>26</v>
      </c>
      <c r="N25" s="14">
        <f t="shared" si="1"/>
        <v>190.49519999999998</v>
      </c>
      <c r="O25" s="14">
        <f t="shared" si="2"/>
        <v>47.623799999999996</v>
      </c>
      <c r="P25" s="11" t="s">
        <v>27</v>
      </c>
      <c r="Q25" s="11" t="s">
        <v>27</v>
      </c>
      <c r="R25" s="11"/>
      <c r="S25" s="11">
        <v>6</v>
      </c>
      <c r="T25" s="11"/>
      <c r="U25" s="11" t="s">
        <v>28</v>
      </c>
      <c r="V25" s="16" t="s">
        <v>31</v>
      </c>
    </row>
    <row r="26" spans="1:22" hidden="1" x14ac:dyDescent="0.3">
      <c r="A26" s="10">
        <v>46043</v>
      </c>
      <c r="B26" s="11">
        <v>136856</v>
      </c>
      <c r="C26" s="11" t="s">
        <v>31</v>
      </c>
      <c r="D26" s="11" t="s">
        <v>58</v>
      </c>
      <c r="E26" s="11" t="s">
        <v>59</v>
      </c>
      <c r="F26" s="11" t="s">
        <v>30</v>
      </c>
      <c r="G26" s="12">
        <v>1</v>
      </c>
      <c r="H26" s="13">
        <v>641.52</v>
      </c>
      <c r="I26" s="14">
        <f t="shared" si="0"/>
        <v>641.52</v>
      </c>
      <c r="J26" s="14"/>
      <c r="K26" s="15">
        <v>1</v>
      </c>
      <c r="L26" s="15">
        <f t="shared" si="3"/>
        <v>0.25</v>
      </c>
      <c r="M26" s="14" t="s">
        <v>26</v>
      </c>
      <c r="N26" s="14">
        <f t="shared" si="1"/>
        <v>641.52</v>
      </c>
      <c r="O26" s="14">
        <f t="shared" si="2"/>
        <v>160.38</v>
      </c>
      <c r="P26" s="11" t="s">
        <v>27</v>
      </c>
      <c r="Q26" s="11" t="s">
        <v>27</v>
      </c>
      <c r="R26" s="11"/>
      <c r="S26" s="11">
        <v>1</v>
      </c>
      <c r="T26" s="11"/>
      <c r="U26" s="11" t="s">
        <v>28</v>
      </c>
      <c r="V26" s="16" t="s">
        <v>31</v>
      </c>
    </row>
    <row r="27" spans="1:22" hidden="1" x14ac:dyDescent="0.3">
      <c r="A27" s="10">
        <v>46044</v>
      </c>
      <c r="B27" s="11">
        <v>134776</v>
      </c>
      <c r="C27" s="11" t="s">
        <v>31</v>
      </c>
      <c r="D27" s="11" t="s">
        <v>60</v>
      </c>
      <c r="E27" s="11" t="s">
        <v>35</v>
      </c>
      <c r="F27" s="11" t="s">
        <v>35</v>
      </c>
      <c r="G27" s="12">
        <v>8</v>
      </c>
      <c r="H27" s="13">
        <v>176</v>
      </c>
      <c r="I27" s="14">
        <f t="shared" si="0"/>
        <v>1408</v>
      </c>
      <c r="J27" s="14"/>
      <c r="K27" s="15">
        <v>0.01</v>
      </c>
      <c r="L27" s="15">
        <f t="shared" si="3"/>
        <v>2.5000000000000001E-3</v>
      </c>
      <c r="M27" s="14" t="s">
        <v>26</v>
      </c>
      <c r="N27" s="14">
        <f t="shared" si="1"/>
        <v>14.08</v>
      </c>
      <c r="O27" s="14">
        <f t="shared" si="2"/>
        <v>3.52</v>
      </c>
      <c r="P27" s="11" t="s">
        <v>36</v>
      </c>
      <c r="Q27" s="11" t="s">
        <v>37</v>
      </c>
      <c r="R27" s="11"/>
      <c r="S27" s="11">
        <v>3</v>
      </c>
      <c r="T27" s="11"/>
      <c r="U27" s="11" t="s">
        <v>38</v>
      </c>
      <c r="V27" s="16" t="s">
        <v>31</v>
      </c>
    </row>
    <row r="28" spans="1:22" hidden="1" x14ac:dyDescent="0.3">
      <c r="A28" s="10">
        <v>46044</v>
      </c>
      <c r="B28" s="11">
        <v>136981</v>
      </c>
      <c r="C28" s="11" t="s">
        <v>31</v>
      </c>
      <c r="D28" s="11" t="s">
        <v>34</v>
      </c>
      <c r="E28" s="11" t="s">
        <v>40</v>
      </c>
      <c r="F28" s="11" t="s">
        <v>41</v>
      </c>
      <c r="G28" s="12">
        <v>1</v>
      </c>
      <c r="H28" s="13">
        <v>2419.1799999999998</v>
      </c>
      <c r="I28" s="14">
        <f t="shared" si="0"/>
        <v>2419.1799999999998</v>
      </c>
      <c r="J28" s="14"/>
      <c r="K28" s="15">
        <v>6.6669999999999993E-2</v>
      </c>
      <c r="L28" s="15">
        <f t="shared" si="3"/>
        <v>1.6667499999999998E-2</v>
      </c>
      <c r="M28" s="14" t="s">
        <v>26</v>
      </c>
      <c r="N28" s="14">
        <f t="shared" si="1"/>
        <v>161.28673059999997</v>
      </c>
      <c r="O28" s="14">
        <f t="shared" si="2"/>
        <v>40.321682649999993</v>
      </c>
      <c r="P28" s="11" t="s">
        <v>27</v>
      </c>
      <c r="Q28" s="11" t="s">
        <v>27</v>
      </c>
      <c r="R28" s="11"/>
      <c r="S28" s="11">
        <v>6</v>
      </c>
      <c r="T28" s="11"/>
      <c r="U28" s="11" t="s">
        <v>28</v>
      </c>
      <c r="V28" s="16" t="s">
        <v>31</v>
      </c>
    </row>
    <row r="29" spans="1:22" hidden="1" x14ac:dyDescent="0.3">
      <c r="A29" s="10">
        <v>46044</v>
      </c>
      <c r="B29" s="11">
        <v>136981</v>
      </c>
      <c r="C29" s="11" t="s">
        <v>31</v>
      </c>
      <c r="D29" s="11" t="s">
        <v>34</v>
      </c>
      <c r="E29" s="11" t="s">
        <v>40</v>
      </c>
      <c r="F29" s="11" t="s">
        <v>25</v>
      </c>
      <c r="G29" s="12">
        <v>16</v>
      </c>
      <c r="H29" s="13">
        <v>178.68</v>
      </c>
      <c r="I29" s="14">
        <f t="shared" si="0"/>
        <v>2858.88</v>
      </c>
      <c r="J29" s="14"/>
      <c r="K29" s="15">
        <v>6.6699999999999995E-2</v>
      </c>
      <c r="L29" s="15">
        <f t="shared" si="3"/>
        <v>1.6674999999999999E-2</v>
      </c>
      <c r="M29" s="14" t="s">
        <v>26</v>
      </c>
      <c r="N29" s="14">
        <f t="shared" si="1"/>
        <v>190.687296</v>
      </c>
      <c r="O29" s="14">
        <f t="shared" si="2"/>
        <v>47.671824000000001</v>
      </c>
      <c r="P29" s="11" t="s">
        <v>27</v>
      </c>
      <c r="Q29" s="11" t="s">
        <v>27</v>
      </c>
      <c r="R29" s="11"/>
      <c r="S29" s="11">
        <v>6</v>
      </c>
      <c r="T29" s="11"/>
      <c r="U29" s="11" t="s">
        <v>28</v>
      </c>
      <c r="V29" s="16" t="s">
        <v>31</v>
      </c>
    </row>
    <row r="30" spans="1:22" hidden="1" x14ac:dyDescent="0.3">
      <c r="A30" s="10">
        <v>46048</v>
      </c>
      <c r="B30" s="11">
        <v>137055</v>
      </c>
      <c r="C30" s="11" t="s">
        <v>31</v>
      </c>
      <c r="D30" s="11" t="s">
        <v>61</v>
      </c>
      <c r="E30" s="11" t="s">
        <v>52</v>
      </c>
      <c r="F30" s="11" t="s">
        <v>41</v>
      </c>
      <c r="G30" s="12">
        <v>1</v>
      </c>
      <c r="H30" s="13">
        <v>8100</v>
      </c>
      <c r="I30" s="14">
        <f t="shared" si="0"/>
        <v>8100</v>
      </c>
      <c r="J30" s="14"/>
      <c r="K30" s="15">
        <v>7.0000000000000007E-2</v>
      </c>
      <c r="L30" s="15">
        <f t="shared" si="3"/>
        <v>1.7500000000000002E-2</v>
      </c>
      <c r="M30" s="14" t="s">
        <v>26</v>
      </c>
      <c r="N30" s="14">
        <f t="shared" si="1"/>
        <v>567</v>
      </c>
      <c r="O30" s="14">
        <f t="shared" si="2"/>
        <v>141.75</v>
      </c>
      <c r="P30" s="11" t="s">
        <v>27</v>
      </c>
      <c r="Q30" s="11" t="s">
        <v>27</v>
      </c>
      <c r="R30" s="11"/>
      <c r="S30" s="11">
        <v>6</v>
      </c>
      <c r="T30" s="11"/>
      <c r="U30" s="11" t="s">
        <v>28</v>
      </c>
      <c r="V30" s="16" t="s">
        <v>31</v>
      </c>
    </row>
    <row r="31" spans="1:22" hidden="1" x14ac:dyDescent="0.3">
      <c r="A31" s="10">
        <v>46048</v>
      </c>
      <c r="B31" s="11">
        <v>137055</v>
      </c>
      <c r="C31" s="11" t="s">
        <v>31</v>
      </c>
      <c r="D31" s="11" t="s">
        <v>61</v>
      </c>
      <c r="E31" s="11" t="s">
        <v>52</v>
      </c>
      <c r="F31" s="11" t="s">
        <v>30</v>
      </c>
      <c r="G31" s="12">
        <v>1</v>
      </c>
      <c r="H31" s="13">
        <v>1070</v>
      </c>
      <c r="I31" s="14">
        <f t="shared" si="0"/>
        <v>1070</v>
      </c>
      <c r="J31" s="14"/>
      <c r="K31" s="15">
        <v>1</v>
      </c>
      <c r="L31" s="15">
        <f t="shared" si="3"/>
        <v>0.25</v>
      </c>
      <c r="M31" s="14" t="s">
        <v>26</v>
      </c>
      <c r="N31" s="14">
        <f t="shared" si="1"/>
        <v>1070</v>
      </c>
      <c r="O31" s="14">
        <f t="shared" si="2"/>
        <v>267.5</v>
      </c>
      <c r="P31" s="11" t="s">
        <v>27</v>
      </c>
      <c r="Q31" s="11" t="s">
        <v>27</v>
      </c>
      <c r="R31" s="11"/>
      <c r="S31" s="11">
        <v>1</v>
      </c>
      <c r="T31" s="11"/>
      <c r="U31" s="11" t="s">
        <v>28</v>
      </c>
      <c r="V31" s="16" t="s">
        <v>31</v>
      </c>
    </row>
    <row r="32" spans="1:22" hidden="1" x14ac:dyDescent="0.3">
      <c r="A32" s="10">
        <v>46052</v>
      </c>
      <c r="B32" s="11">
        <v>137171</v>
      </c>
      <c r="C32" s="11" t="s">
        <v>44</v>
      </c>
      <c r="D32" s="11" t="s">
        <v>62</v>
      </c>
      <c r="E32" s="11" t="s">
        <v>47</v>
      </c>
      <c r="F32" s="11" t="s">
        <v>25</v>
      </c>
      <c r="G32" s="12">
        <v>300</v>
      </c>
      <c r="H32" s="13">
        <v>166.67</v>
      </c>
      <c r="I32" s="14">
        <f t="shared" si="0"/>
        <v>50000.999999999993</v>
      </c>
      <c r="J32" s="14"/>
      <c r="K32" s="15">
        <v>0.05</v>
      </c>
      <c r="L32" s="15">
        <f t="shared" si="3"/>
        <v>1.2500000000000001E-2</v>
      </c>
      <c r="M32" s="14" t="s">
        <v>46</v>
      </c>
      <c r="N32" s="14">
        <f t="shared" si="1"/>
        <v>2500.0499999999997</v>
      </c>
      <c r="O32" s="14">
        <f t="shared" si="2"/>
        <v>625.01249999999993</v>
      </c>
      <c r="P32" s="11" t="s">
        <v>27</v>
      </c>
      <c r="Q32" s="11" t="s">
        <v>27</v>
      </c>
      <c r="R32" s="11"/>
      <c r="S32" s="11">
        <v>10</v>
      </c>
      <c r="T32" s="11"/>
      <c r="U32" s="11" t="s">
        <v>28</v>
      </c>
      <c r="V32" s="16" t="s">
        <v>44</v>
      </c>
    </row>
    <row r="33" spans="1:22" hidden="1" x14ac:dyDescent="0.3">
      <c r="A33" s="10">
        <v>46052</v>
      </c>
      <c r="B33" s="11">
        <v>137171</v>
      </c>
      <c r="C33" s="11" t="s">
        <v>44</v>
      </c>
      <c r="D33" s="11" t="s">
        <v>62</v>
      </c>
      <c r="E33" s="11" t="s">
        <v>47</v>
      </c>
      <c r="F33" s="11" t="s">
        <v>30</v>
      </c>
      <c r="G33" s="12">
        <v>7</v>
      </c>
      <c r="H33" s="13">
        <v>240</v>
      </c>
      <c r="I33" s="14">
        <f t="shared" si="0"/>
        <v>1680</v>
      </c>
      <c r="J33" s="14"/>
      <c r="K33" s="15">
        <v>1</v>
      </c>
      <c r="L33" s="15">
        <f t="shared" si="3"/>
        <v>0.25</v>
      </c>
      <c r="M33" s="14" t="s">
        <v>46</v>
      </c>
      <c r="N33" s="14">
        <f t="shared" si="1"/>
        <v>1680</v>
      </c>
      <c r="O33" s="14">
        <f t="shared" si="2"/>
        <v>420</v>
      </c>
      <c r="P33" s="11" t="s">
        <v>27</v>
      </c>
      <c r="Q33" s="11" t="s">
        <v>27</v>
      </c>
      <c r="R33" s="11"/>
      <c r="S33" s="11">
        <v>1</v>
      </c>
      <c r="T33" s="11"/>
      <c r="U33" s="11" t="s">
        <v>28</v>
      </c>
      <c r="V33" s="16" t="s">
        <v>44</v>
      </c>
    </row>
    <row r="34" spans="1:22" hidden="1" x14ac:dyDescent="0.3">
      <c r="A34" s="10">
        <v>46052</v>
      </c>
      <c r="B34" s="11">
        <v>137171</v>
      </c>
      <c r="C34" s="11" t="s">
        <v>44</v>
      </c>
      <c r="D34" s="11" t="s">
        <v>62</v>
      </c>
      <c r="E34" s="11" t="s">
        <v>54</v>
      </c>
      <c r="F34" s="11" t="s">
        <v>30</v>
      </c>
      <c r="G34" s="12">
        <v>1</v>
      </c>
      <c r="H34" s="13">
        <v>140</v>
      </c>
      <c r="I34" s="14">
        <f t="shared" si="0"/>
        <v>140</v>
      </c>
      <c r="J34" s="14"/>
      <c r="K34" s="15">
        <v>1</v>
      </c>
      <c r="L34" s="15">
        <f t="shared" si="3"/>
        <v>0.25</v>
      </c>
      <c r="M34" s="14" t="s">
        <v>46</v>
      </c>
      <c r="N34" s="14">
        <f t="shared" si="1"/>
        <v>140</v>
      </c>
      <c r="O34" s="14">
        <f t="shared" si="2"/>
        <v>35</v>
      </c>
      <c r="P34" s="11" t="s">
        <v>27</v>
      </c>
      <c r="Q34" s="11" t="s">
        <v>27</v>
      </c>
      <c r="R34" s="11"/>
      <c r="S34" s="11">
        <v>1</v>
      </c>
      <c r="T34" s="11"/>
      <c r="U34" s="11" t="s">
        <v>28</v>
      </c>
      <c r="V34" s="16" t="s">
        <v>44</v>
      </c>
    </row>
    <row r="35" spans="1:22" hidden="1" x14ac:dyDescent="0.3">
      <c r="A35" s="10">
        <v>46052</v>
      </c>
      <c r="B35" s="11">
        <v>137171</v>
      </c>
      <c r="C35" s="11" t="s">
        <v>44</v>
      </c>
      <c r="D35" s="11" t="s">
        <v>62</v>
      </c>
      <c r="E35" s="11" t="s">
        <v>63</v>
      </c>
      <c r="F35" s="11" t="s">
        <v>30</v>
      </c>
      <c r="G35" s="12">
        <v>10</v>
      </c>
      <c r="H35" s="13">
        <v>88</v>
      </c>
      <c r="I35" s="14">
        <f t="shared" si="0"/>
        <v>880</v>
      </c>
      <c r="J35" s="14"/>
      <c r="K35" s="15">
        <v>1</v>
      </c>
      <c r="L35" s="15">
        <f t="shared" si="3"/>
        <v>0.25</v>
      </c>
      <c r="M35" s="14" t="s">
        <v>46</v>
      </c>
      <c r="N35" s="14">
        <f t="shared" si="1"/>
        <v>880</v>
      </c>
      <c r="O35" s="14">
        <f t="shared" si="2"/>
        <v>220</v>
      </c>
      <c r="P35" s="11" t="s">
        <v>27</v>
      </c>
      <c r="Q35" s="11" t="s">
        <v>27</v>
      </c>
      <c r="R35" s="11"/>
      <c r="S35" s="11">
        <v>1</v>
      </c>
      <c r="T35" s="11"/>
      <c r="U35" s="11" t="s">
        <v>28</v>
      </c>
      <c r="V35" s="16" t="s">
        <v>44</v>
      </c>
    </row>
    <row r="36" spans="1:22" hidden="1" x14ac:dyDescent="0.3">
      <c r="A36" s="10">
        <v>46052</v>
      </c>
      <c r="B36" s="11">
        <v>120629</v>
      </c>
      <c r="C36" s="11" t="s">
        <v>31</v>
      </c>
      <c r="D36" s="11" t="s">
        <v>64</v>
      </c>
      <c r="E36" s="11" t="s">
        <v>24</v>
      </c>
      <c r="F36" s="11" t="s">
        <v>25</v>
      </c>
      <c r="G36" s="12">
        <v>45</v>
      </c>
      <c r="H36" s="13">
        <v>158</v>
      </c>
      <c r="I36" s="14">
        <f t="shared" si="0"/>
        <v>7110</v>
      </c>
      <c r="J36" s="14"/>
      <c r="K36" s="15">
        <v>0.01</v>
      </c>
      <c r="L36" s="15">
        <f t="shared" si="3"/>
        <v>2.5000000000000001E-3</v>
      </c>
      <c r="M36" s="14" t="s">
        <v>26</v>
      </c>
      <c r="N36" s="14">
        <f t="shared" si="1"/>
        <v>71.100000000000009</v>
      </c>
      <c r="O36" s="14">
        <f t="shared" si="2"/>
        <v>17.775000000000002</v>
      </c>
      <c r="P36" s="11" t="s">
        <v>36</v>
      </c>
      <c r="Q36" s="11" t="s">
        <v>37</v>
      </c>
      <c r="R36" s="11"/>
      <c r="S36" s="11">
        <v>6</v>
      </c>
      <c r="T36" s="11"/>
      <c r="U36" s="11" t="s">
        <v>38</v>
      </c>
      <c r="V36" s="16" t="s">
        <v>31</v>
      </c>
    </row>
    <row r="37" spans="1:22" hidden="1" x14ac:dyDescent="0.3">
      <c r="A37" s="10">
        <v>46052</v>
      </c>
      <c r="B37" s="11">
        <v>137074</v>
      </c>
      <c r="C37" s="11" t="s">
        <v>31</v>
      </c>
      <c r="D37" s="11" t="s">
        <v>65</v>
      </c>
      <c r="E37" s="11" t="s">
        <v>35</v>
      </c>
      <c r="F37" s="11" t="s">
        <v>35</v>
      </c>
      <c r="G37" s="12">
        <v>16</v>
      </c>
      <c r="H37" s="13">
        <v>176</v>
      </c>
      <c r="I37" s="14">
        <f t="shared" si="0"/>
        <v>2816</v>
      </c>
      <c r="J37" s="14"/>
      <c r="K37" s="15">
        <v>0.01</v>
      </c>
      <c r="L37" s="15">
        <f t="shared" si="3"/>
        <v>2.5000000000000001E-3</v>
      </c>
      <c r="M37" s="14" t="s">
        <v>26</v>
      </c>
      <c r="N37" s="14">
        <f t="shared" si="1"/>
        <v>28.16</v>
      </c>
      <c r="O37" s="14">
        <f t="shared" si="2"/>
        <v>7.04</v>
      </c>
      <c r="P37" s="11" t="s">
        <v>36</v>
      </c>
      <c r="Q37" s="11" t="s">
        <v>37</v>
      </c>
      <c r="R37" s="11"/>
      <c r="S37" s="11">
        <v>1</v>
      </c>
      <c r="T37" s="11"/>
      <c r="U37" s="11" t="s">
        <v>38</v>
      </c>
      <c r="V37" s="16" t="s">
        <v>31</v>
      </c>
    </row>
    <row r="38" spans="1:22" hidden="1" x14ac:dyDescent="0.3">
      <c r="A38" s="10">
        <v>46052</v>
      </c>
      <c r="B38" s="11">
        <v>137309</v>
      </c>
      <c r="C38" s="11" t="s">
        <v>31</v>
      </c>
      <c r="D38" s="11" t="s">
        <v>66</v>
      </c>
      <c r="E38" s="11" t="s">
        <v>35</v>
      </c>
      <c r="F38" s="11" t="s">
        <v>35</v>
      </c>
      <c r="G38" s="12">
        <v>5</v>
      </c>
      <c r="H38" s="13">
        <v>176</v>
      </c>
      <c r="I38" s="14">
        <f t="shared" si="0"/>
        <v>880</v>
      </c>
      <c r="J38" s="14"/>
      <c r="K38" s="15">
        <v>0.01</v>
      </c>
      <c r="L38" s="15">
        <f t="shared" si="3"/>
        <v>2.5000000000000001E-3</v>
      </c>
      <c r="M38" s="14" t="s">
        <v>26</v>
      </c>
      <c r="N38" s="14">
        <f t="shared" si="1"/>
        <v>8.8000000000000007</v>
      </c>
      <c r="O38" s="14">
        <f t="shared" si="2"/>
        <v>2.2000000000000002</v>
      </c>
      <c r="P38" s="11" t="s">
        <v>36</v>
      </c>
      <c r="Q38" s="11" t="s">
        <v>37</v>
      </c>
      <c r="R38" s="11"/>
      <c r="S38" s="11">
        <v>3</v>
      </c>
      <c r="T38" s="11"/>
      <c r="U38" s="11" t="s">
        <v>38</v>
      </c>
      <c r="V38" s="16" t="s">
        <v>31</v>
      </c>
    </row>
    <row r="39" spans="1:22" hidden="1" x14ac:dyDescent="0.3">
      <c r="A39" s="90">
        <v>46052</v>
      </c>
      <c r="B39" s="11">
        <v>125596</v>
      </c>
      <c r="C39" s="11" t="s">
        <v>22</v>
      </c>
      <c r="D39" s="11" t="s">
        <v>67</v>
      </c>
      <c r="E39" s="11" t="s">
        <v>24</v>
      </c>
      <c r="F39" s="11" t="s">
        <v>25</v>
      </c>
      <c r="G39" s="12">
        <v>40</v>
      </c>
      <c r="H39" s="13">
        <v>180</v>
      </c>
      <c r="I39" s="14">
        <f t="shared" si="0"/>
        <v>7200</v>
      </c>
      <c r="J39" s="14"/>
      <c r="K39" s="15">
        <v>7.0000000000000007E-2</v>
      </c>
      <c r="L39" s="15">
        <v>0</v>
      </c>
      <c r="M39" s="14" t="s">
        <v>26</v>
      </c>
      <c r="N39" s="14">
        <f t="shared" si="1"/>
        <v>504.00000000000006</v>
      </c>
      <c r="O39" s="14">
        <f t="shared" si="2"/>
        <v>0</v>
      </c>
      <c r="P39" s="11" t="s">
        <v>36</v>
      </c>
      <c r="Q39" s="11" t="s">
        <v>37</v>
      </c>
      <c r="R39" s="11"/>
      <c r="S39" s="11">
        <v>6</v>
      </c>
      <c r="T39" s="11"/>
      <c r="U39" s="11" t="s">
        <v>38</v>
      </c>
      <c r="V39" s="16" t="s">
        <v>22</v>
      </c>
    </row>
    <row r="40" spans="1:22" hidden="1" x14ac:dyDescent="0.3">
      <c r="A40" s="10">
        <v>46055</v>
      </c>
      <c r="B40" s="11">
        <v>130904</v>
      </c>
      <c r="C40" s="11" t="s">
        <v>44</v>
      </c>
      <c r="D40" s="11" t="s">
        <v>68</v>
      </c>
      <c r="E40" s="11" t="s">
        <v>69</v>
      </c>
      <c r="F40" s="11" t="s">
        <v>41</v>
      </c>
      <c r="G40" s="12">
        <v>1</v>
      </c>
      <c r="H40" s="13">
        <v>22270</v>
      </c>
      <c r="I40" s="23">
        <f>vendas2026[[#This Row],[VlrUnitário]]*vendas2026[[#This Row],[Qtde]]</f>
        <v>22270</v>
      </c>
      <c r="J40" s="23">
        <f>vendas2026[[#This Row],[VlrTotal]]</f>
        <v>22270</v>
      </c>
      <c r="K40" s="74">
        <v>7.0000000000000007E-2</v>
      </c>
      <c r="L40" s="15">
        <f>vendas2026[[#This Row],[%Comissão]]*0.25</f>
        <v>1.7500000000000002E-2</v>
      </c>
      <c r="M40" s="14" t="s">
        <v>46</v>
      </c>
      <c r="N40" s="23">
        <f>vendas2026[[#This Row],[VlrTotal]]*vendas2026[[#This Row],[%Comissão]]</f>
        <v>1558.9</v>
      </c>
      <c r="O40" s="14">
        <f>vendas2026[[#This Row],[VlrTotal]]*vendas2026[[#This Row],[%ComissãoSupervisor]]</f>
        <v>389.72500000000002</v>
      </c>
      <c r="P40" s="11" t="s">
        <v>27</v>
      </c>
      <c r="Q40" s="11" t="s">
        <v>27</v>
      </c>
      <c r="R40" s="11"/>
      <c r="S40" s="11">
        <v>10</v>
      </c>
      <c r="T40" s="11"/>
      <c r="U40" s="11" t="s">
        <v>28</v>
      </c>
      <c r="V40" s="16" t="s">
        <v>44</v>
      </c>
    </row>
    <row r="41" spans="1:22" hidden="1" x14ac:dyDescent="0.3">
      <c r="A41" s="10">
        <v>46055</v>
      </c>
      <c r="B41" s="11">
        <v>130904</v>
      </c>
      <c r="C41" s="11" t="s">
        <v>44</v>
      </c>
      <c r="D41" s="11" t="s">
        <v>68</v>
      </c>
      <c r="E41" s="11" t="s">
        <v>69</v>
      </c>
      <c r="F41" s="11" t="s">
        <v>30</v>
      </c>
      <c r="G41" s="12">
        <v>1</v>
      </c>
      <c r="H41" s="13">
        <v>3000</v>
      </c>
      <c r="I41" s="23">
        <f>vendas2026[[#This Row],[VlrUnitário]]*vendas2026[[#This Row],[Qtde]]</f>
        <v>3000</v>
      </c>
      <c r="J41" s="23">
        <f>(vendas2026[[#This Row],[VlrTotal]]*0.2)+vendas2026[[#This Row],[VlrTotal]]</f>
        <v>3600</v>
      </c>
      <c r="K41" s="74">
        <v>1</v>
      </c>
      <c r="L41" s="15">
        <f>vendas2026[[#This Row],[%Comissão]]*0.25</f>
        <v>0.25</v>
      </c>
      <c r="M41" s="14" t="s">
        <v>46</v>
      </c>
      <c r="N41" s="23">
        <f>vendas2026[[#This Row],[VlrTotal]]*vendas2026[[#This Row],[%Comissão]]</f>
        <v>3000</v>
      </c>
      <c r="O41" s="14">
        <f>vendas2026[[#This Row],[VlrTotal]]*vendas2026[[#This Row],[%ComissãoSupervisor]]</f>
        <v>750</v>
      </c>
      <c r="P41" s="11" t="s">
        <v>27</v>
      </c>
      <c r="Q41" s="11" t="s">
        <v>27</v>
      </c>
      <c r="R41" s="11"/>
      <c r="S41" s="11">
        <v>1</v>
      </c>
      <c r="T41" s="11"/>
      <c r="U41" s="11" t="s">
        <v>28</v>
      </c>
      <c r="V41" s="16" t="s">
        <v>44</v>
      </c>
    </row>
    <row r="42" spans="1:22" hidden="1" x14ac:dyDescent="0.3">
      <c r="A42" s="10">
        <v>46055</v>
      </c>
      <c r="B42" s="11">
        <v>128860</v>
      </c>
      <c r="C42" s="11" t="s">
        <v>22</v>
      </c>
      <c r="D42" s="11" t="s">
        <v>70</v>
      </c>
      <c r="E42" s="11" t="s">
        <v>24</v>
      </c>
      <c r="F42" s="11" t="s">
        <v>25</v>
      </c>
      <c r="G42" s="12">
        <v>110</v>
      </c>
      <c r="H42" s="13">
        <v>185</v>
      </c>
      <c r="I42" s="14">
        <f>vendas2026[[#This Row],[Qtde]]*vendas2026[[#This Row],[VlrUnitário]]</f>
        <v>20350</v>
      </c>
      <c r="J42" s="14">
        <v>20350</v>
      </c>
      <c r="K42" s="15">
        <v>7.0000000000000007E-2</v>
      </c>
      <c r="L42" s="15">
        <v>0</v>
      </c>
      <c r="M42" s="14" t="s">
        <v>46</v>
      </c>
      <c r="N42" s="23">
        <f>vendas2026[[#This Row],[VlrTotal]]*vendas2026[[#This Row],[%Comissão]]</f>
        <v>1424.5000000000002</v>
      </c>
      <c r="O42" s="14">
        <v>0</v>
      </c>
      <c r="P42" s="11" t="s">
        <v>36</v>
      </c>
      <c r="Q42" s="11" t="s">
        <v>37</v>
      </c>
      <c r="R42" s="11"/>
      <c r="S42" s="11">
        <v>6</v>
      </c>
      <c r="T42" s="11"/>
      <c r="U42" s="11" t="s">
        <v>38</v>
      </c>
      <c r="V42" s="16" t="s">
        <v>22</v>
      </c>
    </row>
    <row r="43" spans="1:22" hidden="1" x14ac:dyDescent="0.3">
      <c r="A43" s="10">
        <v>46055</v>
      </c>
      <c r="B43" s="11">
        <v>128860</v>
      </c>
      <c r="C43" s="11" t="s">
        <v>22</v>
      </c>
      <c r="D43" s="11" t="s">
        <v>70</v>
      </c>
      <c r="E43" s="11" t="s">
        <v>63</v>
      </c>
      <c r="F43" s="11" t="s">
        <v>30</v>
      </c>
      <c r="G43" s="12">
        <v>15</v>
      </c>
      <c r="H43" s="13">
        <v>87</v>
      </c>
      <c r="I43" s="14">
        <f>vendas2026[[#This Row],[Qtde]]*vendas2026[[#This Row],[VlrUnitário]]</f>
        <v>1305</v>
      </c>
      <c r="J43" s="23">
        <v>1305</v>
      </c>
      <c r="K43" s="15">
        <v>1</v>
      </c>
      <c r="L43" s="15">
        <v>0</v>
      </c>
      <c r="M43" s="14" t="s">
        <v>46</v>
      </c>
      <c r="N43" s="23">
        <f>vendas2026[[#This Row],[VlrTotal]]*vendas2026[[#This Row],[%Comissão]]</f>
        <v>1305</v>
      </c>
      <c r="O43" s="14">
        <v>0</v>
      </c>
      <c r="P43" s="11" t="s">
        <v>36</v>
      </c>
      <c r="Q43" s="11" t="s">
        <v>37</v>
      </c>
      <c r="R43" s="11"/>
      <c r="S43" s="11">
        <v>1</v>
      </c>
      <c r="T43" s="11"/>
      <c r="U43" s="11" t="s">
        <v>38</v>
      </c>
      <c r="V43" s="16" t="s">
        <v>22</v>
      </c>
    </row>
    <row r="44" spans="1:22" hidden="1" x14ac:dyDescent="0.3">
      <c r="A44" s="10">
        <v>46055</v>
      </c>
      <c r="B44" s="11">
        <v>128860</v>
      </c>
      <c r="C44" s="11" t="s">
        <v>22</v>
      </c>
      <c r="D44" s="11" t="s">
        <v>70</v>
      </c>
      <c r="E44" s="11" t="s">
        <v>71</v>
      </c>
      <c r="F44" s="11" t="s">
        <v>30</v>
      </c>
      <c r="G44" s="12">
        <v>10</v>
      </c>
      <c r="H44" s="13">
        <v>43.5</v>
      </c>
      <c r="I44" s="14">
        <f>vendas2026[[#This Row],[Qtde]]*vendas2026[[#This Row],[VlrUnitário]]</f>
        <v>435</v>
      </c>
      <c r="J44" s="23">
        <v>435</v>
      </c>
      <c r="K44" s="15">
        <v>1</v>
      </c>
      <c r="L44" s="15">
        <v>0</v>
      </c>
      <c r="M44" s="14" t="s">
        <v>46</v>
      </c>
      <c r="N44" s="23">
        <f>vendas2026[[#This Row],[VlrTotal]]*vendas2026[[#This Row],[%Comissão]]</f>
        <v>435</v>
      </c>
      <c r="O44" s="14">
        <v>0</v>
      </c>
      <c r="P44" s="11" t="s">
        <v>36</v>
      </c>
      <c r="Q44" s="11" t="s">
        <v>37</v>
      </c>
      <c r="R44" s="11"/>
      <c r="S44" s="11">
        <v>1</v>
      </c>
      <c r="T44" s="11"/>
      <c r="U44" s="11" t="s">
        <v>38</v>
      </c>
      <c r="V44" s="16" t="s">
        <v>22</v>
      </c>
    </row>
    <row r="45" spans="1:22" hidden="1" x14ac:dyDescent="0.3">
      <c r="A45" s="10">
        <v>46059</v>
      </c>
      <c r="B45" s="11">
        <v>137190</v>
      </c>
      <c r="C45" s="11" t="s">
        <v>44</v>
      </c>
      <c r="D45" s="11" t="s">
        <v>72</v>
      </c>
      <c r="E45" s="11" t="s">
        <v>47</v>
      </c>
      <c r="F45" s="11" t="s">
        <v>25</v>
      </c>
      <c r="G45" s="12">
        <v>290</v>
      </c>
      <c r="H45" s="13">
        <v>200</v>
      </c>
      <c r="I45" s="14">
        <f>vendas2026[[#This Row],[Qtde]]*vendas2026[[#This Row],[VlrUnitário]]</f>
        <v>58000</v>
      </c>
      <c r="J45" s="14">
        <v>58000</v>
      </c>
      <c r="K45" s="15">
        <v>0.05</v>
      </c>
      <c r="L45" s="15">
        <f>vendas2026[[#This Row],[%Comissão]]*0.25</f>
        <v>1.2500000000000001E-2</v>
      </c>
      <c r="M45" s="14" t="s">
        <v>46</v>
      </c>
      <c r="N45" s="23">
        <f>vendas2026[[#This Row],[VlrTotal]]*vendas2026[[#This Row],[%Comissão]]</f>
        <v>2900</v>
      </c>
      <c r="O45" s="14">
        <f>vendas2026[[#This Row],[VlrTotal]]*vendas2026[[#This Row],[%ComissãoSupervisor]]</f>
        <v>725</v>
      </c>
      <c r="P45" s="11" t="s">
        <v>27</v>
      </c>
      <c r="Q45" s="11" t="s">
        <v>27</v>
      </c>
      <c r="R45" s="11"/>
      <c r="S45" s="11">
        <v>12</v>
      </c>
      <c r="T45" s="11"/>
      <c r="U45" s="11" t="s">
        <v>28</v>
      </c>
      <c r="V45" s="16" t="s">
        <v>44</v>
      </c>
    </row>
    <row r="46" spans="1:22" hidden="1" x14ac:dyDescent="0.3">
      <c r="A46" s="10">
        <v>46059</v>
      </c>
      <c r="B46" s="11">
        <v>137370</v>
      </c>
      <c r="C46" s="11" t="s">
        <v>44</v>
      </c>
      <c r="D46" s="11" t="s">
        <v>72</v>
      </c>
      <c r="E46" s="11" t="s">
        <v>47</v>
      </c>
      <c r="F46" s="11" t="s">
        <v>30</v>
      </c>
      <c r="G46" s="12">
        <v>20</v>
      </c>
      <c r="H46" s="13">
        <v>255</v>
      </c>
      <c r="I46" s="14">
        <f>vendas2026[[#This Row],[Qtde]]*vendas2026[[#This Row],[VlrUnitário]]</f>
        <v>5100</v>
      </c>
      <c r="J46" s="23">
        <v>5100</v>
      </c>
      <c r="K46" s="15">
        <v>1</v>
      </c>
      <c r="L46" s="15">
        <f>vendas2026[[#This Row],[%Comissão]]*0.25</f>
        <v>0.25</v>
      </c>
      <c r="M46" s="14" t="s">
        <v>46</v>
      </c>
      <c r="N46" s="23">
        <f>vendas2026[[#This Row],[VlrTotal]]*vendas2026[[#This Row],[%Comissão]]</f>
        <v>5100</v>
      </c>
      <c r="O46" s="14">
        <f>vendas2026[[#This Row],[VlrTotal]]*vendas2026[[#This Row],[%ComissãoSupervisor]]</f>
        <v>1275</v>
      </c>
      <c r="P46" s="11" t="s">
        <v>27</v>
      </c>
      <c r="Q46" s="11" t="s">
        <v>27</v>
      </c>
      <c r="R46" s="11"/>
      <c r="S46" s="11">
        <v>1</v>
      </c>
      <c r="T46" s="11"/>
      <c r="U46" s="11" t="s">
        <v>28</v>
      </c>
      <c r="V46" s="16" t="s">
        <v>44</v>
      </c>
    </row>
    <row r="47" spans="1:22" hidden="1" x14ac:dyDescent="0.3">
      <c r="A47" s="10">
        <v>46059</v>
      </c>
      <c r="B47" s="11">
        <v>137370</v>
      </c>
      <c r="C47" s="11" t="s">
        <v>44</v>
      </c>
      <c r="D47" s="11" t="s">
        <v>72</v>
      </c>
      <c r="E47" s="11" t="s">
        <v>63</v>
      </c>
      <c r="F47" s="11" t="s">
        <v>30</v>
      </c>
      <c r="G47" s="12">
        <v>20</v>
      </c>
      <c r="H47" s="13">
        <v>90</v>
      </c>
      <c r="I47" s="14">
        <f>vendas2026[[#This Row],[Qtde]]*vendas2026[[#This Row],[VlrUnitário]]</f>
        <v>1800</v>
      </c>
      <c r="J47" s="14">
        <v>1800</v>
      </c>
      <c r="K47" s="15">
        <v>1</v>
      </c>
      <c r="L47" s="15">
        <f>vendas2026[[#This Row],[%Comissão]]*0.25</f>
        <v>0.25</v>
      </c>
      <c r="M47" s="14" t="s">
        <v>46</v>
      </c>
      <c r="N47" s="23">
        <f>vendas2026[[#This Row],[VlrTotal]]*vendas2026[[#This Row],[%Comissão]]</f>
        <v>1800</v>
      </c>
      <c r="O47" s="14">
        <f>vendas2026[[#This Row],[VlrTotal]]*vendas2026[[#This Row],[%ComissãoSupervisor]]</f>
        <v>450</v>
      </c>
      <c r="P47" s="11" t="s">
        <v>27</v>
      </c>
      <c r="Q47" s="11" t="s">
        <v>27</v>
      </c>
      <c r="R47" s="11"/>
      <c r="S47" s="11">
        <v>1</v>
      </c>
      <c r="T47" s="11"/>
      <c r="U47" s="11" t="s">
        <v>28</v>
      </c>
      <c r="V47" s="16" t="s">
        <v>44</v>
      </c>
    </row>
    <row r="48" spans="1:22" hidden="1" x14ac:dyDescent="0.3">
      <c r="A48" s="10">
        <v>46059</v>
      </c>
      <c r="B48" s="11">
        <v>137370</v>
      </c>
      <c r="C48" s="11" t="s">
        <v>44</v>
      </c>
      <c r="D48" s="11" t="s">
        <v>72</v>
      </c>
      <c r="E48" s="11" t="s">
        <v>48</v>
      </c>
      <c r="F48" s="11" t="s">
        <v>30</v>
      </c>
      <c r="G48" s="12">
        <v>1</v>
      </c>
      <c r="H48" s="13">
        <v>330</v>
      </c>
      <c r="I48" s="14">
        <f>vendas2026[[#This Row],[Qtde]]*vendas2026[[#This Row],[VlrUnitário]]</f>
        <v>330</v>
      </c>
      <c r="J48" s="14">
        <v>330</v>
      </c>
      <c r="K48" s="15">
        <v>1</v>
      </c>
      <c r="L48" s="15">
        <f>vendas2026[[#This Row],[%Comissão]]*0.25</f>
        <v>0.25</v>
      </c>
      <c r="M48" s="14" t="s">
        <v>46</v>
      </c>
      <c r="N48" s="23">
        <f>vendas2026[[#This Row],[VlrTotal]]*vendas2026[[#This Row],[%Comissão]]</f>
        <v>330</v>
      </c>
      <c r="O48" s="14">
        <f>vendas2026[[#This Row],[VlrTotal]]*vendas2026[[#This Row],[%ComissãoSupervisor]]</f>
        <v>82.5</v>
      </c>
      <c r="P48" s="11" t="s">
        <v>27</v>
      </c>
      <c r="Q48" s="11" t="s">
        <v>27</v>
      </c>
      <c r="R48" s="11"/>
      <c r="S48" s="11">
        <v>1</v>
      </c>
      <c r="T48" s="11"/>
      <c r="U48" s="11" t="s">
        <v>28</v>
      </c>
      <c r="V48" s="16" t="s">
        <v>44</v>
      </c>
    </row>
    <row r="49" spans="1:22" hidden="1" x14ac:dyDescent="0.3">
      <c r="A49" s="10">
        <v>46059</v>
      </c>
      <c r="B49" s="11">
        <v>137739</v>
      </c>
      <c r="C49" s="11" t="s">
        <v>31</v>
      </c>
      <c r="D49" s="11" t="s">
        <v>73</v>
      </c>
      <c r="E49" s="11" t="s">
        <v>52</v>
      </c>
      <c r="F49" s="11" t="s">
        <v>41</v>
      </c>
      <c r="G49" s="12">
        <v>1</v>
      </c>
      <c r="H49" s="13">
        <v>8100</v>
      </c>
      <c r="I49" s="14">
        <f>vendas2026[[#This Row],[Qtde]]*vendas2026[[#This Row],[VlrUnitário]]</f>
        <v>8100</v>
      </c>
      <c r="J49" s="23">
        <f>(vendas2026[[#This Row],[VlrTotal]]*0.2)+vendas2026[[#This Row],[VlrTotal]]</f>
        <v>9720</v>
      </c>
      <c r="K49" s="15">
        <v>0.25</v>
      </c>
      <c r="L49" s="15">
        <f>vendas2026[[#This Row],[%Comissão]]*0.25</f>
        <v>6.25E-2</v>
      </c>
      <c r="M49" s="14" t="s">
        <v>26</v>
      </c>
      <c r="N49" s="23">
        <f>vendas2026[[#This Row],[VlrTotal]]*vendas2026[[#This Row],[%Comissão]]</f>
        <v>2025</v>
      </c>
      <c r="O49" s="14">
        <f>vendas2026[[#This Row],[VlrTotal]]*vendas2026[[#This Row],[%ComissãoSupervisor]]</f>
        <v>506.25</v>
      </c>
      <c r="P49" s="11" t="s">
        <v>27</v>
      </c>
      <c r="Q49" s="11" t="s">
        <v>27</v>
      </c>
      <c r="R49" s="11"/>
      <c r="S49" s="11">
        <v>6</v>
      </c>
      <c r="T49" s="11"/>
      <c r="U49" s="11" t="s">
        <v>28</v>
      </c>
      <c r="V49" s="16" t="s">
        <v>31</v>
      </c>
    </row>
    <row r="50" spans="1:22" hidden="1" x14ac:dyDescent="0.3">
      <c r="A50" s="10">
        <v>46059</v>
      </c>
      <c r="B50" s="11">
        <v>137739</v>
      </c>
      <c r="C50" s="11" t="s">
        <v>31</v>
      </c>
      <c r="D50" s="11" t="s">
        <v>73</v>
      </c>
      <c r="E50" s="11" t="s">
        <v>52</v>
      </c>
      <c r="F50" s="11" t="s">
        <v>30</v>
      </c>
      <c r="G50" s="12">
        <v>1</v>
      </c>
      <c r="H50" s="13">
        <v>1080</v>
      </c>
      <c r="I50" s="14">
        <f>vendas2026[[#This Row],[Qtde]]*vendas2026[[#This Row],[VlrUnitário]]</f>
        <v>1080</v>
      </c>
      <c r="J50" s="23">
        <f>(vendas2026[[#This Row],[VlrTotal]]*0.2)+vendas2026[[#This Row],[VlrTotal]]</f>
        <v>1296</v>
      </c>
      <c r="K50" s="15">
        <v>1</v>
      </c>
      <c r="L50" s="15">
        <f>vendas2026[[#This Row],[%Comissão]]*0.25</f>
        <v>0.25</v>
      </c>
      <c r="M50" s="14" t="s">
        <v>26</v>
      </c>
      <c r="N50" s="23">
        <f>vendas2026[[#This Row],[VlrTotal]]*vendas2026[[#This Row],[%Comissão]]</f>
        <v>1080</v>
      </c>
      <c r="O50" s="14">
        <f>vendas2026[[#This Row],[VlrTotal]]*vendas2026[[#This Row],[%ComissãoSupervisor]]</f>
        <v>270</v>
      </c>
      <c r="P50" s="11" t="s">
        <v>27</v>
      </c>
      <c r="Q50" s="11" t="s">
        <v>27</v>
      </c>
      <c r="R50" s="11"/>
      <c r="S50" s="11">
        <v>1</v>
      </c>
      <c r="T50" s="11"/>
      <c r="U50" s="11" t="s">
        <v>28</v>
      </c>
      <c r="V50" s="16" t="s">
        <v>31</v>
      </c>
    </row>
    <row r="51" spans="1:22" hidden="1" x14ac:dyDescent="0.3">
      <c r="A51" s="10">
        <v>46059</v>
      </c>
      <c r="B51" s="11">
        <v>137720</v>
      </c>
      <c r="C51" s="11" t="s">
        <v>31</v>
      </c>
      <c r="D51" s="11" t="s">
        <v>74</v>
      </c>
      <c r="E51" s="11" t="s">
        <v>63</v>
      </c>
      <c r="F51" s="11" t="s">
        <v>30</v>
      </c>
      <c r="G51" s="12">
        <v>5</v>
      </c>
      <c r="H51" s="13">
        <v>115</v>
      </c>
      <c r="I51" s="14">
        <f>vendas2026[[#This Row],[Qtde]]*vendas2026[[#This Row],[VlrUnitário]]</f>
        <v>575</v>
      </c>
      <c r="J51" s="23">
        <f>(vendas2026[[#This Row],[VlrTotal]]*0.2)+vendas2026[[#This Row],[VlrTotal]]</f>
        <v>690</v>
      </c>
      <c r="K51" s="15">
        <v>1</v>
      </c>
      <c r="L51" s="15">
        <f>vendas2026[[#This Row],[%Comissão]]*0.25</f>
        <v>0.25</v>
      </c>
      <c r="M51" s="14" t="s">
        <v>26</v>
      </c>
      <c r="N51" s="23">
        <f>vendas2026[[#This Row],[VlrTotal]]*vendas2026[[#This Row],[%Comissão]]</f>
        <v>575</v>
      </c>
      <c r="O51" s="14">
        <f>vendas2026[[#This Row],[VlrTotal]]*vendas2026[[#This Row],[%ComissãoSupervisor]]</f>
        <v>143.75</v>
      </c>
      <c r="P51" s="11" t="s">
        <v>27</v>
      </c>
      <c r="Q51" s="11" t="s">
        <v>27</v>
      </c>
      <c r="R51" s="11"/>
      <c r="S51" s="11">
        <v>1</v>
      </c>
      <c r="T51" s="11"/>
      <c r="U51" s="11" t="s">
        <v>28</v>
      </c>
      <c r="V51" s="16" t="s">
        <v>31</v>
      </c>
    </row>
    <row r="52" spans="1:22" hidden="1" x14ac:dyDescent="0.3">
      <c r="A52" s="10">
        <v>46059</v>
      </c>
      <c r="B52" s="11">
        <v>137481</v>
      </c>
      <c r="C52" s="11" t="s">
        <v>31</v>
      </c>
      <c r="D52" s="11" t="s">
        <v>75</v>
      </c>
      <c r="E52" s="11" t="s">
        <v>24</v>
      </c>
      <c r="F52" s="11" t="s">
        <v>25</v>
      </c>
      <c r="G52" s="12">
        <v>8</v>
      </c>
      <c r="H52" s="13">
        <v>189</v>
      </c>
      <c r="I52" s="14">
        <f>vendas2026[[#This Row],[Qtde]]*vendas2026[[#This Row],[VlrUnitário]]</f>
        <v>1512</v>
      </c>
      <c r="J52" s="23">
        <f>(vendas2026[[#This Row],[VlrTotal]]*0.2)+vendas2026[[#This Row],[VlrTotal]]</f>
        <v>1814.4</v>
      </c>
      <c r="K52" s="15">
        <v>7.0000000000000007E-2</v>
      </c>
      <c r="L52" s="15">
        <f>vendas2026[[#This Row],[%Comissão]]*0.25</f>
        <v>1.7500000000000002E-2</v>
      </c>
      <c r="M52" s="14" t="s">
        <v>26</v>
      </c>
      <c r="N52" s="23">
        <f>vendas2026[[#This Row],[VlrTotal]]*vendas2026[[#This Row],[%Comissão]]</f>
        <v>105.84</v>
      </c>
      <c r="O52" s="14">
        <f>vendas2026[[#This Row],[VlrTotal]]*vendas2026[[#This Row],[%ComissãoSupervisor]]</f>
        <v>26.46</v>
      </c>
      <c r="P52" s="11" t="s">
        <v>36</v>
      </c>
      <c r="Q52" s="11" t="s">
        <v>37</v>
      </c>
      <c r="R52" s="11"/>
      <c r="S52" s="11">
        <v>4</v>
      </c>
      <c r="T52" s="11"/>
      <c r="U52" s="11" t="s">
        <v>38</v>
      </c>
      <c r="V52" s="16" t="s">
        <v>31</v>
      </c>
    </row>
    <row r="53" spans="1:22" hidden="1" x14ac:dyDescent="0.3">
      <c r="A53" s="10">
        <v>46065</v>
      </c>
      <c r="B53" s="11">
        <v>138938</v>
      </c>
      <c r="C53" s="11" t="s">
        <v>44</v>
      </c>
      <c r="D53" s="11" t="s">
        <v>76</v>
      </c>
      <c r="E53" s="11" t="s">
        <v>63</v>
      </c>
      <c r="F53" s="11" t="s">
        <v>25</v>
      </c>
      <c r="G53" s="12">
        <v>80</v>
      </c>
      <c r="H53" s="13">
        <v>212</v>
      </c>
      <c r="I53" s="14">
        <f>vendas2026[[#This Row],[Qtde]]*vendas2026[[#This Row],[VlrUnitário]]</f>
        <v>16960</v>
      </c>
      <c r="J53" s="14">
        <v>16960</v>
      </c>
      <c r="K53" s="15">
        <v>7.0000000000000007E-2</v>
      </c>
      <c r="L53" s="15">
        <f>vendas2026[[#This Row],[%Comissão]]*0.25</f>
        <v>1.7500000000000002E-2</v>
      </c>
      <c r="M53" s="14" t="s">
        <v>46</v>
      </c>
      <c r="N53" s="23">
        <f>vendas2026[[#This Row],[VlrTotal]]*vendas2026[[#This Row],[%Comissão]]</f>
        <v>1187.2</v>
      </c>
      <c r="O53" s="14">
        <f>vendas2026[[#This Row],[VlrTotal]]*vendas2026[[#This Row],[%ComissãoSupervisor]]</f>
        <v>296.8</v>
      </c>
      <c r="P53" s="11" t="s">
        <v>27</v>
      </c>
      <c r="Q53" s="11" t="s">
        <v>27</v>
      </c>
      <c r="R53" s="11"/>
      <c r="S53" s="11">
        <v>4</v>
      </c>
      <c r="T53" s="11"/>
      <c r="U53" s="11" t="s">
        <v>28</v>
      </c>
      <c r="V53" s="16" t="s">
        <v>44</v>
      </c>
    </row>
    <row r="54" spans="1:22" hidden="1" x14ac:dyDescent="0.3">
      <c r="A54" s="10">
        <v>46065</v>
      </c>
      <c r="B54" s="11">
        <v>138938</v>
      </c>
      <c r="C54" s="11" t="s">
        <v>44</v>
      </c>
      <c r="D54" s="11" t="s">
        <v>76</v>
      </c>
      <c r="E54" s="11" t="s">
        <v>63</v>
      </c>
      <c r="F54" s="11" t="s">
        <v>30</v>
      </c>
      <c r="G54" s="12">
        <v>30</v>
      </c>
      <c r="H54" s="13">
        <v>109.25</v>
      </c>
      <c r="I54" s="14">
        <f>vendas2026[[#This Row],[Qtde]]*vendas2026[[#This Row],[VlrUnitário]]</f>
        <v>3277.5</v>
      </c>
      <c r="J54" s="14">
        <v>3277.5</v>
      </c>
      <c r="K54" s="15">
        <v>1</v>
      </c>
      <c r="L54" s="15">
        <f>vendas2026[[#This Row],[%Comissão]]*0.25</f>
        <v>0.25</v>
      </c>
      <c r="M54" s="14" t="s">
        <v>46</v>
      </c>
      <c r="N54" s="23">
        <f>vendas2026[[#This Row],[VlrTotal]]*vendas2026[[#This Row],[%Comissão]]</f>
        <v>3277.5</v>
      </c>
      <c r="O54" s="14">
        <f>vendas2026[[#This Row],[VlrTotal]]*vendas2026[[#This Row],[%ComissãoSupervisor]]</f>
        <v>819.375</v>
      </c>
      <c r="P54" s="11" t="s">
        <v>27</v>
      </c>
      <c r="Q54" s="11" t="s">
        <v>27</v>
      </c>
      <c r="R54" s="11"/>
      <c r="S54" s="11">
        <v>1</v>
      </c>
      <c r="T54" s="11"/>
      <c r="U54" s="11" t="s">
        <v>28</v>
      </c>
      <c r="V54" s="16" t="s">
        <v>44</v>
      </c>
    </row>
    <row r="55" spans="1:22" hidden="1" x14ac:dyDescent="0.3">
      <c r="A55" s="10">
        <v>46065</v>
      </c>
      <c r="B55" s="11">
        <v>128860</v>
      </c>
      <c r="C55" s="11" t="s">
        <v>22</v>
      </c>
      <c r="D55" s="11" t="s">
        <v>70</v>
      </c>
      <c r="E55" s="11" t="s">
        <v>56</v>
      </c>
      <c r="F55" s="11" t="s">
        <v>30</v>
      </c>
      <c r="G55" s="12">
        <v>1</v>
      </c>
      <c r="H55" s="13">
        <v>356.4</v>
      </c>
      <c r="I55" s="14">
        <f>vendas2026[[#This Row],[Qtde]]*vendas2026[[#This Row],[VlrUnitário]]</f>
        <v>356.4</v>
      </c>
      <c r="J55" s="23">
        <f>(vendas2026[[#This Row],[VlrTotal]]*0.2)+vendas2026[[#This Row],[VlrTotal]]</f>
        <v>427.67999999999995</v>
      </c>
      <c r="K55" s="15">
        <v>1</v>
      </c>
      <c r="L55" s="15">
        <v>0</v>
      </c>
      <c r="M55" s="14" t="s">
        <v>26</v>
      </c>
      <c r="N55" s="23">
        <f>vendas2026[[#This Row],[VlrTotal]]*vendas2026[[#This Row],[%Comissão]]</f>
        <v>356.4</v>
      </c>
      <c r="O55" s="14">
        <f>vendas2026[[#This Row],[VlrTotal]]*vendas2026[[#This Row],[%ComissãoSupervisor]]</f>
        <v>0</v>
      </c>
      <c r="P55" s="11" t="s">
        <v>27</v>
      </c>
      <c r="Q55" s="11" t="s">
        <v>27</v>
      </c>
      <c r="R55" s="11"/>
      <c r="S55" s="11">
        <v>1</v>
      </c>
      <c r="T55" s="11"/>
      <c r="U55" s="11" t="s">
        <v>28</v>
      </c>
      <c r="V55" s="16" t="s">
        <v>22</v>
      </c>
    </row>
    <row r="56" spans="1:22" hidden="1" x14ac:dyDescent="0.3">
      <c r="A56" s="10">
        <v>46066</v>
      </c>
      <c r="B56" s="11">
        <v>138101</v>
      </c>
      <c r="C56" s="11" t="s">
        <v>31</v>
      </c>
      <c r="D56" s="11" t="s">
        <v>77</v>
      </c>
      <c r="E56" s="11" t="s">
        <v>24</v>
      </c>
      <c r="F56" s="11" t="s">
        <v>25</v>
      </c>
      <c r="G56" s="12">
        <v>24</v>
      </c>
      <c r="H56" s="13">
        <v>125</v>
      </c>
      <c r="I56" s="14">
        <f>vendas2026[[#This Row],[Qtde]]*vendas2026[[#This Row],[VlrUnitário]]</f>
        <v>3000</v>
      </c>
      <c r="J56" s="23">
        <f>(vendas2026[[#This Row],[VlrTotal]]*0.2)+vendas2026[[#This Row],[VlrTotal]]</f>
        <v>3600</v>
      </c>
      <c r="K56" s="15">
        <v>0.21</v>
      </c>
      <c r="L56" s="15">
        <f>vendas2026[[#This Row],[%Comissão]]*0.25</f>
        <v>5.2499999999999998E-2</v>
      </c>
      <c r="M56" s="14" t="s">
        <v>26</v>
      </c>
      <c r="N56" s="23">
        <f>vendas2026[[#This Row],[VlrTotal]]*vendas2026[[#This Row],[%Comissão]]</f>
        <v>630</v>
      </c>
      <c r="O56" s="14">
        <f>vendas2026[[#This Row],[VlrTotal]]*vendas2026[[#This Row],[%ComissãoSupervisor]]</f>
        <v>157.5</v>
      </c>
      <c r="P56" s="11" t="s">
        <v>36</v>
      </c>
      <c r="Q56" s="11" t="s">
        <v>37</v>
      </c>
      <c r="R56" s="11"/>
      <c r="S56" s="11">
        <v>5</v>
      </c>
      <c r="T56" s="11"/>
      <c r="U56" s="11" t="s">
        <v>38</v>
      </c>
      <c r="V56" s="16" t="s">
        <v>31</v>
      </c>
    </row>
    <row r="57" spans="1:22" hidden="1" x14ac:dyDescent="0.3">
      <c r="A57" s="10">
        <v>46070</v>
      </c>
      <c r="B57" s="11" t="s">
        <v>78</v>
      </c>
      <c r="C57" s="11" t="s">
        <v>31</v>
      </c>
      <c r="D57" s="11" t="s">
        <v>79</v>
      </c>
      <c r="E57" s="11" t="s">
        <v>35</v>
      </c>
      <c r="F57" s="11" t="s">
        <v>35</v>
      </c>
      <c r="G57" s="12">
        <v>236</v>
      </c>
      <c r="H57" s="13">
        <v>176</v>
      </c>
      <c r="I57" s="14">
        <f>vendas2026[[#This Row],[Qtde]]*vendas2026[[#This Row],[VlrUnitário]]</f>
        <v>41536</v>
      </c>
      <c r="J57" s="23">
        <f>vendas2026[[#This Row],[VlrTotal]]</f>
        <v>41536</v>
      </c>
      <c r="K57" s="15">
        <v>0.01</v>
      </c>
      <c r="L57" s="15">
        <f>vendas2026[[#This Row],[%Comissão]]*0.25</f>
        <v>2.5000000000000001E-3</v>
      </c>
      <c r="M57" s="14" t="s">
        <v>26</v>
      </c>
      <c r="N57" s="23">
        <f>vendas2026[[#This Row],[VlrTotal]]*vendas2026[[#This Row],[%Comissão]]</f>
        <v>415.36</v>
      </c>
      <c r="O57" s="14">
        <f>vendas2026[[#This Row],[VlrTotal]]*vendas2026[[#This Row],[%ComissãoSupervisor]]</f>
        <v>103.84</v>
      </c>
      <c r="P57" s="11" t="s">
        <v>36</v>
      </c>
      <c r="Q57" s="11" t="s">
        <v>37</v>
      </c>
      <c r="R57" s="11"/>
      <c r="S57" s="11">
        <v>4</v>
      </c>
      <c r="T57" s="11"/>
      <c r="U57" s="11" t="s">
        <v>38</v>
      </c>
      <c r="V57" s="16" t="s">
        <v>31</v>
      </c>
    </row>
    <row r="58" spans="1:22" hidden="1" x14ac:dyDescent="0.3">
      <c r="A58" s="10">
        <v>46072</v>
      </c>
      <c r="B58" s="11">
        <v>135372</v>
      </c>
      <c r="C58" s="11" t="s">
        <v>31</v>
      </c>
      <c r="D58" s="11" t="s">
        <v>70</v>
      </c>
      <c r="E58" s="11" t="s">
        <v>35</v>
      </c>
      <c r="F58" s="11" t="s">
        <v>35</v>
      </c>
      <c r="G58" s="12">
        <v>24</v>
      </c>
      <c r="H58" s="13">
        <v>176</v>
      </c>
      <c r="I58" s="14">
        <f>vendas2026[[#This Row],[Qtde]]*vendas2026[[#This Row],[VlrUnitário]]</f>
        <v>4224</v>
      </c>
      <c r="J58" s="23">
        <f>vendas2026[[#This Row],[VlrTotal]]</f>
        <v>4224</v>
      </c>
      <c r="K58" s="15">
        <v>0.01</v>
      </c>
      <c r="L58" s="15">
        <f>vendas2026[[#This Row],[%Comissão]]*0.25</f>
        <v>2.5000000000000001E-3</v>
      </c>
      <c r="M58" s="14" t="s">
        <v>26</v>
      </c>
      <c r="N58" s="23">
        <f>vendas2026[[#This Row],[VlrTotal]]*vendas2026[[#This Row],[%Comissão]]</f>
        <v>42.24</v>
      </c>
      <c r="O58" s="14">
        <f>vendas2026[[#This Row],[VlrTotal]]*vendas2026[[#This Row],[%ComissãoSupervisor]]</f>
        <v>10.56</v>
      </c>
      <c r="P58" s="11" t="s">
        <v>36</v>
      </c>
      <c r="Q58" s="11" t="s">
        <v>37</v>
      </c>
      <c r="R58" s="11"/>
      <c r="S58" s="11">
        <v>3</v>
      </c>
      <c r="T58" s="11"/>
      <c r="U58" s="11" t="s">
        <v>38</v>
      </c>
      <c r="V58" s="16" t="s">
        <v>31</v>
      </c>
    </row>
    <row r="59" spans="1:22" hidden="1" x14ac:dyDescent="0.3">
      <c r="A59" s="10">
        <v>46076</v>
      </c>
      <c r="B59" s="11">
        <v>138313</v>
      </c>
      <c r="C59" s="11" t="s">
        <v>31</v>
      </c>
      <c r="D59" s="11" t="s">
        <v>80</v>
      </c>
      <c r="E59" s="11" t="s">
        <v>40</v>
      </c>
      <c r="F59" s="11" t="s">
        <v>41</v>
      </c>
      <c r="G59" s="12">
        <v>1</v>
      </c>
      <c r="H59" s="13">
        <v>3150.4</v>
      </c>
      <c r="I59" s="14">
        <f>vendas2026[[#This Row],[Qtde]]*vendas2026[[#This Row],[VlrUnitário]]</f>
        <v>3150.4</v>
      </c>
      <c r="J59" s="23">
        <f>(vendas2026[[#This Row],[VlrTotal]]*0.2)+vendas2026[[#This Row],[VlrTotal]]</f>
        <v>3780.48</v>
      </c>
      <c r="K59" s="15">
        <v>0.25</v>
      </c>
      <c r="L59" s="15">
        <f>vendas2026[[#This Row],[%Comissão]]*0.25</f>
        <v>6.25E-2</v>
      </c>
      <c r="M59" s="14" t="s">
        <v>26</v>
      </c>
      <c r="N59" s="23">
        <f>vendas2026[[#This Row],[VlrTotal]]*vendas2026[[#This Row],[%Comissão]]</f>
        <v>787.6</v>
      </c>
      <c r="O59" s="14">
        <f>vendas2026[[#This Row],[VlrTotal]]*vendas2026[[#This Row],[%ComissãoSupervisor]]</f>
        <v>196.9</v>
      </c>
      <c r="P59" s="11" t="s">
        <v>36</v>
      </c>
      <c r="Q59" s="11" t="s">
        <v>37</v>
      </c>
      <c r="R59" s="11"/>
      <c r="S59" s="11">
        <v>6</v>
      </c>
      <c r="T59" s="11"/>
      <c r="U59" s="11" t="s">
        <v>38</v>
      </c>
      <c r="V59" s="16" t="s">
        <v>31</v>
      </c>
    </row>
    <row r="60" spans="1:22" hidden="1" x14ac:dyDescent="0.3">
      <c r="A60" s="10">
        <v>46076</v>
      </c>
      <c r="B60" s="11">
        <v>138313</v>
      </c>
      <c r="C60" s="11" t="s">
        <v>31</v>
      </c>
      <c r="D60" s="11" t="s">
        <v>80</v>
      </c>
      <c r="E60" s="11" t="s">
        <v>24</v>
      </c>
      <c r="F60" s="11" t="s">
        <v>25</v>
      </c>
      <c r="G60" s="12">
        <v>40</v>
      </c>
      <c r="H60" s="13">
        <v>146.24</v>
      </c>
      <c r="I60" s="14">
        <f>vendas2026[[#This Row],[Qtde]]*vendas2026[[#This Row],[VlrUnitário]]</f>
        <v>5849.6</v>
      </c>
      <c r="J60" s="23">
        <f>(vendas2026[[#This Row],[VlrTotal]]*0.2)+vendas2026[[#This Row],[VlrTotal]]</f>
        <v>7019.52</v>
      </c>
      <c r="K60" s="15">
        <v>0.25</v>
      </c>
      <c r="L60" s="15">
        <f>vendas2026[[#This Row],[%Comissão]]*0.25</f>
        <v>6.25E-2</v>
      </c>
      <c r="M60" s="14" t="s">
        <v>26</v>
      </c>
      <c r="N60" s="23">
        <f>vendas2026[[#This Row],[VlrTotal]]*vendas2026[[#This Row],[%Comissão]]</f>
        <v>1462.4</v>
      </c>
      <c r="O60" s="14">
        <f>vendas2026[[#This Row],[VlrTotal]]*vendas2026[[#This Row],[%ComissãoSupervisor]]</f>
        <v>365.6</v>
      </c>
      <c r="P60" s="11" t="s">
        <v>36</v>
      </c>
      <c r="Q60" s="11" t="s">
        <v>37</v>
      </c>
      <c r="R60" s="11"/>
      <c r="S60" s="11">
        <v>6</v>
      </c>
      <c r="T60" s="11"/>
      <c r="U60" s="11" t="s">
        <v>38</v>
      </c>
      <c r="V60" s="16" t="s">
        <v>31</v>
      </c>
    </row>
    <row r="61" spans="1:22" hidden="1" x14ac:dyDescent="0.3">
      <c r="A61" s="10">
        <v>46078</v>
      </c>
      <c r="B61" s="11" t="s">
        <v>81</v>
      </c>
      <c r="C61" s="11" t="s">
        <v>22</v>
      </c>
      <c r="D61" s="11" t="s">
        <v>82</v>
      </c>
      <c r="E61" s="11" t="s">
        <v>47</v>
      </c>
      <c r="F61" s="11" t="s">
        <v>25</v>
      </c>
      <c r="G61" s="12">
        <v>316</v>
      </c>
      <c r="H61" s="13">
        <v>200</v>
      </c>
      <c r="I61" s="14">
        <f>vendas2026[[#This Row],[Qtde]]*vendas2026[[#This Row],[VlrUnitário]]</f>
        <v>63200</v>
      </c>
      <c r="J61" s="23">
        <f>vendas2026[[#This Row],[VlrTotal]]</f>
        <v>63200</v>
      </c>
      <c r="K61" s="15">
        <v>7.0000000000000007E-2</v>
      </c>
      <c r="L61" s="15">
        <v>0</v>
      </c>
      <c r="M61" s="14" t="s">
        <v>46</v>
      </c>
      <c r="N61" s="23">
        <f>vendas2026[[#This Row],[VlrTotal]]*vendas2026[[#This Row],[%Comissão]]</f>
        <v>4424</v>
      </c>
      <c r="O61" s="14">
        <f>vendas2026[[#This Row],[VlrTotal]]*vendas2026[[#This Row],[%ComissãoSupervisor]]</f>
        <v>0</v>
      </c>
      <c r="P61" s="11" t="s">
        <v>27</v>
      </c>
      <c r="Q61" s="11" t="s">
        <v>27</v>
      </c>
      <c r="R61" s="11"/>
      <c r="S61" s="11">
        <v>6</v>
      </c>
      <c r="T61" s="11"/>
      <c r="U61" s="11" t="s">
        <v>28</v>
      </c>
      <c r="V61" s="16" t="s">
        <v>22</v>
      </c>
    </row>
    <row r="62" spans="1:22" hidden="1" x14ac:dyDescent="0.3">
      <c r="A62" s="10">
        <v>46078</v>
      </c>
      <c r="B62" s="11" t="s">
        <v>81</v>
      </c>
      <c r="C62" s="11" t="s">
        <v>22</v>
      </c>
      <c r="D62" s="11" t="s">
        <v>82</v>
      </c>
      <c r="E62" s="11" t="s">
        <v>47</v>
      </c>
      <c r="F62" s="11" t="s">
        <v>41</v>
      </c>
      <c r="G62" s="12">
        <v>1</v>
      </c>
      <c r="H62" s="13">
        <v>35502.9</v>
      </c>
      <c r="I62" s="14">
        <f>vendas2026[[#This Row],[Qtde]]*vendas2026[[#This Row],[VlrUnitário]]</f>
        <v>35502.9</v>
      </c>
      <c r="J62" s="23">
        <f>vendas2026[[#This Row],[VlrTotal]]</f>
        <v>35502.9</v>
      </c>
      <c r="K62" s="15">
        <v>0.25</v>
      </c>
      <c r="L62" s="15">
        <v>0</v>
      </c>
      <c r="M62" s="14" t="s">
        <v>46</v>
      </c>
      <c r="N62" s="23">
        <f>vendas2026[[#This Row],[VlrTotal]]*vendas2026[[#This Row],[%Comissão]]</f>
        <v>8875.7250000000004</v>
      </c>
      <c r="O62" s="14">
        <f>vendas2026[[#This Row],[VlrTotal]]*vendas2026[[#This Row],[%ComissãoSupervisor]]</f>
        <v>0</v>
      </c>
      <c r="P62" s="11" t="s">
        <v>27</v>
      </c>
      <c r="Q62" s="11" t="s">
        <v>27</v>
      </c>
      <c r="R62" s="11"/>
      <c r="S62" s="11">
        <v>6</v>
      </c>
      <c r="T62" s="11"/>
      <c r="U62" s="11" t="s">
        <v>28</v>
      </c>
      <c r="V62" s="16" t="s">
        <v>22</v>
      </c>
    </row>
    <row r="63" spans="1:22" hidden="1" x14ac:dyDescent="0.3">
      <c r="A63" s="10">
        <v>46078</v>
      </c>
      <c r="B63" s="11" t="s">
        <v>81</v>
      </c>
      <c r="C63" s="11" t="s">
        <v>22</v>
      </c>
      <c r="D63" s="11" t="s">
        <v>82</v>
      </c>
      <c r="E63" s="11" t="s">
        <v>47</v>
      </c>
      <c r="F63" s="11" t="s">
        <v>30</v>
      </c>
      <c r="G63" s="12">
        <v>15</v>
      </c>
      <c r="H63" s="13">
        <v>275.62</v>
      </c>
      <c r="I63" s="14">
        <f>vendas2026[[#This Row],[Qtde]]*vendas2026[[#This Row],[VlrUnitário]]</f>
        <v>4134.3</v>
      </c>
      <c r="J63" s="23">
        <f>vendas2026[[#This Row],[VlrTotal]]</f>
        <v>4134.3</v>
      </c>
      <c r="K63" s="15">
        <v>1</v>
      </c>
      <c r="L63" s="15">
        <v>0</v>
      </c>
      <c r="M63" s="14" t="s">
        <v>46</v>
      </c>
      <c r="N63" s="23">
        <f>vendas2026[[#This Row],[VlrTotal]]*vendas2026[[#This Row],[%Comissão]]</f>
        <v>4134.3</v>
      </c>
      <c r="O63" s="14">
        <f>vendas2026[[#This Row],[VlrTotal]]*vendas2026[[#This Row],[%ComissãoSupervisor]]</f>
        <v>0</v>
      </c>
      <c r="P63" s="11" t="s">
        <v>27</v>
      </c>
      <c r="Q63" s="11" t="s">
        <v>27</v>
      </c>
      <c r="R63" s="11"/>
      <c r="S63" s="11">
        <v>1</v>
      </c>
      <c r="T63" s="11"/>
      <c r="U63" s="11" t="s">
        <v>28</v>
      </c>
      <c r="V63" s="16" t="s">
        <v>22</v>
      </c>
    </row>
    <row r="64" spans="1:22" hidden="1" x14ac:dyDescent="0.3">
      <c r="A64" s="10">
        <v>46078</v>
      </c>
      <c r="B64" s="11" t="s">
        <v>81</v>
      </c>
      <c r="C64" s="11" t="s">
        <v>22</v>
      </c>
      <c r="D64" s="11" t="s">
        <v>82</v>
      </c>
      <c r="E64" s="11" t="s">
        <v>63</v>
      </c>
      <c r="F64" s="11" t="s">
        <v>30</v>
      </c>
      <c r="G64" s="12">
        <v>40</v>
      </c>
      <c r="H64" s="13">
        <v>115</v>
      </c>
      <c r="I64" s="14">
        <f>vendas2026[[#This Row],[Qtde]]*vendas2026[[#This Row],[VlrUnitário]]</f>
        <v>4600</v>
      </c>
      <c r="J64" s="23">
        <f>vendas2026[[#This Row],[VlrTotal]]</f>
        <v>4600</v>
      </c>
      <c r="K64" s="15">
        <v>1</v>
      </c>
      <c r="L64" s="15">
        <v>0</v>
      </c>
      <c r="M64" s="14" t="s">
        <v>46</v>
      </c>
      <c r="N64" s="23">
        <f>vendas2026[[#This Row],[VlrTotal]]*vendas2026[[#This Row],[%Comissão]]</f>
        <v>4600</v>
      </c>
      <c r="O64" s="14">
        <f>vendas2026[[#This Row],[VlrTotal]]*vendas2026[[#This Row],[%ComissãoSupervisor]]</f>
        <v>0</v>
      </c>
      <c r="P64" s="11" t="s">
        <v>27</v>
      </c>
      <c r="Q64" s="11" t="s">
        <v>27</v>
      </c>
      <c r="R64" s="11"/>
      <c r="S64" s="11">
        <v>1</v>
      </c>
      <c r="T64" s="11"/>
      <c r="U64" s="11" t="s">
        <v>28</v>
      </c>
      <c r="V64" s="16" t="s">
        <v>22</v>
      </c>
    </row>
    <row r="65" spans="1:22" hidden="1" x14ac:dyDescent="0.3">
      <c r="A65" s="10">
        <v>46078</v>
      </c>
      <c r="B65" s="11" t="s">
        <v>81</v>
      </c>
      <c r="C65" s="11" t="s">
        <v>22</v>
      </c>
      <c r="D65" s="11" t="s">
        <v>82</v>
      </c>
      <c r="E65" s="11" t="s">
        <v>48</v>
      </c>
      <c r="F65" s="11" t="s">
        <v>30</v>
      </c>
      <c r="G65" s="12">
        <v>1</v>
      </c>
      <c r="H65" s="13">
        <v>356.4</v>
      </c>
      <c r="I65" s="14">
        <f>vendas2026[[#This Row],[Qtde]]*vendas2026[[#This Row],[VlrUnitário]]</f>
        <v>356.4</v>
      </c>
      <c r="J65" s="23">
        <f>vendas2026[[#This Row],[VlrTotal]]</f>
        <v>356.4</v>
      </c>
      <c r="K65" s="15">
        <v>1</v>
      </c>
      <c r="L65" s="15">
        <v>0</v>
      </c>
      <c r="M65" s="14" t="s">
        <v>46</v>
      </c>
      <c r="N65" s="23">
        <f>vendas2026[[#This Row],[VlrTotal]]*vendas2026[[#This Row],[%Comissão]]</f>
        <v>356.4</v>
      </c>
      <c r="O65" s="14">
        <f>vendas2026[[#This Row],[VlrTotal]]*vendas2026[[#This Row],[%ComissãoSupervisor]]</f>
        <v>0</v>
      </c>
      <c r="P65" s="11" t="s">
        <v>27</v>
      </c>
      <c r="Q65" s="11" t="s">
        <v>27</v>
      </c>
      <c r="R65" s="11"/>
      <c r="S65" s="11">
        <v>1</v>
      </c>
      <c r="T65" s="11"/>
      <c r="U65" s="11" t="s">
        <v>28</v>
      </c>
      <c r="V65" s="16" t="s">
        <v>22</v>
      </c>
    </row>
    <row r="66" spans="1:22" hidden="1" x14ac:dyDescent="0.3">
      <c r="A66" s="10">
        <v>46078</v>
      </c>
      <c r="B66" s="11" t="s">
        <v>81</v>
      </c>
      <c r="C66" s="11" t="s">
        <v>22</v>
      </c>
      <c r="D66" s="11" t="s">
        <v>82</v>
      </c>
      <c r="E66" s="11" t="s">
        <v>52</v>
      </c>
      <c r="F66" s="11" t="s">
        <v>30</v>
      </c>
      <c r="G66" s="12">
        <v>1</v>
      </c>
      <c r="H66" s="13">
        <v>1080</v>
      </c>
      <c r="I66" s="14">
        <f>vendas2026[[#This Row],[Qtde]]*vendas2026[[#This Row],[VlrUnitário]]</f>
        <v>1080</v>
      </c>
      <c r="J66" s="23">
        <f>vendas2026[[#This Row],[VlrTotal]]</f>
        <v>1080</v>
      </c>
      <c r="K66" s="15">
        <v>1</v>
      </c>
      <c r="L66" s="15">
        <v>0</v>
      </c>
      <c r="M66" s="14" t="s">
        <v>46</v>
      </c>
      <c r="N66" s="23">
        <f>vendas2026[[#This Row],[VlrTotal]]*vendas2026[[#This Row],[%Comissão]]</f>
        <v>1080</v>
      </c>
      <c r="O66" s="14">
        <f>vendas2026[[#This Row],[VlrTotal]]*vendas2026[[#This Row],[%ComissãoSupervisor]]</f>
        <v>0</v>
      </c>
      <c r="P66" s="11" t="s">
        <v>27</v>
      </c>
      <c r="Q66" s="11" t="s">
        <v>27</v>
      </c>
      <c r="R66" s="11"/>
      <c r="S66" s="11">
        <v>1</v>
      </c>
      <c r="T66" s="11"/>
      <c r="U66" s="11" t="s">
        <v>28</v>
      </c>
      <c r="V66" s="16" t="s">
        <v>22</v>
      </c>
    </row>
    <row r="67" spans="1:22" hidden="1" x14ac:dyDescent="0.3">
      <c r="A67" s="10">
        <v>46078</v>
      </c>
      <c r="B67" s="11" t="s">
        <v>81</v>
      </c>
      <c r="C67" s="11" t="s">
        <v>22</v>
      </c>
      <c r="D67" s="11" t="s">
        <v>82</v>
      </c>
      <c r="E67" s="11" t="s">
        <v>54</v>
      </c>
      <c r="F67" s="11" t="s">
        <v>30</v>
      </c>
      <c r="G67" s="12">
        <v>5</v>
      </c>
      <c r="H67" s="13">
        <v>142.53</v>
      </c>
      <c r="I67" s="14">
        <f>vendas2026[[#This Row],[Qtde]]*vendas2026[[#This Row],[VlrUnitário]]</f>
        <v>712.65</v>
      </c>
      <c r="J67" s="23">
        <f>vendas2026[[#This Row],[VlrTotal]]</f>
        <v>712.65</v>
      </c>
      <c r="K67" s="15">
        <v>1</v>
      </c>
      <c r="L67" s="15">
        <v>0</v>
      </c>
      <c r="M67" s="14" t="s">
        <v>46</v>
      </c>
      <c r="N67" s="23">
        <f>vendas2026[[#This Row],[VlrTotal]]*vendas2026[[#This Row],[%Comissão]]</f>
        <v>712.65</v>
      </c>
      <c r="O67" s="14">
        <f>vendas2026[[#This Row],[VlrTotal]]*vendas2026[[#This Row],[%ComissãoSupervisor]]</f>
        <v>0</v>
      </c>
      <c r="P67" s="11" t="s">
        <v>27</v>
      </c>
      <c r="Q67" s="11" t="s">
        <v>27</v>
      </c>
      <c r="R67" s="11"/>
      <c r="S67" s="11">
        <v>1</v>
      </c>
      <c r="T67" s="11"/>
      <c r="U67" s="11" t="s">
        <v>28</v>
      </c>
      <c r="V67" s="16" t="s">
        <v>22</v>
      </c>
    </row>
    <row r="68" spans="1:22" hidden="1" x14ac:dyDescent="0.3">
      <c r="A68" s="10">
        <v>46078</v>
      </c>
      <c r="B68" s="11" t="s">
        <v>81</v>
      </c>
      <c r="C68" s="11" t="s">
        <v>22</v>
      </c>
      <c r="D68" s="11" t="s">
        <v>82</v>
      </c>
      <c r="E68" s="11" t="s">
        <v>83</v>
      </c>
      <c r="F68" s="11" t="s">
        <v>30</v>
      </c>
      <c r="G68" s="12">
        <v>1</v>
      </c>
      <c r="H68" s="13">
        <v>689</v>
      </c>
      <c r="I68" s="14">
        <f>vendas2026[[#This Row],[Qtde]]*vendas2026[[#This Row],[VlrUnitário]]</f>
        <v>689</v>
      </c>
      <c r="J68" s="23">
        <f>vendas2026[[#This Row],[VlrTotal]]</f>
        <v>689</v>
      </c>
      <c r="K68" s="15">
        <v>1</v>
      </c>
      <c r="L68" s="15">
        <v>0</v>
      </c>
      <c r="M68" s="14" t="s">
        <v>46</v>
      </c>
      <c r="N68" s="23">
        <f>vendas2026[[#This Row],[VlrTotal]]*vendas2026[[#This Row],[%Comissão]]</f>
        <v>689</v>
      </c>
      <c r="O68" s="14">
        <f>vendas2026[[#This Row],[VlrTotal]]*vendas2026[[#This Row],[%ComissãoSupervisor]]</f>
        <v>0</v>
      </c>
      <c r="P68" s="11" t="s">
        <v>27</v>
      </c>
      <c r="Q68" s="11" t="s">
        <v>27</v>
      </c>
      <c r="R68" s="11"/>
      <c r="S68" s="11">
        <v>1</v>
      </c>
      <c r="T68" s="11"/>
      <c r="U68" s="11" t="s">
        <v>28</v>
      </c>
      <c r="V68" s="16" t="s">
        <v>22</v>
      </c>
    </row>
    <row r="69" spans="1:22" hidden="1" x14ac:dyDescent="0.3">
      <c r="A69" s="10">
        <v>46078</v>
      </c>
      <c r="B69" s="11" t="s">
        <v>81</v>
      </c>
      <c r="C69" s="11" t="s">
        <v>22</v>
      </c>
      <c r="D69" s="11" t="s">
        <v>82</v>
      </c>
      <c r="E69" s="11" t="s">
        <v>84</v>
      </c>
      <c r="F69" s="11" t="s">
        <v>30</v>
      </c>
      <c r="G69" s="12">
        <v>1</v>
      </c>
      <c r="H69" s="13">
        <v>712</v>
      </c>
      <c r="I69" s="14">
        <f>vendas2026[[#This Row],[Qtde]]*vendas2026[[#This Row],[VlrUnitário]]</f>
        <v>712</v>
      </c>
      <c r="J69" s="23">
        <f>vendas2026[[#This Row],[VlrTotal]]</f>
        <v>712</v>
      </c>
      <c r="K69" s="15">
        <v>1</v>
      </c>
      <c r="L69" s="15">
        <v>0</v>
      </c>
      <c r="M69" s="14" t="s">
        <v>46</v>
      </c>
      <c r="N69" s="23">
        <f>vendas2026[[#This Row],[VlrTotal]]*vendas2026[[#This Row],[%Comissão]]</f>
        <v>712</v>
      </c>
      <c r="O69" s="14">
        <f>vendas2026[[#This Row],[VlrTotal]]*vendas2026[[#This Row],[%ComissãoSupervisor]]</f>
        <v>0</v>
      </c>
      <c r="P69" s="11" t="s">
        <v>27</v>
      </c>
      <c r="Q69" s="11" t="s">
        <v>27</v>
      </c>
      <c r="R69" s="11"/>
      <c r="S69" s="11">
        <v>1</v>
      </c>
      <c r="T69" s="11"/>
      <c r="U69" s="11" t="s">
        <v>28</v>
      </c>
      <c r="V69" s="16" t="s">
        <v>22</v>
      </c>
    </row>
    <row r="70" spans="1:22" hidden="1" x14ac:dyDescent="0.3">
      <c r="A70" s="10">
        <v>46078</v>
      </c>
      <c r="B70" s="11" t="s">
        <v>85</v>
      </c>
      <c r="C70" s="11" t="s">
        <v>22</v>
      </c>
      <c r="D70" s="11" t="s">
        <v>86</v>
      </c>
      <c r="E70" s="11" t="s">
        <v>47</v>
      </c>
      <c r="F70" s="11" t="s">
        <v>25</v>
      </c>
      <c r="G70" s="12">
        <v>196</v>
      </c>
      <c r="H70" s="13">
        <v>200</v>
      </c>
      <c r="I70" s="14">
        <f>vendas2026[[#This Row],[Qtde]]*vendas2026[[#This Row],[VlrUnitário]]</f>
        <v>39200</v>
      </c>
      <c r="J70" s="23">
        <f>vendas2026[[#This Row],[VlrTotal]]</f>
        <v>39200</v>
      </c>
      <c r="K70" s="15">
        <v>7.0000000000000007E-2</v>
      </c>
      <c r="L70" s="15">
        <v>0</v>
      </c>
      <c r="M70" s="14" t="s">
        <v>46</v>
      </c>
      <c r="N70" s="23">
        <f>vendas2026[[#This Row],[VlrTotal]]*vendas2026[[#This Row],[%Comissão]]</f>
        <v>2744.0000000000005</v>
      </c>
      <c r="O70" s="14">
        <f>vendas2026[[#This Row],[VlrTotal]]*vendas2026[[#This Row],[%ComissãoSupervisor]]</f>
        <v>0</v>
      </c>
      <c r="P70" s="11" t="s">
        <v>27</v>
      </c>
      <c r="Q70" s="11" t="s">
        <v>27</v>
      </c>
      <c r="R70" s="11"/>
      <c r="S70" s="11">
        <v>6</v>
      </c>
      <c r="T70" s="11"/>
      <c r="U70" s="11" t="s">
        <v>28</v>
      </c>
      <c r="V70" s="16" t="s">
        <v>22</v>
      </c>
    </row>
    <row r="71" spans="1:22" hidden="1" x14ac:dyDescent="0.3">
      <c r="A71" s="10">
        <v>46078</v>
      </c>
      <c r="B71" s="11" t="s">
        <v>85</v>
      </c>
      <c r="C71" s="11" t="s">
        <v>22</v>
      </c>
      <c r="D71" s="11" t="s">
        <v>86</v>
      </c>
      <c r="E71" s="11" t="s">
        <v>47</v>
      </c>
      <c r="F71" s="11" t="s">
        <v>41</v>
      </c>
      <c r="G71" s="12">
        <v>1</v>
      </c>
      <c r="H71" s="13">
        <v>35502.9</v>
      </c>
      <c r="I71" s="14">
        <f>vendas2026[[#This Row],[Qtde]]*vendas2026[[#This Row],[VlrUnitário]]</f>
        <v>35502.9</v>
      </c>
      <c r="J71" s="23">
        <f>vendas2026[[#This Row],[VlrTotal]]</f>
        <v>35502.9</v>
      </c>
      <c r="K71" s="15">
        <v>0.25</v>
      </c>
      <c r="L71" s="15">
        <v>0</v>
      </c>
      <c r="M71" s="14" t="s">
        <v>46</v>
      </c>
      <c r="N71" s="23">
        <f>vendas2026[[#This Row],[VlrTotal]]*vendas2026[[#This Row],[%Comissão]]</f>
        <v>8875.7250000000004</v>
      </c>
      <c r="O71" s="14">
        <f>vendas2026[[#This Row],[VlrTotal]]*vendas2026[[#This Row],[%ComissãoSupervisor]]</f>
        <v>0</v>
      </c>
      <c r="P71" s="11" t="s">
        <v>27</v>
      </c>
      <c r="Q71" s="11" t="s">
        <v>27</v>
      </c>
      <c r="R71" s="11"/>
      <c r="S71" s="11">
        <v>6</v>
      </c>
      <c r="T71" s="11"/>
      <c r="U71" s="11" t="s">
        <v>28</v>
      </c>
      <c r="V71" s="16" t="s">
        <v>22</v>
      </c>
    </row>
    <row r="72" spans="1:22" hidden="1" x14ac:dyDescent="0.3">
      <c r="A72" s="10">
        <v>46078</v>
      </c>
      <c r="B72" s="11" t="s">
        <v>85</v>
      </c>
      <c r="C72" s="11" t="s">
        <v>22</v>
      </c>
      <c r="D72" s="11" t="s">
        <v>86</v>
      </c>
      <c r="E72" s="11" t="s">
        <v>47</v>
      </c>
      <c r="F72" s="11" t="s">
        <v>30</v>
      </c>
      <c r="G72" s="12">
        <v>12</v>
      </c>
      <c r="H72" s="13">
        <v>275.62</v>
      </c>
      <c r="I72" s="14">
        <f>vendas2026[[#This Row],[Qtde]]*vendas2026[[#This Row],[VlrUnitário]]</f>
        <v>3307.44</v>
      </c>
      <c r="J72" s="23">
        <f>vendas2026[[#This Row],[VlrTotal]]</f>
        <v>3307.44</v>
      </c>
      <c r="K72" s="15">
        <v>1</v>
      </c>
      <c r="L72" s="15">
        <v>0</v>
      </c>
      <c r="M72" s="14" t="s">
        <v>46</v>
      </c>
      <c r="N72" s="23">
        <f>vendas2026[[#This Row],[VlrTotal]]*vendas2026[[#This Row],[%Comissão]]</f>
        <v>3307.44</v>
      </c>
      <c r="O72" s="14">
        <f>vendas2026[[#This Row],[VlrTotal]]*vendas2026[[#This Row],[%ComissãoSupervisor]]</f>
        <v>0</v>
      </c>
      <c r="P72" s="11" t="s">
        <v>27</v>
      </c>
      <c r="Q72" s="11" t="s">
        <v>27</v>
      </c>
      <c r="R72" s="11"/>
      <c r="S72" s="11">
        <v>1</v>
      </c>
      <c r="T72" s="11"/>
      <c r="U72" s="11" t="s">
        <v>28</v>
      </c>
      <c r="V72" s="16" t="s">
        <v>22</v>
      </c>
    </row>
    <row r="73" spans="1:22" hidden="1" x14ac:dyDescent="0.3">
      <c r="A73" s="10">
        <v>46078</v>
      </c>
      <c r="B73" s="11" t="s">
        <v>85</v>
      </c>
      <c r="C73" s="11" t="s">
        <v>22</v>
      </c>
      <c r="D73" s="11" t="s">
        <v>86</v>
      </c>
      <c r="E73" s="11" t="s">
        <v>63</v>
      </c>
      <c r="F73" s="11" t="s">
        <v>30</v>
      </c>
      <c r="G73" s="12">
        <v>40</v>
      </c>
      <c r="H73" s="13">
        <v>115</v>
      </c>
      <c r="I73" s="14">
        <f>vendas2026[[#This Row],[Qtde]]*vendas2026[[#This Row],[VlrUnitário]]</f>
        <v>4600</v>
      </c>
      <c r="J73" s="23">
        <f>vendas2026[[#This Row],[VlrTotal]]</f>
        <v>4600</v>
      </c>
      <c r="K73" s="15">
        <v>1</v>
      </c>
      <c r="L73" s="15">
        <v>0</v>
      </c>
      <c r="M73" s="14" t="s">
        <v>46</v>
      </c>
      <c r="N73" s="23">
        <f>vendas2026[[#This Row],[VlrTotal]]*vendas2026[[#This Row],[%Comissão]]</f>
        <v>4600</v>
      </c>
      <c r="O73" s="14">
        <f>vendas2026[[#This Row],[VlrTotal]]*vendas2026[[#This Row],[%ComissãoSupervisor]]</f>
        <v>0</v>
      </c>
      <c r="P73" s="11" t="s">
        <v>27</v>
      </c>
      <c r="Q73" s="11" t="s">
        <v>27</v>
      </c>
      <c r="R73" s="11"/>
      <c r="S73" s="11">
        <v>1</v>
      </c>
      <c r="T73" s="11"/>
      <c r="U73" s="11" t="s">
        <v>28</v>
      </c>
      <c r="V73" s="16" t="s">
        <v>22</v>
      </c>
    </row>
    <row r="74" spans="1:22" hidden="1" x14ac:dyDescent="0.3">
      <c r="A74" s="10">
        <v>46078</v>
      </c>
      <c r="B74" s="11" t="s">
        <v>85</v>
      </c>
      <c r="C74" s="11" t="s">
        <v>22</v>
      </c>
      <c r="D74" s="11" t="s">
        <v>86</v>
      </c>
      <c r="E74" s="11" t="s">
        <v>52</v>
      </c>
      <c r="F74" s="11" t="s">
        <v>30</v>
      </c>
      <c r="G74" s="12">
        <v>1</v>
      </c>
      <c r="H74" s="13">
        <v>1080</v>
      </c>
      <c r="I74" s="14">
        <f>vendas2026[[#This Row],[Qtde]]*vendas2026[[#This Row],[VlrUnitário]]</f>
        <v>1080</v>
      </c>
      <c r="J74" s="23">
        <f>vendas2026[[#This Row],[VlrTotal]]</f>
        <v>1080</v>
      </c>
      <c r="K74" s="15">
        <v>1</v>
      </c>
      <c r="L74" s="15">
        <v>0</v>
      </c>
      <c r="M74" s="14" t="s">
        <v>46</v>
      </c>
      <c r="N74" s="23">
        <f>vendas2026[[#This Row],[VlrTotal]]*vendas2026[[#This Row],[%Comissão]]</f>
        <v>1080</v>
      </c>
      <c r="O74" s="14">
        <f>vendas2026[[#This Row],[VlrTotal]]*vendas2026[[#This Row],[%ComissãoSupervisor]]</f>
        <v>0</v>
      </c>
      <c r="P74" s="11" t="s">
        <v>27</v>
      </c>
      <c r="Q74" s="11" t="s">
        <v>27</v>
      </c>
      <c r="R74" s="11"/>
      <c r="S74" s="11">
        <v>1</v>
      </c>
      <c r="T74" s="11"/>
      <c r="U74" s="11" t="s">
        <v>28</v>
      </c>
      <c r="V74" s="16" t="s">
        <v>22</v>
      </c>
    </row>
    <row r="75" spans="1:22" hidden="1" x14ac:dyDescent="0.3">
      <c r="A75" s="10">
        <v>46078</v>
      </c>
      <c r="B75" s="11" t="s">
        <v>85</v>
      </c>
      <c r="C75" s="11" t="s">
        <v>22</v>
      </c>
      <c r="D75" s="11" t="s">
        <v>86</v>
      </c>
      <c r="E75" s="11" t="s">
        <v>83</v>
      </c>
      <c r="F75" s="11" t="s">
        <v>30</v>
      </c>
      <c r="G75" s="12">
        <v>1</v>
      </c>
      <c r="H75" s="13">
        <v>689</v>
      </c>
      <c r="I75" s="14">
        <f>vendas2026[[#This Row],[Qtde]]*vendas2026[[#This Row],[VlrUnitário]]</f>
        <v>689</v>
      </c>
      <c r="J75" s="23">
        <f>vendas2026[[#This Row],[VlrTotal]]</f>
        <v>689</v>
      </c>
      <c r="K75" s="15">
        <v>1</v>
      </c>
      <c r="L75" s="15">
        <v>0</v>
      </c>
      <c r="M75" s="14" t="s">
        <v>46</v>
      </c>
      <c r="N75" s="23">
        <f>vendas2026[[#This Row],[VlrTotal]]*vendas2026[[#This Row],[%Comissão]]</f>
        <v>689</v>
      </c>
      <c r="O75" s="14">
        <f>vendas2026[[#This Row],[VlrTotal]]*vendas2026[[#This Row],[%ComissãoSupervisor]]</f>
        <v>0</v>
      </c>
      <c r="P75" s="11" t="s">
        <v>27</v>
      </c>
      <c r="Q75" s="11" t="s">
        <v>27</v>
      </c>
      <c r="R75" s="11"/>
      <c r="S75" s="11">
        <v>1</v>
      </c>
      <c r="T75" s="11"/>
      <c r="U75" s="11" t="s">
        <v>28</v>
      </c>
      <c r="V75" s="16" t="s">
        <v>22</v>
      </c>
    </row>
    <row r="76" spans="1:22" hidden="1" x14ac:dyDescent="0.3">
      <c r="A76" s="10">
        <v>46078</v>
      </c>
      <c r="B76" s="11" t="s">
        <v>85</v>
      </c>
      <c r="C76" s="11" t="s">
        <v>22</v>
      </c>
      <c r="D76" s="11" t="s">
        <v>86</v>
      </c>
      <c r="E76" s="11" t="s">
        <v>84</v>
      </c>
      <c r="F76" s="11" t="s">
        <v>30</v>
      </c>
      <c r="G76" s="12">
        <v>1</v>
      </c>
      <c r="H76" s="13">
        <v>712</v>
      </c>
      <c r="I76" s="14">
        <f>vendas2026[[#This Row],[Qtde]]*vendas2026[[#This Row],[VlrUnitário]]</f>
        <v>712</v>
      </c>
      <c r="J76" s="23">
        <f>vendas2026[[#This Row],[VlrTotal]]</f>
        <v>712</v>
      </c>
      <c r="K76" s="15">
        <v>1</v>
      </c>
      <c r="L76" s="15">
        <v>0</v>
      </c>
      <c r="M76" s="14" t="s">
        <v>46</v>
      </c>
      <c r="N76" s="23">
        <f>vendas2026[[#This Row],[VlrTotal]]*vendas2026[[#This Row],[%Comissão]]</f>
        <v>712</v>
      </c>
      <c r="O76" s="14">
        <f>vendas2026[[#This Row],[VlrTotal]]*vendas2026[[#This Row],[%ComissãoSupervisor]]</f>
        <v>0</v>
      </c>
      <c r="P76" s="11" t="s">
        <v>27</v>
      </c>
      <c r="Q76" s="11" t="s">
        <v>27</v>
      </c>
      <c r="R76" s="11"/>
      <c r="S76" s="11">
        <v>1</v>
      </c>
      <c r="T76" s="11"/>
      <c r="U76" s="11" t="s">
        <v>28</v>
      </c>
      <c r="V76" s="16" t="s">
        <v>22</v>
      </c>
    </row>
    <row r="77" spans="1:22" hidden="1" x14ac:dyDescent="0.3">
      <c r="A77" s="10">
        <v>46078</v>
      </c>
      <c r="B77" s="11">
        <v>138641</v>
      </c>
      <c r="C77" s="11" t="s">
        <v>22</v>
      </c>
      <c r="D77" s="11" t="s">
        <v>87</v>
      </c>
      <c r="E77" s="11" t="s">
        <v>47</v>
      </c>
      <c r="F77" s="11" t="s">
        <v>25</v>
      </c>
      <c r="G77" s="12">
        <v>316</v>
      </c>
      <c r="H77" s="13">
        <v>200</v>
      </c>
      <c r="I77" s="14">
        <f>vendas2026[[#This Row],[Qtde]]*vendas2026[[#This Row],[VlrUnitário]]</f>
        <v>63200</v>
      </c>
      <c r="J77" s="23">
        <f>vendas2026[[#This Row],[VlrTotal]]</f>
        <v>63200</v>
      </c>
      <c r="K77" s="15">
        <v>7.0000000000000007E-2</v>
      </c>
      <c r="L77" s="15">
        <v>0</v>
      </c>
      <c r="M77" s="14" t="s">
        <v>46</v>
      </c>
      <c r="N77" s="23">
        <f>vendas2026[[#This Row],[VlrTotal]]*vendas2026[[#This Row],[%Comissão]]</f>
        <v>4424</v>
      </c>
      <c r="O77" s="14">
        <f>vendas2026[[#This Row],[VlrTotal]]*vendas2026[[#This Row],[%ComissãoSupervisor]]</f>
        <v>0</v>
      </c>
      <c r="P77" s="11" t="s">
        <v>27</v>
      </c>
      <c r="Q77" s="11" t="s">
        <v>27</v>
      </c>
      <c r="R77" s="11"/>
      <c r="S77" s="11">
        <v>6</v>
      </c>
      <c r="T77" s="11"/>
      <c r="U77" s="11" t="s">
        <v>28</v>
      </c>
      <c r="V77" s="16" t="s">
        <v>22</v>
      </c>
    </row>
    <row r="78" spans="1:22" hidden="1" x14ac:dyDescent="0.3">
      <c r="A78" s="10">
        <v>46078</v>
      </c>
      <c r="B78" s="11">
        <v>138641</v>
      </c>
      <c r="C78" s="11" t="s">
        <v>22</v>
      </c>
      <c r="D78" s="11" t="s">
        <v>87</v>
      </c>
      <c r="E78" s="11" t="s">
        <v>47</v>
      </c>
      <c r="F78" s="11" t="s">
        <v>41</v>
      </c>
      <c r="G78" s="12">
        <v>1</v>
      </c>
      <c r="H78" s="13">
        <v>35502.9</v>
      </c>
      <c r="I78" s="14">
        <f>vendas2026[[#This Row],[Qtde]]*vendas2026[[#This Row],[VlrUnitário]]</f>
        <v>35502.9</v>
      </c>
      <c r="J78" s="23">
        <f>vendas2026[[#This Row],[VlrTotal]]</f>
        <v>35502.9</v>
      </c>
      <c r="K78" s="15">
        <v>0.25</v>
      </c>
      <c r="L78" s="15">
        <v>0</v>
      </c>
      <c r="M78" s="14" t="s">
        <v>46</v>
      </c>
      <c r="N78" s="23">
        <f>vendas2026[[#This Row],[VlrTotal]]*vendas2026[[#This Row],[%Comissão]]</f>
        <v>8875.7250000000004</v>
      </c>
      <c r="O78" s="14">
        <f>vendas2026[[#This Row],[VlrTotal]]*vendas2026[[#This Row],[%ComissãoSupervisor]]</f>
        <v>0</v>
      </c>
      <c r="P78" s="11" t="s">
        <v>27</v>
      </c>
      <c r="Q78" s="11" t="s">
        <v>27</v>
      </c>
      <c r="R78" s="11"/>
      <c r="S78" s="11">
        <v>6</v>
      </c>
      <c r="T78" s="11"/>
      <c r="U78" s="11" t="s">
        <v>28</v>
      </c>
      <c r="V78" s="16" t="s">
        <v>22</v>
      </c>
    </row>
    <row r="79" spans="1:22" hidden="1" x14ac:dyDescent="0.3">
      <c r="A79" s="10">
        <v>46078</v>
      </c>
      <c r="B79" s="11">
        <v>138641</v>
      </c>
      <c r="C79" s="11" t="s">
        <v>22</v>
      </c>
      <c r="D79" s="11" t="s">
        <v>87</v>
      </c>
      <c r="E79" s="11" t="s">
        <v>47</v>
      </c>
      <c r="F79" s="11" t="s">
        <v>30</v>
      </c>
      <c r="G79" s="12">
        <v>30</v>
      </c>
      <c r="H79" s="13">
        <v>275.62</v>
      </c>
      <c r="I79" s="14">
        <f>vendas2026[[#This Row],[Qtde]]*vendas2026[[#This Row],[VlrUnitário]]</f>
        <v>8268.6</v>
      </c>
      <c r="J79" s="23">
        <f>vendas2026[[#This Row],[VlrTotal]]</f>
        <v>8268.6</v>
      </c>
      <c r="K79" s="15">
        <v>1</v>
      </c>
      <c r="L79" s="15">
        <v>0</v>
      </c>
      <c r="M79" s="14" t="s">
        <v>46</v>
      </c>
      <c r="N79" s="23">
        <f>vendas2026[[#This Row],[VlrTotal]]*vendas2026[[#This Row],[%Comissão]]</f>
        <v>8268.6</v>
      </c>
      <c r="O79" s="14">
        <f>vendas2026[[#This Row],[VlrTotal]]*vendas2026[[#This Row],[%ComissãoSupervisor]]</f>
        <v>0</v>
      </c>
      <c r="P79" s="11" t="s">
        <v>27</v>
      </c>
      <c r="Q79" s="11" t="s">
        <v>27</v>
      </c>
      <c r="R79" s="11"/>
      <c r="S79" s="11">
        <v>1</v>
      </c>
      <c r="T79" s="11"/>
      <c r="U79" s="11" t="s">
        <v>28</v>
      </c>
      <c r="V79" s="16" t="s">
        <v>22</v>
      </c>
    </row>
    <row r="80" spans="1:22" hidden="1" x14ac:dyDescent="0.3">
      <c r="A80" s="10">
        <v>46078</v>
      </c>
      <c r="B80" s="11">
        <v>138641</v>
      </c>
      <c r="C80" s="11" t="s">
        <v>22</v>
      </c>
      <c r="D80" s="11" t="s">
        <v>87</v>
      </c>
      <c r="E80" s="11" t="s">
        <v>63</v>
      </c>
      <c r="F80" s="11" t="s">
        <v>30</v>
      </c>
      <c r="G80" s="12">
        <v>60</v>
      </c>
      <c r="H80" s="13">
        <v>105</v>
      </c>
      <c r="I80" s="14">
        <f>vendas2026[[#This Row],[Qtde]]*vendas2026[[#This Row],[VlrUnitário]]</f>
        <v>6300</v>
      </c>
      <c r="J80" s="23">
        <f>vendas2026[[#This Row],[VlrTotal]]</f>
        <v>6300</v>
      </c>
      <c r="K80" s="15">
        <v>1</v>
      </c>
      <c r="L80" s="15">
        <v>0</v>
      </c>
      <c r="M80" s="14" t="s">
        <v>46</v>
      </c>
      <c r="N80" s="23">
        <f>vendas2026[[#This Row],[VlrTotal]]*vendas2026[[#This Row],[%Comissão]]</f>
        <v>6300</v>
      </c>
      <c r="O80" s="14">
        <f>vendas2026[[#This Row],[VlrTotal]]*vendas2026[[#This Row],[%ComissãoSupervisor]]</f>
        <v>0</v>
      </c>
      <c r="P80" s="11" t="s">
        <v>27</v>
      </c>
      <c r="Q80" s="11" t="s">
        <v>27</v>
      </c>
      <c r="R80" s="11"/>
      <c r="S80" s="11">
        <v>1</v>
      </c>
      <c r="T80" s="11"/>
      <c r="U80" s="11" t="s">
        <v>28</v>
      </c>
      <c r="V80" s="16" t="s">
        <v>22</v>
      </c>
    </row>
    <row r="81" spans="1:22" hidden="1" x14ac:dyDescent="0.3">
      <c r="A81" s="10">
        <v>46078</v>
      </c>
      <c r="B81" s="11">
        <v>138641</v>
      </c>
      <c r="C81" s="11" t="s">
        <v>22</v>
      </c>
      <c r="D81" s="11" t="s">
        <v>87</v>
      </c>
      <c r="E81" s="11" t="s">
        <v>48</v>
      </c>
      <c r="F81" s="11" t="s">
        <v>30</v>
      </c>
      <c r="G81" s="12">
        <v>1</v>
      </c>
      <c r="H81" s="13">
        <v>356.4</v>
      </c>
      <c r="I81" s="14">
        <f>vendas2026[[#This Row],[Qtde]]*vendas2026[[#This Row],[VlrUnitário]]</f>
        <v>356.4</v>
      </c>
      <c r="J81" s="23">
        <f>vendas2026[[#This Row],[VlrTotal]]</f>
        <v>356.4</v>
      </c>
      <c r="K81" s="15">
        <v>1</v>
      </c>
      <c r="L81" s="15">
        <v>0</v>
      </c>
      <c r="M81" s="14" t="s">
        <v>46</v>
      </c>
      <c r="N81" s="23">
        <f>vendas2026[[#This Row],[VlrTotal]]*vendas2026[[#This Row],[%Comissão]]</f>
        <v>356.4</v>
      </c>
      <c r="O81" s="14">
        <f>vendas2026[[#This Row],[VlrTotal]]*vendas2026[[#This Row],[%ComissãoSupervisor]]</f>
        <v>0</v>
      </c>
      <c r="P81" s="11" t="s">
        <v>27</v>
      </c>
      <c r="Q81" s="11" t="s">
        <v>27</v>
      </c>
      <c r="R81" s="11"/>
      <c r="S81" s="11">
        <v>1</v>
      </c>
      <c r="T81" s="11"/>
      <c r="U81" s="11" t="s">
        <v>28</v>
      </c>
      <c r="V81" s="16" t="s">
        <v>22</v>
      </c>
    </row>
    <row r="82" spans="1:22" hidden="1" x14ac:dyDescent="0.3">
      <c r="A82" s="10">
        <v>46078</v>
      </c>
      <c r="B82" s="11">
        <v>138641</v>
      </c>
      <c r="C82" s="11" t="s">
        <v>22</v>
      </c>
      <c r="D82" s="11" t="s">
        <v>87</v>
      </c>
      <c r="E82" s="11" t="s">
        <v>52</v>
      </c>
      <c r="F82" s="11" t="s">
        <v>30</v>
      </c>
      <c r="G82" s="12">
        <v>1</v>
      </c>
      <c r="H82" s="13">
        <v>1080</v>
      </c>
      <c r="I82" s="14">
        <f>vendas2026[[#This Row],[Qtde]]*vendas2026[[#This Row],[VlrUnitário]]</f>
        <v>1080</v>
      </c>
      <c r="J82" s="23">
        <f>vendas2026[[#This Row],[VlrTotal]]</f>
        <v>1080</v>
      </c>
      <c r="K82" s="15">
        <v>1</v>
      </c>
      <c r="L82" s="15">
        <v>0</v>
      </c>
      <c r="M82" s="14" t="s">
        <v>46</v>
      </c>
      <c r="N82" s="23">
        <f>vendas2026[[#This Row],[VlrTotal]]*vendas2026[[#This Row],[%Comissão]]</f>
        <v>1080</v>
      </c>
      <c r="O82" s="14">
        <f>vendas2026[[#This Row],[VlrTotal]]*vendas2026[[#This Row],[%ComissãoSupervisor]]</f>
        <v>0</v>
      </c>
      <c r="P82" s="11" t="s">
        <v>27</v>
      </c>
      <c r="Q82" s="11" t="s">
        <v>27</v>
      </c>
      <c r="R82" s="11"/>
      <c r="S82" s="11">
        <v>1</v>
      </c>
      <c r="T82" s="11"/>
      <c r="U82" s="11" t="s">
        <v>28</v>
      </c>
      <c r="V82" s="16" t="s">
        <v>22</v>
      </c>
    </row>
    <row r="83" spans="1:22" hidden="1" x14ac:dyDescent="0.3">
      <c r="A83" s="10">
        <v>46078</v>
      </c>
      <c r="B83" s="11">
        <v>138641</v>
      </c>
      <c r="C83" s="11" t="s">
        <v>22</v>
      </c>
      <c r="D83" s="11" t="s">
        <v>87</v>
      </c>
      <c r="E83" s="11" t="s">
        <v>54</v>
      </c>
      <c r="F83" s="11" t="s">
        <v>30</v>
      </c>
      <c r="G83" s="12">
        <v>5</v>
      </c>
      <c r="H83" s="13">
        <v>142.56</v>
      </c>
      <c r="I83" s="14">
        <f>vendas2026[[#This Row],[Qtde]]*vendas2026[[#This Row],[VlrUnitário]]</f>
        <v>712.8</v>
      </c>
      <c r="J83" s="23">
        <f>vendas2026[[#This Row],[VlrTotal]]</f>
        <v>712.8</v>
      </c>
      <c r="K83" s="15">
        <v>1</v>
      </c>
      <c r="L83" s="15">
        <v>0</v>
      </c>
      <c r="M83" s="14" t="s">
        <v>46</v>
      </c>
      <c r="N83" s="23">
        <f>vendas2026[[#This Row],[VlrTotal]]*vendas2026[[#This Row],[%Comissão]]</f>
        <v>712.8</v>
      </c>
      <c r="O83" s="14">
        <f>vendas2026[[#This Row],[VlrTotal]]*vendas2026[[#This Row],[%ComissãoSupervisor]]</f>
        <v>0</v>
      </c>
      <c r="P83" s="11" t="s">
        <v>27</v>
      </c>
      <c r="Q83" s="11" t="s">
        <v>27</v>
      </c>
      <c r="R83" s="11"/>
      <c r="S83" s="11">
        <v>1</v>
      </c>
      <c r="T83" s="11"/>
      <c r="U83" s="11" t="s">
        <v>28</v>
      </c>
      <c r="V83" s="16" t="s">
        <v>22</v>
      </c>
    </row>
    <row r="84" spans="1:22" hidden="1" x14ac:dyDescent="0.3">
      <c r="A84" s="10">
        <v>46078</v>
      </c>
      <c r="B84" s="11">
        <v>138641</v>
      </c>
      <c r="C84" s="11" t="s">
        <v>22</v>
      </c>
      <c r="D84" s="11" t="s">
        <v>87</v>
      </c>
      <c r="E84" s="11" t="s">
        <v>83</v>
      </c>
      <c r="F84" s="11" t="s">
        <v>30</v>
      </c>
      <c r="G84" s="12">
        <v>1</v>
      </c>
      <c r="H84" s="13">
        <v>689</v>
      </c>
      <c r="I84" s="14">
        <f>vendas2026[[#This Row],[Qtde]]*vendas2026[[#This Row],[VlrUnitário]]</f>
        <v>689</v>
      </c>
      <c r="J84" s="23">
        <f>vendas2026[[#This Row],[VlrTotal]]</f>
        <v>689</v>
      </c>
      <c r="K84" s="15">
        <v>1</v>
      </c>
      <c r="L84" s="15">
        <v>0</v>
      </c>
      <c r="M84" s="14" t="s">
        <v>46</v>
      </c>
      <c r="N84" s="23">
        <f>vendas2026[[#This Row],[VlrTotal]]*vendas2026[[#This Row],[%Comissão]]</f>
        <v>689</v>
      </c>
      <c r="O84" s="14">
        <f>vendas2026[[#This Row],[VlrTotal]]*vendas2026[[#This Row],[%ComissãoSupervisor]]</f>
        <v>0</v>
      </c>
      <c r="P84" s="11" t="s">
        <v>27</v>
      </c>
      <c r="Q84" s="11" t="s">
        <v>27</v>
      </c>
      <c r="R84" s="11"/>
      <c r="S84" s="11">
        <v>1</v>
      </c>
      <c r="T84" s="11"/>
      <c r="U84" s="11" t="s">
        <v>28</v>
      </c>
      <c r="V84" s="16" t="s">
        <v>22</v>
      </c>
    </row>
    <row r="85" spans="1:22" hidden="1" x14ac:dyDescent="0.3">
      <c r="A85" s="10">
        <v>46078</v>
      </c>
      <c r="B85" s="11">
        <v>138641</v>
      </c>
      <c r="C85" s="11" t="s">
        <v>22</v>
      </c>
      <c r="D85" s="11" t="s">
        <v>87</v>
      </c>
      <c r="E85" s="11" t="s">
        <v>84</v>
      </c>
      <c r="F85" s="11" t="s">
        <v>30</v>
      </c>
      <c r="G85" s="12">
        <v>1</v>
      </c>
      <c r="H85" s="13">
        <v>712</v>
      </c>
      <c r="I85" s="14">
        <f>vendas2026[[#This Row],[Qtde]]*vendas2026[[#This Row],[VlrUnitário]]</f>
        <v>712</v>
      </c>
      <c r="J85" s="23">
        <f>vendas2026[[#This Row],[VlrTotal]]</f>
        <v>712</v>
      </c>
      <c r="K85" s="15">
        <v>1</v>
      </c>
      <c r="L85" s="15">
        <v>0</v>
      </c>
      <c r="M85" s="14" t="s">
        <v>46</v>
      </c>
      <c r="N85" s="23">
        <f>vendas2026[[#This Row],[VlrTotal]]*vendas2026[[#This Row],[%Comissão]]</f>
        <v>712</v>
      </c>
      <c r="O85" s="14">
        <f>vendas2026[[#This Row],[VlrTotal]]*vendas2026[[#This Row],[%ComissãoSupervisor]]</f>
        <v>0</v>
      </c>
      <c r="P85" s="11" t="s">
        <v>27</v>
      </c>
      <c r="Q85" s="11" t="s">
        <v>27</v>
      </c>
      <c r="R85" s="11"/>
      <c r="S85" s="11">
        <v>1</v>
      </c>
      <c r="T85" s="11"/>
      <c r="U85" s="11" t="s">
        <v>28</v>
      </c>
      <c r="V85" s="16" t="s">
        <v>22</v>
      </c>
    </row>
    <row r="86" spans="1:22" hidden="1" x14ac:dyDescent="0.3">
      <c r="A86" s="10">
        <v>46078</v>
      </c>
      <c r="B86" s="11">
        <v>138643</v>
      </c>
      <c r="C86" s="11" t="s">
        <v>22</v>
      </c>
      <c r="D86" s="11" t="s">
        <v>88</v>
      </c>
      <c r="E86" s="11" t="s">
        <v>47</v>
      </c>
      <c r="F86" s="11" t="s">
        <v>25</v>
      </c>
      <c r="G86" s="12">
        <v>196</v>
      </c>
      <c r="H86" s="13">
        <v>200</v>
      </c>
      <c r="I86" s="14">
        <f>vendas2026[[#This Row],[Qtde]]*vendas2026[[#This Row],[VlrUnitário]]</f>
        <v>39200</v>
      </c>
      <c r="J86" s="23">
        <f>vendas2026[[#This Row],[VlrTotal]]</f>
        <v>39200</v>
      </c>
      <c r="K86" s="15">
        <v>7.0000000000000007E-2</v>
      </c>
      <c r="L86" s="15">
        <v>0</v>
      </c>
      <c r="M86" s="14" t="s">
        <v>46</v>
      </c>
      <c r="N86" s="23">
        <f>vendas2026[[#This Row],[VlrTotal]]*vendas2026[[#This Row],[%Comissão]]</f>
        <v>2744.0000000000005</v>
      </c>
      <c r="O86" s="14">
        <f>vendas2026[[#This Row],[VlrTotal]]*vendas2026[[#This Row],[%ComissãoSupervisor]]</f>
        <v>0</v>
      </c>
      <c r="P86" s="11" t="s">
        <v>27</v>
      </c>
      <c r="Q86" s="11" t="s">
        <v>27</v>
      </c>
      <c r="R86" s="11"/>
      <c r="S86" s="11">
        <v>6</v>
      </c>
      <c r="T86" s="11"/>
      <c r="U86" s="11" t="s">
        <v>28</v>
      </c>
      <c r="V86" s="16" t="s">
        <v>22</v>
      </c>
    </row>
    <row r="87" spans="1:22" ht="15" hidden="1" customHeight="1" x14ac:dyDescent="0.3">
      <c r="A87" s="10">
        <v>46078</v>
      </c>
      <c r="B87" s="11">
        <v>138643</v>
      </c>
      <c r="C87" s="11" t="s">
        <v>22</v>
      </c>
      <c r="D87" s="11" t="s">
        <v>88</v>
      </c>
      <c r="E87" s="11" t="s">
        <v>47</v>
      </c>
      <c r="F87" s="11" t="s">
        <v>41</v>
      </c>
      <c r="G87" s="12">
        <v>1</v>
      </c>
      <c r="H87" s="13">
        <v>35502.9</v>
      </c>
      <c r="I87" s="14">
        <f>vendas2026[[#This Row],[Qtde]]*vendas2026[[#This Row],[VlrUnitário]]</f>
        <v>35502.9</v>
      </c>
      <c r="J87" s="23">
        <f>vendas2026[[#This Row],[VlrTotal]]</f>
        <v>35502.9</v>
      </c>
      <c r="K87" s="15">
        <v>0.25</v>
      </c>
      <c r="L87" s="15">
        <v>0</v>
      </c>
      <c r="M87" s="14" t="s">
        <v>46</v>
      </c>
      <c r="N87" s="23">
        <f>vendas2026[[#This Row],[VlrTotal]]*vendas2026[[#This Row],[%Comissão]]</f>
        <v>8875.7250000000004</v>
      </c>
      <c r="O87" s="14">
        <f>vendas2026[[#This Row],[VlrTotal]]*vendas2026[[#This Row],[%ComissãoSupervisor]]</f>
        <v>0</v>
      </c>
      <c r="P87" s="11" t="s">
        <v>27</v>
      </c>
      <c r="Q87" s="11" t="s">
        <v>27</v>
      </c>
      <c r="R87" s="11"/>
      <c r="S87" s="11">
        <v>6</v>
      </c>
      <c r="T87" s="11"/>
      <c r="U87" s="11" t="s">
        <v>28</v>
      </c>
      <c r="V87" s="16" t="s">
        <v>22</v>
      </c>
    </row>
    <row r="88" spans="1:22" ht="15" hidden="1" customHeight="1" x14ac:dyDescent="0.3">
      <c r="A88" s="10">
        <v>46078</v>
      </c>
      <c r="B88" s="11">
        <v>138643</v>
      </c>
      <c r="C88" s="11" t="s">
        <v>22</v>
      </c>
      <c r="D88" s="11" t="s">
        <v>88</v>
      </c>
      <c r="E88" s="11" t="s">
        <v>47</v>
      </c>
      <c r="F88" s="11" t="s">
        <v>30</v>
      </c>
      <c r="G88" s="12">
        <v>14</v>
      </c>
      <c r="H88" s="13">
        <v>275.62</v>
      </c>
      <c r="I88" s="14">
        <f>vendas2026[[#This Row],[Qtde]]*vendas2026[[#This Row],[VlrUnitário]]</f>
        <v>3858.6800000000003</v>
      </c>
      <c r="J88" s="23">
        <f>vendas2026[[#This Row],[VlrTotal]]</f>
        <v>3858.6800000000003</v>
      </c>
      <c r="K88" s="15">
        <v>1</v>
      </c>
      <c r="L88" s="15">
        <v>0</v>
      </c>
      <c r="M88" s="14" t="s">
        <v>46</v>
      </c>
      <c r="N88" s="23">
        <f>vendas2026[[#This Row],[VlrTotal]]*vendas2026[[#This Row],[%Comissão]]</f>
        <v>3858.6800000000003</v>
      </c>
      <c r="O88" s="14">
        <f>vendas2026[[#This Row],[VlrTotal]]*vendas2026[[#This Row],[%ComissãoSupervisor]]</f>
        <v>0</v>
      </c>
      <c r="P88" s="11" t="s">
        <v>27</v>
      </c>
      <c r="Q88" s="11" t="s">
        <v>27</v>
      </c>
      <c r="R88" s="11"/>
      <c r="S88" s="11">
        <v>1</v>
      </c>
      <c r="T88" s="11"/>
      <c r="U88" s="11" t="s">
        <v>28</v>
      </c>
      <c r="V88" s="16" t="s">
        <v>22</v>
      </c>
    </row>
    <row r="89" spans="1:22" hidden="1" x14ac:dyDescent="0.3">
      <c r="A89" s="10">
        <v>46078</v>
      </c>
      <c r="B89" s="11">
        <v>138643</v>
      </c>
      <c r="C89" s="11" t="s">
        <v>22</v>
      </c>
      <c r="D89" s="11" t="s">
        <v>88</v>
      </c>
      <c r="E89" s="11" t="s">
        <v>63</v>
      </c>
      <c r="F89" s="11" t="s">
        <v>30</v>
      </c>
      <c r="G89" s="12">
        <v>48</v>
      </c>
      <c r="H89" s="13">
        <v>115</v>
      </c>
      <c r="I89" s="14">
        <f>vendas2026[[#This Row],[Qtde]]*vendas2026[[#This Row],[VlrUnitário]]</f>
        <v>5520</v>
      </c>
      <c r="J89" s="23">
        <f>vendas2026[[#This Row],[VlrTotal]]</f>
        <v>5520</v>
      </c>
      <c r="K89" s="15">
        <v>1</v>
      </c>
      <c r="L89" s="15">
        <v>0</v>
      </c>
      <c r="M89" s="14" t="s">
        <v>46</v>
      </c>
      <c r="N89" s="23">
        <f>vendas2026[[#This Row],[VlrTotal]]*vendas2026[[#This Row],[%Comissão]]</f>
        <v>5520</v>
      </c>
      <c r="O89" s="14">
        <f>vendas2026[[#This Row],[VlrTotal]]*vendas2026[[#This Row],[%ComissãoSupervisor]]</f>
        <v>0</v>
      </c>
      <c r="P89" s="11" t="s">
        <v>27</v>
      </c>
      <c r="Q89" s="11" t="s">
        <v>27</v>
      </c>
      <c r="R89" s="11"/>
      <c r="S89" s="11">
        <v>1</v>
      </c>
      <c r="T89" s="11"/>
      <c r="U89" s="11" t="s">
        <v>28</v>
      </c>
      <c r="V89" s="16" t="s">
        <v>22</v>
      </c>
    </row>
    <row r="90" spans="1:22" hidden="1" x14ac:dyDescent="0.3">
      <c r="A90" s="10">
        <v>46078</v>
      </c>
      <c r="B90" s="11">
        <v>138643</v>
      </c>
      <c r="C90" s="11" t="s">
        <v>22</v>
      </c>
      <c r="D90" s="11" t="s">
        <v>88</v>
      </c>
      <c r="E90" s="11" t="s">
        <v>89</v>
      </c>
      <c r="F90" s="11" t="s">
        <v>30</v>
      </c>
      <c r="G90" s="12">
        <v>1</v>
      </c>
      <c r="H90" s="13">
        <v>356.4</v>
      </c>
      <c r="I90" s="14">
        <f>vendas2026[[#This Row],[Qtde]]*vendas2026[[#This Row],[VlrUnitário]]</f>
        <v>356.4</v>
      </c>
      <c r="J90" s="23">
        <f>vendas2026[[#This Row],[VlrTotal]]</f>
        <v>356.4</v>
      </c>
      <c r="K90" s="15">
        <v>1</v>
      </c>
      <c r="L90" s="15">
        <v>0</v>
      </c>
      <c r="M90" s="14" t="s">
        <v>46</v>
      </c>
      <c r="N90" s="23">
        <f>vendas2026[[#This Row],[VlrTotal]]*vendas2026[[#This Row],[%Comissão]]</f>
        <v>356.4</v>
      </c>
      <c r="O90" s="14">
        <f>vendas2026[[#This Row],[VlrTotal]]*vendas2026[[#This Row],[%ComissãoSupervisor]]</f>
        <v>0</v>
      </c>
      <c r="P90" s="11" t="s">
        <v>27</v>
      </c>
      <c r="Q90" s="11" t="s">
        <v>27</v>
      </c>
      <c r="R90" s="11"/>
      <c r="S90" s="11">
        <v>1</v>
      </c>
      <c r="T90" s="11"/>
      <c r="U90" s="11" t="s">
        <v>28</v>
      </c>
      <c r="V90" s="16" t="s">
        <v>22</v>
      </c>
    </row>
    <row r="91" spans="1:22" hidden="1" x14ac:dyDescent="0.3">
      <c r="A91" s="10">
        <v>46078</v>
      </c>
      <c r="B91" s="11">
        <v>138643</v>
      </c>
      <c r="C91" s="11" t="s">
        <v>22</v>
      </c>
      <c r="D91" s="11" t="s">
        <v>88</v>
      </c>
      <c r="E91" s="11" t="s">
        <v>52</v>
      </c>
      <c r="F91" s="11" t="s">
        <v>30</v>
      </c>
      <c r="G91" s="12">
        <v>1</v>
      </c>
      <c r="H91" s="13">
        <v>1080</v>
      </c>
      <c r="I91" s="14">
        <f>vendas2026[[#This Row],[Qtde]]*vendas2026[[#This Row],[VlrUnitário]]</f>
        <v>1080</v>
      </c>
      <c r="J91" s="23">
        <f>vendas2026[[#This Row],[VlrTotal]]</f>
        <v>1080</v>
      </c>
      <c r="K91" s="15">
        <v>1</v>
      </c>
      <c r="L91" s="15">
        <v>0</v>
      </c>
      <c r="M91" s="14" t="s">
        <v>46</v>
      </c>
      <c r="N91" s="23">
        <f>vendas2026[[#This Row],[VlrTotal]]*vendas2026[[#This Row],[%Comissão]]</f>
        <v>1080</v>
      </c>
      <c r="O91" s="14">
        <f>vendas2026[[#This Row],[VlrTotal]]*vendas2026[[#This Row],[%ComissãoSupervisor]]</f>
        <v>0</v>
      </c>
      <c r="P91" s="11" t="s">
        <v>27</v>
      </c>
      <c r="Q91" s="11" t="s">
        <v>27</v>
      </c>
      <c r="R91" s="11"/>
      <c r="S91" s="11">
        <v>1</v>
      </c>
      <c r="T91" s="11"/>
      <c r="U91" s="11" t="s">
        <v>28</v>
      </c>
      <c r="V91" s="16" t="s">
        <v>22</v>
      </c>
    </row>
    <row r="92" spans="1:22" hidden="1" x14ac:dyDescent="0.3">
      <c r="A92" s="10">
        <v>46078</v>
      </c>
      <c r="B92" s="11">
        <v>138643</v>
      </c>
      <c r="C92" s="11" t="s">
        <v>22</v>
      </c>
      <c r="D92" s="11" t="s">
        <v>88</v>
      </c>
      <c r="E92" s="11" t="s">
        <v>83</v>
      </c>
      <c r="F92" s="11" t="s">
        <v>30</v>
      </c>
      <c r="G92" s="12">
        <v>1</v>
      </c>
      <c r="H92" s="13">
        <v>689</v>
      </c>
      <c r="I92" s="14">
        <f>vendas2026[[#This Row],[Qtde]]*vendas2026[[#This Row],[VlrUnitário]]</f>
        <v>689</v>
      </c>
      <c r="J92" s="23">
        <f>vendas2026[[#This Row],[VlrTotal]]</f>
        <v>689</v>
      </c>
      <c r="K92" s="15">
        <v>1</v>
      </c>
      <c r="L92" s="15">
        <v>0</v>
      </c>
      <c r="M92" s="14" t="s">
        <v>46</v>
      </c>
      <c r="N92" s="23">
        <f>vendas2026[[#This Row],[VlrTotal]]*vendas2026[[#This Row],[%Comissão]]</f>
        <v>689</v>
      </c>
      <c r="O92" s="14">
        <f>vendas2026[[#This Row],[VlrTotal]]*vendas2026[[#This Row],[%ComissãoSupervisor]]</f>
        <v>0</v>
      </c>
      <c r="P92" s="11" t="s">
        <v>27</v>
      </c>
      <c r="Q92" s="11" t="s">
        <v>27</v>
      </c>
      <c r="R92" s="11"/>
      <c r="S92" s="11">
        <v>1</v>
      </c>
      <c r="T92" s="11"/>
      <c r="U92" s="11" t="s">
        <v>28</v>
      </c>
      <c r="V92" s="16" t="s">
        <v>22</v>
      </c>
    </row>
    <row r="93" spans="1:22" hidden="1" x14ac:dyDescent="0.3">
      <c r="A93" s="10">
        <v>46078</v>
      </c>
      <c r="B93" s="11">
        <v>138643</v>
      </c>
      <c r="C93" s="11" t="s">
        <v>22</v>
      </c>
      <c r="D93" s="11" t="s">
        <v>88</v>
      </c>
      <c r="E93" s="11" t="s">
        <v>84</v>
      </c>
      <c r="F93" s="11" t="s">
        <v>30</v>
      </c>
      <c r="G93" s="12">
        <v>1</v>
      </c>
      <c r="H93" s="13">
        <v>712</v>
      </c>
      <c r="I93" s="14">
        <f>vendas2026[[#This Row],[Qtde]]*vendas2026[[#This Row],[VlrUnitário]]</f>
        <v>712</v>
      </c>
      <c r="J93" s="23">
        <f>vendas2026[[#This Row],[VlrTotal]]</f>
        <v>712</v>
      </c>
      <c r="K93" s="15">
        <v>1</v>
      </c>
      <c r="L93" s="15">
        <v>0</v>
      </c>
      <c r="M93" s="14" t="s">
        <v>46</v>
      </c>
      <c r="N93" s="23">
        <f>vendas2026[[#This Row],[VlrTotal]]*vendas2026[[#This Row],[%Comissão]]</f>
        <v>712</v>
      </c>
      <c r="O93" s="14">
        <f>vendas2026[[#This Row],[VlrTotal]]*vendas2026[[#This Row],[%ComissãoSupervisor]]</f>
        <v>0</v>
      </c>
      <c r="P93" s="11" t="s">
        <v>27</v>
      </c>
      <c r="Q93" s="11" t="s">
        <v>27</v>
      </c>
      <c r="R93" s="11"/>
      <c r="S93" s="11">
        <v>1</v>
      </c>
      <c r="T93" s="11"/>
      <c r="U93" s="11" t="s">
        <v>28</v>
      </c>
      <c r="V93" s="16" t="s">
        <v>22</v>
      </c>
    </row>
    <row r="94" spans="1:22" hidden="1" x14ac:dyDescent="0.3">
      <c r="A94" s="10">
        <v>46078</v>
      </c>
      <c r="B94" s="11">
        <v>136629</v>
      </c>
      <c r="C94" s="11" t="s">
        <v>31</v>
      </c>
      <c r="D94" s="11" t="s">
        <v>90</v>
      </c>
      <c r="E94" s="11" t="s">
        <v>35</v>
      </c>
      <c r="F94" s="11" t="s">
        <v>35</v>
      </c>
      <c r="G94" s="12">
        <v>80</v>
      </c>
      <c r="H94" s="13">
        <v>150</v>
      </c>
      <c r="I94" s="14">
        <f>vendas2026[[#This Row],[Qtde]]*vendas2026[[#This Row],[VlrUnitário]]</f>
        <v>12000</v>
      </c>
      <c r="J94" s="23">
        <f>vendas2026[[#This Row],[VlrTotal]]</f>
        <v>12000</v>
      </c>
      <c r="K94" s="15">
        <v>6.8999999999999999E-3</v>
      </c>
      <c r="L94" s="15">
        <v>0</v>
      </c>
      <c r="M94" s="14" t="s">
        <v>26</v>
      </c>
      <c r="N94" s="23">
        <f>vendas2026[[#This Row],[VlrTotal]]*vendas2026[[#This Row],[%Comissão]]</f>
        <v>82.8</v>
      </c>
      <c r="O94" s="14">
        <f>vendas2026[[#This Row],[VlrTotal]]*vendas2026[[#This Row],[%ComissãoSupervisor]]</f>
        <v>0</v>
      </c>
      <c r="P94" s="11" t="s">
        <v>36</v>
      </c>
      <c r="Q94" s="11" t="s">
        <v>37</v>
      </c>
      <c r="R94" s="11"/>
      <c r="S94" s="11">
        <v>1</v>
      </c>
      <c r="T94" s="11"/>
      <c r="U94" s="11" t="s">
        <v>38</v>
      </c>
      <c r="V94" s="16" t="s">
        <v>31</v>
      </c>
    </row>
    <row r="95" spans="1:22" hidden="1" x14ac:dyDescent="0.3">
      <c r="A95" s="10">
        <v>46078</v>
      </c>
      <c r="B95" s="11">
        <v>138487</v>
      </c>
      <c r="C95" s="11" t="s">
        <v>31</v>
      </c>
      <c r="D95" s="11" t="s">
        <v>91</v>
      </c>
      <c r="E95" s="11" t="s">
        <v>56</v>
      </c>
      <c r="F95" s="11" t="s">
        <v>25</v>
      </c>
      <c r="G95" s="12">
        <v>2</v>
      </c>
      <c r="H95" s="13">
        <v>210</v>
      </c>
      <c r="I95" s="14">
        <f>vendas2026[[#This Row],[Qtde]]*vendas2026[[#This Row],[VlrUnitário]]</f>
        <v>420</v>
      </c>
      <c r="J95" s="23">
        <f>(vendas2026[[#This Row],[VlrTotal]]*0.2)+vendas2026[[#This Row],[VlrTotal]]</f>
        <v>504</v>
      </c>
      <c r="K95" s="15">
        <v>7.0000000000000007E-2</v>
      </c>
      <c r="L95" s="15">
        <f>vendas2026[[#This Row],[%Comissão]]*0.25</f>
        <v>1.7500000000000002E-2</v>
      </c>
      <c r="M95" s="14" t="s">
        <v>26</v>
      </c>
      <c r="N95" s="23">
        <f>vendas2026[[#This Row],[VlrTotal]]*vendas2026[[#This Row],[%Comissão]]</f>
        <v>29.400000000000002</v>
      </c>
      <c r="O95" s="14">
        <f>vendas2026[[#This Row],[VlrTotal]]*vendas2026[[#This Row],[%ComissãoSupervisor]]</f>
        <v>7.3500000000000005</v>
      </c>
      <c r="P95" s="11" t="s">
        <v>27</v>
      </c>
      <c r="Q95" s="11" t="s">
        <v>27</v>
      </c>
      <c r="R95" s="11"/>
      <c r="S95" s="11">
        <v>1</v>
      </c>
      <c r="T95" s="11"/>
      <c r="U95" s="11" t="s">
        <v>28</v>
      </c>
      <c r="V95" s="16" t="s">
        <v>31</v>
      </c>
    </row>
    <row r="96" spans="1:22" hidden="1" x14ac:dyDescent="0.3">
      <c r="A96" s="10">
        <v>46078</v>
      </c>
      <c r="B96" s="11">
        <v>138487</v>
      </c>
      <c r="C96" s="11" t="s">
        <v>31</v>
      </c>
      <c r="D96" s="11" t="s">
        <v>91</v>
      </c>
      <c r="E96" s="11" t="s">
        <v>56</v>
      </c>
      <c r="F96" s="11" t="s">
        <v>30</v>
      </c>
      <c r="G96" s="12">
        <v>1</v>
      </c>
      <c r="H96" s="13">
        <v>356.4</v>
      </c>
      <c r="I96" s="14">
        <f>vendas2026[[#This Row],[Qtde]]*vendas2026[[#This Row],[VlrUnitário]]</f>
        <v>356.4</v>
      </c>
      <c r="J96" s="23">
        <f>(vendas2026[[#This Row],[VlrTotal]]*0.2)+vendas2026[[#This Row],[VlrTotal]]</f>
        <v>427.67999999999995</v>
      </c>
      <c r="K96" s="15">
        <v>1</v>
      </c>
      <c r="L96" s="15">
        <f>vendas2026[[#This Row],[%Comissão]]*0.25</f>
        <v>0.25</v>
      </c>
      <c r="M96" s="14" t="s">
        <v>26</v>
      </c>
      <c r="N96" s="23">
        <f>vendas2026[[#This Row],[VlrTotal]]*vendas2026[[#This Row],[%Comissão]]</f>
        <v>356.4</v>
      </c>
      <c r="O96" s="14">
        <f>vendas2026[[#This Row],[VlrTotal]]*vendas2026[[#This Row],[%ComissãoSupervisor]]</f>
        <v>89.1</v>
      </c>
      <c r="P96" s="11" t="s">
        <v>27</v>
      </c>
      <c r="Q96" s="11" t="s">
        <v>27</v>
      </c>
      <c r="R96" s="11"/>
      <c r="S96" s="11">
        <v>1</v>
      </c>
      <c r="T96" s="11"/>
      <c r="U96" s="11" t="s">
        <v>28</v>
      </c>
      <c r="V96" s="16" t="s">
        <v>31</v>
      </c>
    </row>
    <row r="97" spans="1:22" hidden="1" x14ac:dyDescent="0.3">
      <c r="A97" s="10">
        <v>46078</v>
      </c>
      <c r="B97" s="11">
        <v>138723</v>
      </c>
      <c r="C97" s="11" t="s">
        <v>31</v>
      </c>
      <c r="D97" s="11" t="s">
        <v>79</v>
      </c>
      <c r="E97" s="11" t="s">
        <v>24</v>
      </c>
      <c r="F97" s="11" t="s">
        <v>25</v>
      </c>
      <c r="G97" s="12">
        <v>40</v>
      </c>
      <c r="H97" s="13">
        <v>210</v>
      </c>
      <c r="I97" s="14">
        <f>vendas2026[[#This Row],[Qtde]]*vendas2026[[#This Row],[VlrUnitário]]</f>
        <v>8400</v>
      </c>
      <c r="J97" s="23">
        <f>(vendas2026[[#This Row],[VlrTotal]]*0.2)+vendas2026[[#This Row],[VlrTotal]]</f>
        <v>10080</v>
      </c>
      <c r="K97" s="15">
        <v>0.25</v>
      </c>
      <c r="L97" s="15">
        <f>vendas2026[[#This Row],[%Comissão]]*0.25</f>
        <v>6.25E-2</v>
      </c>
      <c r="M97" s="14" t="s">
        <v>26</v>
      </c>
      <c r="N97" s="23">
        <f>vendas2026[[#This Row],[VlrTotal]]*vendas2026[[#This Row],[%Comissão]]</f>
        <v>2100</v>
      </c>
      <c r="O97" s="14">
        <f>vendas2026[[#This Row],[VlrTotal]]*vendas2026[[#This Row],[%ComissãoSupervisor]]</f>
        <v>525</v>
      </c>
      <c r="P97" s="11" t="s">
        <v>36</v>
      </c>
      <c r="Q97" s="11" t="s">
        <v>37</v>
      </c>
      <c r="R97" s="11"/>
      <c r="S97" s="11">
        <v>6</v>
      </c>
      <c r="T97" s="11"/>
      <c r="U97" s="11" t="s">
        <v>38</v>
      </c>
      <c r="V97" s="16" t="s">
        <v>31</v>
      </c>
    </row>
    <row r="98" spans="1:22" hidden="1" x14ac:dyDescent="0.3">
      <c r="A98" s="10">
        <v>46078</v>
      </c>
      <c r="B98" s="11">
        <v>134770</v>
      </c>
      <c r="C98" s="11" t="s">
        <v>31</v>
      </c>
      <c r="D98" s="11" t="s">
        <v>92</v>
      </c>
      <c r="E98" s="11" t="s">
        <v>35</v>
      </c>
      <c r="F98" s="11" t="s">
        <v>35</v>
      </c>
      <c r="G98" s="12">
        <v>4</v>
      </c>
      <c r="H98" s="13">
        <v>176</v>
      </c>
      <c r="I98" s="14">
        <f>vendas2026[[#This Row],[Qtde]]*vendas2026[[#This Row],[VlrUnitário]]</f>
        <v>704</v>
      </c>
      <c r="J98" s="23">
        <f>vendas2026[[#This Row],[VlrTotal]]</f>
        <v>704</v>
      </c>
      <c r="K98" s="15">
        <v>0.01</v>
      </c>
      <c r="L98" s="15">
        <f>vendas2026[[#This Row],[%Comissão]]*0.25</f>
        <v>2.5000000000000001E-3</v>
      </c>
      <c r="M98" s="14" t="s">
        <v>26</v>
      </c>
      <c r="N98" s="23">
        <f>vendas2026[[#This Row],[VlrTotal]]*vendas2026[[#This Row],[%Comissão]]</f>
        <v>7.04</v>
      </c>
      <c r="O98" s="14">
        <f>vendas2026[[#This Row],[VlrTotal]]*vendas2026[[#This Row],[%ComissãoSupervisor]]</f>
        <v>1.76</v>
      </c>
      <c r="P98" s="11" t="s">
        <v>36</v>
      </c>
      <c r="Q98" s="11" t="s">
        <v>37</v>
      </c>
      <c r="R98" s="11"/>
      <c r="S98" s="11">
        <v>1</v>
      </c>
      <c r="T98" s="11"/>
      <c r="U98" s="11" t="s">
        <v>38</v>
      </c>
      <c r="V98" s="16" t="s">
        <v>31</v>
      </c>
    </row>
    <row r="99" spans="1:22" hidden="1" x14ac:dyDescent="0.3">
      <c r="A99" s="90">
        <v>46078</v>
      </c>
      <c r="B99" s="11">
        <v>138211</v>
      </c>
      <c r="C99" s="11" t="s">
        <v>31</v>
      </c>
      <c r="D99" s="11" t="s">
        <v>93</v>
      </c>
      <c r="E99" s="11" t="s">
        <v>24</v>
      </c>
      <c r="F99" s="11" t="s">
        <v>25</v>
      </c>
      <c r="G99" s="12">
        <v>8</v>
      </c>
      <c r="H99" s="13">
        <v>189</v>
      </c>
      <c r="I99" s="14">
        <f>vendas2026[[#This Row],[Qtde]]*vendas2026[[#This Row],[VlrUnitário]]</f>
        <v>1512</v>
      </c>
      <c r="J99" s="23">
        <f>(vendas2026[[#This Row],[VlrTotal]]*0.2)+vendas2026[[#This Row],[VlrTotal]]</f>
        <v>1814.4</v>
      </c>
      <c r="K99" s="15">
        <v>0.25</v>
      </c>
      <c r="L99" s="15">
        <f>vendas2026[[#This Row],[%Comissão]]*0.25</f>
        <v>6.25E-2</v>
      </c>
      <c r="M99" s="14" t="s">
        <v>26</v>
      </c>
      <c r="N99" s="23">
        <f>vendas2026[[#This Row],[VlrTotal]]*vendas2026[[#This Row],[%Comissão]]</f>
        <v>378</v>
      </c>
      <c r="O99" s="14">
        <f>vendas2026[[#This Row],[VlrTotal]]*vendas2026[[#This Row],[%ComissãoSupervisor]]</f>
        <v>94.5</v>
      </c>
      <c r="P99" s="11" t="s">
        <v>36</v>
      </c>
      <c r="Q99" s="11" t="s">
        <v>37</v>
      </c>
      <c r="R99" s="11"/>
      <c r="S99" s="11">
        <v>1</v>
      </c>
      <c r="T99" s="11"/>
      <c r="U99" s="11" t="s">
        <v>38</v>
      </c>
      <c r="V99" s="16" t="s">
        <v>31</v>
      </c>
    </row>
    <row r="100" spans="1:22" hidden="1" x14ac:dyDescent="0.3">
      <c r="A100" s="10">
        <v>46083</v>
      </c>
      <c r="B100" s="11">
        <v>137844</v>
      </c>
      <c r="C100" s="11" t="s">
        <v>31</v>
      </c>
      <c r="D100" s="11" t="s">
        <v>94</v>
      </c>
      <c r="E100" s="11" t="s">
        <v>35</v>
      </c>
      <c r="F100" s="11" t="s">
        <v>35</v>
      </c>
      <c r="G100" s="12">
        <v>3</v>
      </c>
      <c r="H100" s="13">
        <v>176</v>
      </c>
      <c r="I100" s="14">
        <f>vendas2026[[#This Row],[Qtde]]*vendas2026[[#This Row],[VlrUnitário]]</f>
        <v>528</v>
      </c>
      <c r="J100" s="23">
        <f>vendas2026[[#This Row],[VlrTotal]]</f>
        <v>528</v>
      </c>
      <c r="K100" s="15">
        <v>0.01</v>
      </c>
      <c r="L100" s="15">
        <f>vendas2026[[#This Row],[%Comissão]]*0.25</f>
        <v>2.5000000000000001E-3</v>
      </c>
      <c r="M100" s="14" t="s">
        <v>26</v>
      </c>
      <c r="N100" s="23">
        <f>vendas2026[[#This Row],[VlrTotal]]*vendas2026[[#This Row],[%Comissão]]</f>
        <v>5.28</v>
      </c>
      <c r="O100" s="14">
        <f>vendas2026[[#This Row],[VlrTotal]]*vendas2026[[#This Row],[%ComissãoSupervisor]]</f>
        <v>1.32</v>
      </c>
      <c r="P100" s="11" t="s">
        <v>36</v>
      </c>
      <c r="Q100" s="11" t="s">
        <v>37</v>
      </c>
      <c r="R100" s="11"/>
      <c r="S100" s="11">
        <v>1</v>
      </c>
      <c r="T100" s="11"/>
      <c r="U100" s="11" t="s">
        <v>38</v>
      </c>
      <c r="V100" s="16" t="s">
        <v>31</v>
      </c>
    </row>
    <row r="101" spans="1:22" hidden="1" x14ac:dyDescent="0.3">
      <c r="A101" s="10">
        <v>46083</v>
      </c>
      <c r="B101" s="11">
        <v>138891</v>
      </c>
      <c r="C101" s="11" t="s">
        <v>31</v>
      </c>
      <c r="D101" s="11" t="s">
        <v>95</v>
      </c>
      <c r="E101" s="11" t="s">
        <v>89</v>
      </c>
      <c r="F101" s="11" t="s">
        <v>25</v>
      </c>
      <c r="G101" s="12">
        <v>8</v>
      </c>
      <c r="H101" s="13">
        <v>210</v>
      </c>
      <c r="I101" s="14">
        <f>vendas2026[[#This Row],[Qtde]]*vendas2026[[#This Row],[VlrUnitário]]</f>
        <v>1680</v>
      </c>
      <c r="J101" s="23">
        <f>(vendas2026[[#This Row],[VlrTotal]]*0.2)+vendas2026[[#This Row],[VlrTotal]]</f>
        <v>2016</v>
      </c>
      <c r="K101" s="15">
        <v>7.0000000000000007E-2</v>
      </c>
      <c r="L101" s="15">
        <f>vendas2026[[#This Row],[%Comissão]]*0.25</f>
        <v>1.7500000000000002E-2</v>
      </c>
      <c r="M101" s="14" t="s">
        <v>26</v>
      </c>
      <c r="N101" s="23">
        <f>vendas2026[[#This Row],[VlrTotal]]*vendas2026[[#This Row],[%Comissão]]</f>
        <v>117.60000000000001</v>
      </c>
      <c r="O101" s="14">
        <f>vendas2026[[#This Row],[VlrTotal]]*vendas2026[[#This Row],[%ComissãoSupervisor]]</f>
        <v>29.400000000000002</v>
      </c>
      <c r="P101" s="11" t="s">
        <v>27</v>
      </c>
      <c r="Q101" s="11" t="s">
        <v>27</v>
      </c>
      <c r="R101" s="11"/>
      <c r="S101" s="11">
        <v>4</v>
      </c>
      <c r="T101" s="11"/>
      <c r="U101" s="11" t="s">
        <v>28</v>
      </c>
      <c r="V101" s="16" t="s">
        <v>31</v>
      </c>
    </row>
    <row r="102" spans="1:22" hidden="1" x14ac:dyDescent="0.3">
      <c r="A102" s="10">
        <v>46083</v>
      </c>
      <c r="B102" s="11">
        <v>138891</v>
      </c>
      <c r="C102" s="11" t="s">
        <v>31</v>
      </c>
      <c r="D102" s="11" t="s">
        <v>95</v>
      </c>
      <c r="E102" s="11" t="s">
        <v>89</v>
      </c>
      <c r="F102" s="11" t="s">
        <v>30</v>
      </c>
      <c r="G102" s="12">
        <v>1</v>
      </c>
      <c r="H102" s="13">
        <v>356.4</v>
      </c>
      <c r="I102" s="14">
        <f>vendas2026[[#This Row],[Qtde]]*vendas2026[[#This Row],[VlrUnitário]]</f>
        <v>356.4</v>
      </c>
      <c r="J102" s="23">
        <f>(vendas2026[[#This Row],[VlrTotal]]*0.2)+vendas2026[[#This Row],[VlrTotal]]</f>
        <v>427.67999999999995</v>
      </c>
      <c r="K102" s="15">
        <v>1</v>
      </c>
      <c r="L102" s="15">
        <f>vendas2026[[#This Row],[%Comissão]]*0.25</f>
        <v>0.25</v>
      </c>
      <c r="M102" s="14" t="s">
        <v>26</v>
      </c>
      <c r="N102" s="23">
        <f>vendas2026[[#This Row],[VlrTotal]]*vendas2026[[#This Row],[%Comissão]]</f>
        <v>356.4</v>
      </c>
      <c r="O102" s="14">
        <f>vendas2026[[#This Row],[VlrTotal]]*vendas2026[[#This Row],[%ComissãoSupervisor]]</f>
        <v>89.1</v>
      </c>
      <c r="P102" s="11" t="s">
        <v>27</v>
      </c>
      <c r="Q102" s="11" t="s">
        <v>27</v>
      </c>
      <c r="R102" s="11"/>
      <c r="S102" s="11">
        <v>1</v>
      </c>
      <c r="T102" s="11"/>
      <c r="U102" s="11" t="s">
        <v>28</v>
      </c>
      <c r="V102" s="16" t="s">
        <v>31</v>
      </c>
    </row>
    <row r="103" spans="1:22" hidden="1" x14ac:dyDescent="0.3">
      <c r="A103" s="10">
        <v>46092</v>
      </c>
      <c r="B103" s="11">
        <v>134510</v>
      </c>
      <c r="C103" s="11" t="s">
        <v>31</v>
      </c>
      <c r="D103" s="11" t="s">
        <v>96</v>
      </c>
      <c r="E103" s="11" t="s">
        <v>24</v>
      </c>
      <c r="F103" s="11" t="s">
        <v>25</v>
      </c>
      <c r="G103" s="12">
        <v>14</v>
      </c>
      <c r="H103" s="13">
        <v>178.5</v>
      </c>
      <c r="I103" s="14">
        <f>vendas2026[[#This Row],[Qtde]]*vendas2026[[#This Row],[VlrUnitário]]</f>
        <v>2499</v>
      </c>
      <c r="J103" s="23">
        <f>(vendas2026[[#This Row],[VlrTotal]]*0.2)+vendas2026[[#This Row],[VlrTotal]]</f>
        <v>2998.8</v>
      </c>
      <c r="K103" s="15">
        <v>6.6900000000000001E-2</v>
      </c>
      <c r="L103" s="15">
        <f>vendas2026[[#This Row],[%Comissão]]*0.25</f>
        <v>1.6725E-2</v>
      </c>
      <c r="M103" s="14" t="s">
        <v>26</v>
      </c>
      <c r="N103" s="23">
        <f>vendas2026[[#This Row],[VlrTotal]]*vendas2026[[#This Row],[%Comissão]]</f>
        <v>167.1831</v>
      </c>
      <c r="O103" s="14">
        <f>vendas2026[[#This Row],[VlrTotal]]*vendas2026[[#This Row],[%ComissãoSupervisor]]</f>
        <v>41.795774999999999</v>
      </c>
      <c r="P103" s="11" t="s">
        <v>36</v>
      </c>
      <c r="Q103" s="11" t="s">
        <v>37</v>
      </c>
      <c r="R103" s="11"/>
      <c r="S103" s="11">
        <v>3</v>
      </c>
      <c r="T103" s="11"/>
      <c r="U103" s="11" t="s">
        <v>38</v>
      </c>
      <c r="V103" s="16" t="s">
        <v>31</v>
      </c>
    </row>
    <row r="104" spans="1:22" hidden="1" x14ac:dyDescent="0.3">
      <c r="A104" s="10">
        <v>46092</v>
      </c>
      <c r="B104" s="11">
        <v>139165</v>
      </c>
      <c r="C104" s="11" t="s">
        <v>31</v>
      </c>
      <c r="D104" s="11" t="s">
        <v>93</v>
      </c>
      <c r="E104" s="11" t="s">
        <v>40</v>
      </c>
      <c r="F104" s="11" t="s">
        <v>41</v>
      </c>
      <c r="G104" s="12">
        <v>1</v>
      </c>
      <c r="H104" s="13">
        <v>7472.2</v>
      </c>
      <c r="I104" s="14">
        <f>vendas2026[[#This Row],[Qtde]]*vendas2026[[#This Row],[VlrUnitário]]</f>
        <v>7472.2</v>
      </c>
      <c r="J104" s="23">
        <f>(vendas2026[[#This Row],[VlrTotal]]*0.2)+vendas2026[[#This Row],[VlrTotal]]</f>
        <v>8966.64</v>
      </c>
      <c r="K104" s="15">
        <v>7.0000000000000007E-2</v>
      </c>
      <c r="L104" s="15">
        <f>vendas2026[[#This Row],[%Comissão]]*0.25</f>
        <v>1.7500000000000002E-2</v>
      </c>
      <c r="M104" s="14" t="s">
        <v>26</v>
      </c>
      <c r="N104" s="23">
        <f>vendas2026[[#This Row],[VlrTotal]]*vendas2026[[#This Row],[%Comissão]]</f>
        <v>523.05400000000009</v>
      </c>
      <c r="O104" s="14">
        <f>vendas2026[[#This Row],[VlrTotal]]*vendas2026[[#This Row],[%ComissãoSupervisor]]</f>
        <v>130.76350000000002</v>
      </c>
      <c r="P104" s="11" t="s">
        <v>27</v>
      </c>
      <c r="Q104" s="11" t="s">
        <v>27</v>
      </c>
      <c r="R104" s="11"/>
      <c r="S104" s="11">
        <v>6</v>
      </c>
      <c r="T104" s="11"/>
      <c r="U104" s="11" t="s">
        <v>28</v>
      </c>
      <c r="V104" s="16" t="s">
        <v>31</v>
      </c>
    </row>
    <row r="105" spans="1:22" hidden="1" x14ac:dyDescent="0.3">
      <c r="A105" s="10">
        <v>46092</v>
      </c>
      <c r="B105" s="11">
        <v>138115</v>
      </c>
      <c r="C105" s="11" t="s">
        <v>31</v>
      </c>
      <c r="D105" s="11" t="s">
        <v>97</v>
      </c>
      <c r="E105" s="11" t="s">
        <v>35</v>
      </c>
      <c r="F105" s="11" t="s">
        <v>35</v>
      </c>
      <c r="G105" s="12">
        <v>6</v>
      </c>
      <c r="H105" s="13">
        <v>176</v>
      </c>
      <c r="I105" s="14">
        <f>vendas2026[[#This Row],[Qtde]]*vendas2026[[#This Row],[VlrUnitário]]</f>
        <v>1056</v>
      </c>
      <c r="J105" s="23">
        <v>1056</v>
      </c>
      <c r="K105" s="15">
        <v>0.01</v>
      </c>
      <c r="L105" s="15">
        <f>vendas2026[[#This Row],[%Comissão]]*0.25</f>
        <v>2.5000000000000001E-3</v>
      </c>
      <c r="M105" s="14" t="s">
        <v>26</v>
      </c>
      <c r="N105" s="23">
        <f>vendas2026[[#This Row],[VlrTotal]]*vendas2026[[#This Row],[%Comissão]]</f>
        <v>10.56</v>
      </c>
      <c r="O105" s="14">
        <f>vendas2026[[#This Row],[VlrTotal]]*vendas2026[[#This Row],[%ComissãoSupervisor]]</f>
        <v>2.64</v>
      </c>
      <c r="P105" s="11" t="s">
        <v>36</v>
      </c>
      <c r="Q105" s="11" t="s">
        <v>37</v>
      </c>
      <c r="R105" s="11"/>
      <c r="S105" s="11">
        <v>1</v>
      </c>
      <c r="T105" s="11"/>
      <c r="U105" s="11" t="s">
        <v>38</v>
      </c>
      <c r="V105" s="16" t="s">
        <v>31</v>
      </c>
    </row>
    <row r="106" spans="1:22" hidden="1" x14ac:dyDescent="0.3">
      <c r="A106" s="10">
        <v>46092</v>
      </c>
      <c r="B106" s="11">
        <v>137749</v>
      </c>
      <c r="C106" s="11" t="s">
        <v>31</v>
      </c>
      <c r="D106" s="11" t="s">
        <v>98</v>
      </c>
      <c r="E106" s="11" t="s">
        <v>35</v>
      </c>
      <c r="F106" s="11" t="s">
        <v>35</v>
      </c>
      <c r="G106" s="12">
        <v>20</v>
      </c>
      <c r="H106" s="13">
        <v>176</v>
      </c>
      <c r="I106" s="14">
        <f>vendas2026[[#This Row],[Qtde]]*vendas2026[[#This Row],[VlrUnitário]]</f>
        <v>3520</v>
      </c>
      <c r="J106" s="14">
        <v>3520</v>
      </c>
      <c r="K106" s="15">
        <v>0.01</v>
      </c>
      <c r="L106" s="15">
        <f>vendas2026[[#This Row],[%Comissão]]*0.25</f>
        <v>2.5000000000000001E-3</v>
      </c>
      <c r="M106" s="14" t="s">
        <v>26</v>
      </c>
      <c r="N106" s="23">
        <f>vendas2026[[#This Row],[VlrTotal]]*vendas2026[[#This Row],[%Comissão]]</f>
        <v>35.200000000000003</v>
      </c>
      <c r="O106" s="14">
        <f>vendas2026[[#This Row],[VlrTotal]]*vendas2026[[#This Row],[%ComissãoSupervisor]]</f>
        <v>8.8000000000000007</v>
      </c>
      <c r="P106" s="11" t="s">
        <v>36</v>
      </c>
      <c r="Q106" s="11" t="s">
        <v>37</v>
      </c>
      <c r="R106" s="11"/>
      <c r="S106" s="11">
        <v>1</v>
      </c>
      <c r="T106" s="11"/>
      <c r="U106" s="11" t="s">
        <v>38</v>
      </c>
      <c r="V106" s="16" t="s">
        <v>31</v>
      </c>
    </row>
    <row r="107" spans="1:22" hidden="1" x14ac:dyDescent="0.3">
      <c r="A107" s="10">
        <v>46092</v>
      </c>
      <c r="B107" s="11" t="s">
        <v>99</v>
      </c>
      <c r="C107" s="11" t="s">
        <v>31</v>
      </c>
      <c r="D107" s="11" t="s">
        <v>79</v>
      </c>
      <c r="E107" s="11" t="s">
        <v>35</v>
      </c>
      <c r="F107" s="11" t="s">
        <v>35</v>
      </c>
      <c r="G107" s="12">
        <v>56</v>
      </c>
      <c r="H107" s="13">
        <v>176</v>
      </c>
      <c r="I107" s="14">
        <f>vendas2026[[#This Row],[Qtde]]*vendas2026[[#This Row],[VlrUnitário]]</f>
        <v>9856</v>
      </c>
      <c r="J107" s="14">
        <v>9856</v>
      </c>
      <c r="K107" s="15">
        <v>0.01</v>
      </c>
      <c r="L107" s="15">
        <f>vendas2026[[#This Row],[%Comissão]]*0.25</f>
        <v>2.5000000000000001E-3</v>
      </c>
      <c r="M107" s="14" t="s">
        <v>26</v>
      </c>
      <c r="N107" s="23">
        <f>vendas2026[[#This Row],[VlrTotal]]*vendas2026[[#This Row],[%Comissão]]</f>
        <v>98.56</v>
      </c>
      <c r="O107" s="14">
        <f>vendas2026[[#This Row],[VlrTotal]]*vendas2026[[#This Row],[%ComissãoSupervisor]]</f>
        <v>24.64</v>
      </c>
      <c r="P107" s="11" t="s">
        <v>36</v>
      </c>
      <c r="Q107" s="11" t="s">
        <v>37</v>
      </c>
      <c r="R107" s="11"/>
      <c r="S107" s="11">
        <v>4</v>
      </c>
      <c r="T107" s="11"/>
      <c r="U107" s="11" t="s">
        <v>38</v>
      </c>
      <c r="V107" s="16" t="s">
        <v>31</v>
      </c>
    </row>
    <row r="108" spans="1:22" hidden="1" x14ac:dyDescent="0.3">
      <c r="A108" s="10">
        <v>46092</v>
      </c>
      <c r="B108" s="11">
        <v>137391</v>
      </c>
      <c r="C108" s="11" t="s">
        <v>31</v>
      </c>
      <c r="D108" s="11" t="s">
        <v>100</v>
      </c>
      <c r="E108" s="11" t="s">
        <v>35</v>
      </c>
      <c r="F108" s="11" t="s">
        <v>35</v>
      </c>
      <c r="G108" s="12">
        <v>2</v>
      </c>
      <c r="H108" s="13">
        <v>176</v>
      </c>
      <c r="I108" s="14">
        <f>vendas2026[[#This Row],[Qtde]]*vendas2026[[#This Row],[VlrUnitário]]</f>
        <v>352</v>
      </c>
      <c r="J108" s="14">
        <v>352</v>
      </c>
      <c r="K108" s="15">
        <v>0.01</v>
      </c>
      <c r="L108" s="15">
        <f>vendas2026[[#This Row],[%Comissão]]*0.25</f>
        <v>2.5000000000000001E-3</v>
      </c>
      <c r="M108" s="14" t="s">
        <v>26</v>
      </c>
      <c r="N108" s="23">
        <f>vendas2026[[#This Row],[VlrTotal]]*vendas2026[[#This Row],[%Comissão]]</f>
        <v>3.52</v>
      </c>
      <c r="O108" s="14">
        <f>vendas2026[[#This Row],[VlrTotal]]*vendas2026[[#This Row],[%ComissãoSupervisor]]</f>
        <v>0.88</v>
      </c>
      <c r="P108" s="11" t="s">
        <v>36</v>
      </c>
      <c r="Q108" s="11" t="s">
        <v>37</v>
      </c>
      <c r="R108" s="11"/>
      <c r="S108" s="11">
        <v>1</v>
      </c>
      <c r="T108" s="11"/>
      <c r="U108" s="11" t="s">
        <v>38</v>
      </c>
      <c r="V108" s="16" t="s">
        <v>31</v>
      </c>
    </row>
    <row r="109" spans="1:22" hidden="1" x14ac:dyDescent="0.3">
      <c r="A109" s="10">
        <v>46092</v>
      </c>
      <c r="B109" s="11">
        <v>139463</v>
      </c>
      <c r="C109" s="11" t="s">
        <v>44</v>
      </c>
      <c r="D109" s="11" t="s">
        <v>101</v>
      </c>
      <c r="E109" s="11" t="s">
        <v>47</v>
      </c>
      <c r="F109" s="11" t="s">
        <v>25</v>
      </c>
      <c r="G109" s="12">
        <v>340</v>
      </c>
      <c r="H109" s="13">
        <v>171</v>
      </c>
      <c r="I109" s="14">
        <f>vendas2026[[#This Row],[Qtde]]*vendas2026[[#This Row],[VlrUnitário]]</f>
        <v>58140</v>
      </c>
      <c r="J109" s="14">
        <f>vendas2026[[#This Row],[VlrTotal]]</f>
        <v>58140</v>
      </c>
      <c r="K109" s="15">
        <v>0.05</v>
      </c>
      <c r="L109" s="15">
        <f>vendas2026[[#This Row],[%Comissão]]*0.25</f>
        <v>1.2500000000000001E-2</v>
      </c>
      <c r="M109" s="14" t="s">
        <v>46</v>
      </c>
      <c r="N109" s="23">
        <f>vendas2026[[#This Row],[VlrTotal]]*vendas2026[[#This Row],[%Comissão]]</f>
        <v>2907</v>
      </c>
      <c r="O109" s="14">
        <f>vendas2026[[#This Row],[VlrTotal]]*vendas2026[[#This Row],[%ComissãoSupervisor]]</f>
        <v>726.75</v>
      </c>
      <c r="P109" s="11" t="s">
        <v>27</v>
      </c>
      <c r="Q109" s="11" t="s">
        <v>27</v>
      </c>
      <c r="R109" s="11"/>
      <c r="S109" s="11">
        <v>6</v>
      </c>
      <c r="T109" s="11"/>
      <c r="U109" s="11" t="s">
        <v>28</v>
      </c>
      <c r="V109" s="16" t="s">
        <v>44</v>
      </c>
    </row>
    <row r="110" spans="1:22" hidden="1" x14ac:dyDescent="0.3">
      <c r="A110" s="10">
        <v>46092</v>
      </c>
      <c r="B110" s="11">
        <v>139463</v>
      </c>
      <c r="C110" s="11" t="s">
        <v>44</v>
      </c>
      <c r="D110" s="11" t="s">
        <v>101</v>
      </c>
      <c r="E110" s="11" t="s">
        <v>63</v>
      </c>
      <c r="F110" s="11" t="s">
        <v>25</v>
      </c>
      <c r="G110" s="12">
        <v>60</v>
      </c>
      <c r="H110" s="13">
        <v>171</v>
      </c>
      <c r="I110" s="14">
        <f>vendas2026[[#This Row],[Qtde]]*vendas2026[[#This Row],[VlrUnitário]]</f>
        <v>10260</v>
      </c>
      <c r="J110" s="14">
        <f>vendas2026[[#This Row],[VlrTotal]]</f>
        <v>10260</v>
      </c>
      <c r="K110" s="15">
        <v>0.05</v>
      </c>
      <c r="L110" s="15">
        <f>vendas2026[[#This Row],[%Comissão]]*0.25</f>
        <v>1.2500000000000001E-2</v>
      </c>
      <c r="M110" s="14" t="s">
        <v>46</v>
      </c>
      <c r="N110" s="23">
        <f>vendas2026[[#This Row],[VlrTotal]]*vendas2026[[#This Row],[%Comissão]]</f>
        <v>513</v>
      </c>
      <c r="O110" s="14">
        <f>vendas2026[[#This Row],[VlrTotal]]*vendas2026[[#This Row],[%ComissãoSupervisor]]</f>
        <v>128.25</v>
      </c>
      <c r="P110" s="11" t="s">
        <v>27</v>
      </c>
      <c r="Q110" s="11" t="s">
        <v>27</v>
      </c>
      <c r="R110" s="11"/>
      <c r="S110" s="11">
        <v>6</v>
      </c>
      <c r="T110" s="11"/>
      <c r="U110" s="11" t="s">
        <v>28</v>
      </c>
      <c r="V110" s="16" t="s">
        <v>44</v>
      </c>
    </row>
    <row r="111" spans="1:22" hidden="1" x14ac:dyDescent="0.3">
      <c r="A111" s="10">
        <v>46092</v>
      </c>
      <c r="B111" s="11">
        <v>139463</v>
      </c>
      <c r="C111" s="11" t="s">
        <v>44</v>
      </c>
      <c r="D111" s="11" t="s">
        <v>101</v>
      </c>
      <c r="E111" s="11" t="s">
        <v>54</v>
      </c>
      <c r="F111" s="11" t="s">
        <v>25</v>
      </c>
      <c r="G111" s="12">
        <v>48</v>
      </c>
      <c r="H111" s="13">
        <v>171</v>
      </c>
      <c r="I111" s="14">
        <v>0</v>
      </c>
      <c r="J111" s="14">
        <v>0</v>
      </c>
      <c r="K111" s="15">
        <v>0.05</v>
      </c>
      <c r="L111" s="15">
        <f>vendas2026[[#This Row],[%Comissão]]*0.25</f>
        <v>1.2500000000000001E-2</v>
      </c>
      <c r="M111" s="14" t="s">
        <v>46</v>
      </c>
      <c r="N111" s="23">
        <f>vendas2026[[#This Row],[VlrTotal]]*vendas2026[[#This Row],[%Comissão]]</f>
        <v>0</v>
      </c>
      <c r="O111" s="14">
        <f>vendas2026[[#This Row],[VlrTotal]]*vendas2026[[#This Row],[%ComissãoSupervisor]]</f>
        <v>0</v>
      </c>
      <c r="P111" s="11" t="s">
        <v>27</v>
      </c>
      <c r="Q111" s="11" t="s">
        <v>27</v>
      </c>
      <c r="R111" s="11"/>
      <c r="S111" s="11">
        <v>6</v>
      </c>
      <c r="T111" s="11"/>
      <c r="U111" s="11" t="s">
        <v>28</v>
      </c>
      <c r="V111" s="16" t="s">
        <v>44</v>
      </c>
    </row>
    <row r="112" spans="1:22" hidden="1" x14ac:dyDescent="0.3">
      <c r="A112" s="10">
        <v>46092</v>
      </c>
      <c r="B112" s="11">
        <v>139465</v>
      </c>
      <c r="C112" s="11" t="s">
        <v>44</v>
      </c>
      <c r="D112" s="11" t="s">
        <v>101</v>
      </c>
      <c r="E112" s="11" t="s">
        <v>102</v>
      </c>
      <c r="F112" s="11" t="s">
        <v>30</v>
      </c>
      <c r="G112" s="12">
        <v>1</v>
      </c>
      <c r="H112" s="13">
        <v>3844.54</v>
      </c>
      <c r="I112" s="14">
        <f>vendas2026[[#This Row],[Qtde]]*vendas2026[[#This Row],[VlrUnitário]]</f>
        <v>3844.54</v>
      </c>
      <c r="J112" s="14">
        <f>vendas2026[[#This Row],[VlrTotal]]</f>
        <v>3844.54</v>
      </c>
      <c r="K112" s="15">
        <v>1</v>
      </c>
      <c r="L112" s="15">
        <f>vendas2026[[#This Row],[%Comissão]]*0.25</f>
        <v>0.25</v>
      </c>
      <c r="M112" s="14" t="s">
        <v>46</v>
      </c>
      <c r="N112" s="23">
        <f>vendas2026[[#This Row],[VlrTotal]]*vendas2026[[#This Row],[%Comissão]]</f>
        <v>3844.54</v>
      </c>
      <c r="O112" s="14">
        <f>vendas2026[[#This Row],[VlrTotal]]*vendas2026[[#This Row],[%ComissãoSupervisor]]</f>
        <v>961.13499999999999</v>
      </c>
      <c r="P112" s="11" t="s">
        <v>27</v>
      </c>
      <c r="Q112" s="11" t="s">
        <v>27</v>
      </c>
      <c r="R112" s="11"/>
      <c r="S112" s="11">
        <v>1</v>
      </c>
      <c r="T112" s="11"/>
      <c r="U112" s="11" t="s">
        <v>28</v>
      </c>
      <c r="V112" s="16" t="s">
        <v>44</v>
      </c>
    </row>
    <row r="113" spans="1:22" hidden="1" x14ac:dyDescent="0.3">
      <c r="A113" s="10">
        <v>46092</v>
      </c>
      <c r="B113" s="11">
        <v>139463</v>
      </c>
      <c r="C113" s="11" t="s">
        <v>44</v>
      </c>
      <c r="D113" s="11" t="s">
        <v>101</v>
      </c>
      <c r="E113" s="11" t="s">
        <v>47</v>
      </c>
      <c r="F113" s="11" t="s">
        <v>30</v>
      </c>
      <c r="G113" s="12" t="s">
        <v>103</v>
      </c>
      <c r="H113" s="13">
        <v>285.62</v>
      </c>
      <c r="I113" s="14">
        <f>vendas2026[[#This Row],[VlrUnitário]]*15</f>
        <v>4284.3</v>
      </c>
      <c r="J113" s="14">
        <f>vendas2026[[#This Row],[VlrTotal]]</f>
        <v>4284.3</v>
      </c>
      <c r="K113" s="15">
        <v>1</v>
      </c>
      <c r="L113" s="15">
        <f>vendas2026[[#This Row],[%Comissão]]*0.25</f>
        <v>0.25</v>
      </c>
      <c r="M113" s="14" t="s">
        <v>46</v>
      </c>
      <c r="N113" s="23">
        <f>vendas2026[[#This Row],[VlrTotal]]*vendas2026[[#This Row],[%Comissão]]</f>
        <v>4284.3</v>
      </c>
      <c r="O113" s="14">
        <f>vendas2026[[#This Row],[VlrTotal]]*vendas2026[[#This Row],[%ComissãoSupervisor]]</f>
        <v>1071.075</v>
      </c>
      <c r="P113" s="11" t="s">
        <v>27</v>
      </c>
      <c r="Q113" s="11" t="s">
        <v>27</v>
      </c>
      <c r="R113" s="11"/>
      <c r="S113" s="11">
        <v>1</v>
      </c>
      <c r="T113" s="11"/>
      <c r="U113" s="11" t="s">
        <v>28</v>
      </c>
      <c r="V113" s="16" t="s">
        <v>44</v>
      </c>
    </row>
    <row r="114" spans="1:22" hidden="1" x14ac:dyDescent="0.3">
      <c r="A114" s="10">
        <v>46092</v>
      </c>
      <c r="B114" s="11">
        <v>139463</v>
      </c>
      <c r="C114" s="11" t="s">
        <v>44</v>
      </c>
      <c r="D114" s="11" t="s">
        <v>101</v>
      </c>
      <c r="E114" s="11" t="s">
        <v>54</v>
      </c>
      <c r="F114" s="11" t="s">
        <v>30</v>
      </c>
      <c r="G114" s="12" t="s">
        <v>103</v>
      </c>
      <c r="H114" s="13">
        <v>148</v>
      </c>
      <c r="I114" s="14">
        <f>vendas2026[[#This Row],[VlrUnitário]]*15</f>
        <v>2220</v>
      </c>
      <c r="J114" s="14">
        <f>vendas2026[[#This Row],[VlrTotal]]</f>
        <v>2220</v>
      </c>
      <c r="K114" s="15">
        <v>1</v>
      </c>
      <c r="L114" s="15">
        <f>vendas2026[[#This Row],[%Comissão]]*0.25</f>
        <v>0.25</v>
      </c>
      <c r="M114" s="14" t="s">
        <v>46</v>
      </c>
      <c r="N114" s="23">
        <f>vendas2026[[#This Row],[VlrTotal]]*vendas2026[[#This Row],[%Comissão]]</f>
        <v>2220</v>
      </c>
      <c r="O114" s="14">
        <f>vendas2026[[#This Row],[VlrTotal]]*vendas2026[[#This Row],[%ComissãoSupervisor]]</f>
        <v>555</v>
      </c>
      <c r="P114" s="11" t="s">
        <v>27</v>
      </c>
      <c r="Q114" s="11" t="s">
        <v>27</v>
      </c>
      <c r="R114" s="11"/>
      <c r="S114" s="11">
        <v>1</v>
      </c>
      <c r="T114" s="11"/>
      <c r="U114" s="11" t="s">
        <v>28</v>
      </c>
      <c r="V114" s="16" t="s">
        <v>44</v>
      </c>
    </row>
    <row r="115" spans="1:22" hidden="1" x14ac:dyDescent="0.3">
      <c r="A115" s="10">
        <v>46092</v>
      </c>
      <c r="B115" s="11">
        <v>139463</v>
      </c>
      <c r="C115" s="11" t="s">
        <v>44</v>
      </c>
      <c r="D115" s="11" t="s">
        <v>101</v>
      </c>
      <c r="E115" s="11" t="s">
        <v>89</v>
      </c>
      <c r="F115" s="11" t="s">
        <v>30</v>
      </c>
      <c r="G115" s="12">
        <v>1</v>
      </c>
      <c r="H115" s="13">
        <v>356.4</v>
      </c>
      <c r="I115" s="14">
        <f>vendas2026[[#This Row],[Qtde]]*vendas2026[[#This Row],[VlrUnitário]]</f>
        <v>356.4</v>
      </c>
      <c r="J115" s="14">
        <f>vendas2026[[#This Row],[VlrTotal]]</f>
        <v>356.4</v>
      </c>
      <c r="K115" s="15">
        <v>1</v>
      </c>
      <c r="L115" s="15">
        <f>vendas2026[[#This Row],[%Comissão]]*0.25</f>
        <v>0.25</v>
      </c>
      <c r="M115" s="14" t="s">
        <v>46</v>
      </c>
      <c r="N115" s="23">
        <f>vendas2026[[#This Row],[VlrTotal]]*vendas2026[[#This Row],[%Comissão]]</f>
        <v>356.4</v>
      </c>
      <c r="O115" s="14">
        <f>vendas2026[[#This Row],[VlrTotal]]*vendas2026[[#This Row],[%ComissãoSupervisor]]</f>
        <v>89.1</v>
      </c>
      <c r="P115" s="11" t="s">
        <v>27</v>
      </c>
      <c r="Q115" s="11" t="s">
        <v>27</v>
      </c>
      <c r="R115" s="11"/>
      <c r="S115" s="11">
        <v>1</v>
      </c>
      <c r="T115" s="11"/>
      <c r="U115" s="11" t="s">
        <v>28</v>
      </c>
      <c r="V115" s="16" t="s">
        <v>44</v>
      </c>
    </row>
    <row r="116" spans="1:22" hidden="1" x14ac:dyDescent="0.3">
      <c r="A116" s="10">
        <v>46092</v>
      </c>
      <c r="B116" s="11">
        <v>139463</v>
      </c>
      <c r="C116" s="11" t="s">
        <v>44</v>
      </c>
      <c r="D116" s="11" t="s">
        <v>101</v>
      </c>
      <c r="E116" s="11" t="s">
        <v>63</v>
      </c>
      <c r="F116" s="11" t="s">
        <v>30</v>
      </c>
      <c r="G116" s="12" t="s">
        <v>104</v>
      </c>
      <c r="H116" s="13">
        <v>115</v>
      </c>
      <c r="I116" s="14">
        <f>vendas2026[[#This Row],[VlrUnitário]]*40</f>
        <v>4600</v>
      </c>
      <c r="J116" s="14">
        <f>vendas2026[[#This Row],[VlrTotal]]</f>
        <v>4600</v>
      </c>
      <c r="K116" s="15">
        <v>1</v>
      </c>
      <c r="L116" s="15">
        <f>vendas2026[[#This Row],[%Comissão]]*0.25</f>
        <v>0.25</v>
      </c>
      <c r="M116" s="14" t="s">
        <v>46</v>
      </c>
      <c r="N116" s="23">
        <f>vendas2026[[#This Row],[VlrTotal]]*vendas2026[[#This Row],[%Comissão]]</f>
        <v>4600</v>
      </c>
      <c r="O116" s="14">
        <f>vendas2026[[#This Row],[VlrTotal]]*vendas2026[[#This Row],[%ComissãoSupervisor]]</f>
        <v>1150</v>
      </c>
      <c r="P116" s="11" t="s">
        <v>27</v>
      </c>
      <c r="Q116" s="11" t="s">
        <v>27</v>
      </c>
      <c r="R116" s="11"/>
      <c r="S116" s="11">
        <v>1</v>
      </c>
      <c r="T116" s="11"/>
      <c r="U116" s="11" t="s">
        <v>28</v>
      </c>
      <c r="V116" s="16" t="s">
        <v>44</v>
      </c>
    </row>
    <row r="117" spans="1:22" hidden="1" x14ac:dyDescent="0.3">
      <c r="A117" s="10">
        <v>46092</v>
      </c>
      <c r="B117" s="11">
        <v>128860</v>
      </c>
      <c r="C117" s="11" t="s">
        <v>22</v>
      </c>
      <c r="D117" s="11" t="s">
        <v>70</v>
      </c>
      <c r="E117" s="11" t="s">
        <v>24</v>
      </c>
      <c r="F117" s="11" t="s">
        <v>25</v>
      </c>
      <c r="G117" s="12">
        <v>40</v>
      </c>
      <c r="H117" s="13">
        <v>185</v>
      </c>
      <c r="I117" s="14">
        <f>vendas2026[[#This Row],[VlrUnitário]]*40</f>
        <v>7400</v>
      </c>
      <c r="J117" s="23">
        <v>7400</v>
      </c>
      <c r="K117" s="15">
        <v>7.0000000000000007E-2</v>
      </c>
      <c r="L117" s="15">
        <v>0</v>
      </c>
      <c r="M117" s="14" t="s">
        <v>26</v>
      </c>
      <c r="N117" s="23">
        <f>vendas2026[[#This Row],[VlrTotal]]*vendas2026[[#This Row],[%Comissão]]</f>
        <v>518</v>
      </c>
      <c r="O117" s="14">
        <f>vendas2026[[#This Row],[VlrTotal]]*vendas2026[[#This Row],[%ComissãoSupervisor]]</f>
        <v>0</v>
      </c>
      <c r="P117" s="11" t="s">
        <v>36</v>
      </c>
      <c r="Q117" s="11" t="s">
        <v>37</v>
      </c>
      <c r="R117" s="11"/>
      <c r="S117" s="11">
        <v>4</v>
      </c>
      <c r="T117" s="11"/>
      <c r="U117" s="11" t="s">
        <v>38</v>
      </c>
      <c r="V117" s="16" t="s">
        <v>22</v>
      </c>
    </row>
    <row r="118" spans="1:22" hidden="1" x14ac:dyDescent="0.3">
      <c r="A118" s="10">
        <v>46093</v>
      </c>
      <c r="B118" s="11">
        <v>137729</v>
      </c>
      <c r="C118" s="11" t="s">
        <v>31</v>
      </c>
      <c r="D118" s="11" t="s">
        <v>65</v>
      </c>
      <c r="E118" s="11" t="s">
        <v>35</v>
      </c>
      <c r="F118" s="11" t="s">
        <v>35</v>
      </c>
      <c r="G118" s="12">
        <v>48</v>
      </c>
      <c r="H118" s="13">
        <v>176</v>
      </c>
      <c r="I118" s="14">
        <f>vendas2026[[#This Row],[Qtde]]*vendas2026[[#This Row],[VlrUnitário]]</f>
        <v>8448</v>
      </c>
      <c r="J118" s="23">
        <f>vendas2026[[#This Row],[VlrTotal]]</f>
        <v>8448</v>
      </c>
      <c r="K118" s="15">
        <v>0.01</v>
      </c>
      <c r="L118" s="15">
        <f>vendas2026[[#This Row],[%Comissão]]*0.25</f>
        <v>2.5000000000000001E-3</v>
      </c>
      <c r="M118" s="14" t="s">
        <v>26</v>
      </c>
      <c r="N118" s="23">
        <f>vendas2026[[#This Row],[VlrTotal]]*vendas2026[[#This Row],[%Comissão]]</f>
        <v>84.48</v>
      </c>
      <c r="O118" s="14">
        <f>vendas2026[[#This Row],[VlrTotal]]*vendas2026[[#This Row],[%ComissãoSupervisor]]</f>
        <v>21.12</v>
      </c>
      <c r="P118" s="11" t="s">
        <v>36</v>
      </c>
      <c r="Q118" s="11" t="s">
        <v>37</v>
      </c>
      <c r="R118" s="11"/>
      <c r="S118" s="11">
        <v>3</v>
      </c>
      <c r="T118" s="11"/>
      <c r="U118" s="11" t="s">
        <v>38</v>
      </c>
      <c r="V118" s="16" t="s">
        <v>31</v>
      </c>
    </row>
    <row r="119" spans="1:22" hidden="1" x14ac:dyDescent="0.3">
      <c r="A119" s="10">
        <v>46093</v>
      </c>
      <c r="B119" s="11">
        <v>138126</v>
      </c>
      <c r="C119" s="11" t="s">
        <v>31</v>
      </c>
      <c r="D119" s="11" t="s">
        <v>49</v>
      </c>
      <c r="E119" s="11" t="s">
        <v>35</v>
      </c>
      <c r="F119" s="11" t="s">
        <v>35</v>
      </c>
      <c r="G119" s="12">
        <v>8</v>
      </c>
      <c r="H119" s="13">
        <v>176</v>
      </c>
      <c r="I119" s="14">
        <f>vendas2026[[#This Row],[Qtde]]*vendas2026[[#This Row],[VlrUnitário]]</f>
        <v>1408</v>
      </c>
      <c r="J119" s="23">
        <f>vendas2026[[#This Row],[VlrTotal]]</f>
        <v>1408</v>
      </c>
      <c r="K119" s="15">
        <v>0.01</v>
      </c>
      <c r="L119" s="15">
        <f>vendas2026[[#This Row],[%Comissão]]*0.25</f>
        <v>2.5000000000000001E-3</v>
      </c>
      <c r="M119" s="14" t="s">
        <v>26</v>
      </c>
      <c r="N119" s="23">
        <f>vendas2026[[#This Row],[VlrTotal]]*vendas2026[[#This Row],[%Comissão]]</f>
        <v>14.08</v>
      </c>
      <c r="O119" s="14">
        <f>vendas2026[[#This Row],[VlrTotal]]*vendas2026[[#This Row],[%ComissãoSupervisor]]</f>
        <v>3.52</v>
      </c>
      <c r="P119" s="11" t="s">
        <v>36</v>
      </c>
      <c r="Q119" s="11" t="s">
        <v>37</v>
      </c>
      <c r="R119" s="11"/>
      <c r="S119" s="11">
        <v>1</v>
      </c>
      <c r="T119" s="11"/>
      <c r="U119" s="11" t="s">
        <v>38</v>
      </c>
      <c r="V119" s="16" t="s">
        <v>31</v>
      </c>
    </row>
    <row r="120" spans="1:22" hidden="1" x14ac:dyDescent="0.3">
      <c r="A120" s="10">
        <v>46094</v>
      </c>
      <c r="B120" s="11">
        <v>116031</v>
      </c>
      <c r="C120" s="11" t="s">
        <v>44</v>
      </c>
      <c r="D120" s="11" t="s">
        <v>105</v>
      </c>
      <c r="E120" s="11" t="s">
        <v>24</v>
      </c>
      <c r="F120" s="11" t="s">
        <v>25</v>
      </c>
      <c r="G120" s="12">
        <v>101.75</v>
      </c>
      <c r="H120" s="13">
        <v>162.44999999999999</v>
      </c>
      <c r="I120" s="14">
        <f>vendas2026[[#This Row],[Qtde]]*vendas2026[[#This Row],[VlrUnitário]]</f>
        <v>16529.287499999999</v>
      </c>
      <c r="J120" s="23">
        <f>vendas2026[[#This Row],[VlrTotal]]</f>
        <v>16529.287499999999</v>
      </c>
      <c r="K120" s="15">
        <v>0.05</v>
      </c>
      <c r="L120" s="15">
        <f>vendas2026[[#This Row],[%Comissão]]*0.25</f>
        <v>1.2500000000000001E-2</v>
      </c>
      <c r="M120" s="14" t="s">
        <v>26</v>
      </c>
      <c r="N120" s="23">
        <f>vendas2026[[#This Row],[VlrTotal]]*vendas2026[[#This Row],[%Comissão]]</f>
        <v>826.46437500000002</v>
      </c>
      <c r="O120" s="14">
        <f>vendas2026[[#This Row],[VlrTotal]]*vendas2026[[#This Row],[%ComissãoSupervisor]]</f>
        <v>206.61609375</v>
      </c>
      <c r="P120" s="11" t="s">
        <v>36</v>
      </c>
      <c r="Q120" s="11" t="s">
        <v>37</v>
      </c>
      <c r="R120" s="11"/>
      <c r="S120" s="11">
        <v>8</v>
      </c>
      <c r="T120" s="11"/>
      <c r="U120" s="11" t="s">
        <v>38</v>
      </c>
      <c r="V120" s="16" t="s">
        <v>44</v>
      </c>
    </row>
    <row r="121" spans="1:22" hidden="1" x14ac:dyDescent="0.3">
      <c r="A121" s="10">
        <v>46099</v>
      </c>
      <c r="B121" s="11">
        <v>139762</v>
      </c>
      <c r="C121" s="11" t="s">
        <v>31</v>
      </c>
      <c r="D121" s="11" t="s">
        <v>106</v>
      </c>
      <c r="E121" s="11" t="s">
        <v>35</v>
      </c>
      <c r="F121" s="11" t="s">
        <v>35</v>
      </c>
      <c r="G121" s="12">
        <v>3</v>
      </c>
      <c r="H121" s="13">
        <v>176</v>
      </c>
      <c r="I121" s="14">
        <f>vendas2026[[#This Row],[Qtde]]*vendas2026[[#This Row],[VlrUnitário]]</f>
        <v>528</v>
      </c>
      <c r="J121" s="23">
        <f>vendas2026[[#This Row],[VlrTotal]]</f>
        <v>528</v>
      </c>
      <c r="K121" s="15">
        <v>0.01</v>
      </c>
      <c r="L121" s="15">
        <f>vendas2026[[#This Row],[%Comissão]]*0.25</f>
        <v>2.5000000000000001E-3</v>
      </c>
      <c r="M121" s="14" t="s">
        <v>26</v>
      </c>
      <c r="N121" s="23">
        <f>vendas2026[[#This Row],[VlrTotal]]*vendas2026[[#This Row],[%Comissão]]</f>
        <v>5.28</v>
      </c>
      <c r="O121" s="14">
        <f>vendas2026[[#This Row],[VlrTotal]]*vendas2026[[#This Row],[%ComissãoSupervisor]]</f>
        <v>1.32</v>
      </c>
      <c r="P121" s="11" t="s">
        <v>36</v>
      </c>
      <c r="Q121" s="11" t="s">
        <v>37</v>
      </c>
      <c r="R121" s="11"/>
      <c r="S121" s="11">
        <v>1</v>
      </c>
      <c r="T121" s="11"/>
      <c r="U121" s="11" t="s">
        <v>38</v>
      </c>
      <c r="V121" s="16" t="s">
        <v>31</v>
      </c>
    </row>
    <row r="122" spans="1:22" hidden="1" x14ac:dyDescent="0.3">
      <c r="A122" s="10">
        <v>46099</v>
      </c>
      <c r="B122" s="11">
        <v>137720</v>
      </c>
      <c r="C122" s="11" t="s">
        <v>31</v>
      </c>
      <c r="D122" s="11" t="s">
        <v>74</v>
      </c>
      <c r="E122" s="11" t="s">
        <v>24</v>
      </c>
      <c r="F122" s="11" t="s">
        <v>25</v>
      </c>
      <c r="G122" s="12">
        <v>10</v>
      </c>
      <c r="H122" s="13">
        <v>210</v>
      </c>
      <c r="I122" s="14">
        <f>vendas2026[[#This Row],[Qtde]]*vendas2026[[#This Row],[VlrUnitário]]</f>
        <v>2100</v>
      </c>
      <c r="J122" s="23">
        <f>vendas2026[[#This Row],[VlrTotal]]</f>
        <v>2100</v>
      </c>
      <c r="K122" s="15">
        <v>7.0000000000000007E-2</v>
      </c>
      <c r="L122" s="15">
        <f>vendas2026[[#This Row],[%Comissão]]*0.25</f>
        <v>1.7500000000000002E-2</v>
      </c>
      <c r="M122" s="14" t="s">
        <v>26</v>
      </c>
      <c r="N122" s="23">
        <f>vendas2026[[#This Row],[VlrTotal]]*vendas2026[[#This Row],[%Comissão]]</f>
        <v>147</v>
      </c>
      <c r="O122" s="14">
        <f>vendas2026[[#This Row],[VlrTotal]]*vendas2026[[#This Row],[%ComissãoSupervisor]]</f>
        <v>36.75</v>
      </c>
      <c r="P122" s="11" t="s">
        <v>36</v>
      </c>
      <c r="Q122" s="11" t="s">
        <v>37</v>
      </c>
      <c r="R122" s="11"/>
      <c r="S122" s="11">
        <v>6</v>
      </c>
      <c r="T122" s="11"/>
      <c r="U122" s="11" t="s">
        <v>38</v>
      </c>
      <c r="V122" s="16" t="s">
        <v>31</v>
      </c>
    </row>
    <row r="123" spans="1:22" hidden="1" x14ac:dyDescent="0.3">
      <c r="A123" s="10">
        <v>46099</v>
      </c>
      <c r="B123" s="11">
        <v>139891</v>
      </c>
      <c r="C123" s="11" t="s">
        <v>31</v>
      </c>
      <c r="D123" s="11" t="s">
        <v>107</v>
      </c>
      <c r="E123" s="11" t="s">
        <v>102</v>
      </c>
      <c r="F123" s="11" t="s">
        <v>41</v>
      </c>
      <c r="G123" s="12">
        <v>1</v>
      </c>
      <c r="H123" s="13">
        <v>1600</v>
      </c>
      <c r="I123" s="14">
        <f>vendas2026[[#This Row],[Qtde]]*vendas2026[[#This Row],[VlrUnitário]]</f>
        <v>1600</v>
      </c>
      <c r="J123" s="23">
        <f>(vendas2026[[#This Row],[VlrTotal]]*0.2)+vendas2026[[#This Row],[VlrTotal]]</f>
        <v>1920</v>
      </c>
      <c r="K123" s="15">
        <v>0.25</v>
      </c>
      <c r="L123" s="15">
        <f>vendas2026[[#This Row],[%Comissão]]*0.25</f>
        <v>6.25E-2</v>
      </c>
      <c r="M123" s="14" t="s">
        <v>26</v>
      </c>
      <c r="N123" s="23">
        <f>vendas2026[[#This Row],[VlrTotal]]*vendas2026[[#This Row],[%Comissão]]</f>
        <v>400</v>
      </c>
      <c r="O123" s="14">
        <f>vendas2026[[#This Row],[VlrTotal]]*vendas2026[[#This Row],[%ComissãoSupervisor]]</f>
        <v>100</v>
      </c>
      <c r="P123" s="11" t="s">
        <v>27</v>
      </c>
      <c r="Q123" s="11" t="s">
        <v>27</v>
      </c>
      <c r="R123" s="11"/>
      <c r="S123" s="11">
        <v>1</v>
      </c>
      <c r="T123" s="11"/>
      <c r="U123" s="11" t="s">
        <v>28</v>
      </c>
      <c r="V123" s="16" t="s">
        <v>31</v>
      </c>
    </row>
    <row r="124" spans="1:22" hidden="1" x14ac:dyDescent="0.3">
      <c r="A124" s="10">
        <v>46099</v>
      </c>
      <c r="B124" s="11">
        <v>139891</v>
      </c>
      <c r="C124" s="11" t="s">
        <v>31</v>
      </c>
      <c r="D124" s="11" t="s">
        <v>107</v>
      </c>
      <c r="E124" s="11" t="s">
        <v>102</v>
      </c>
      <c r="F124" s="11" t="s">
        <v>30</v>
      </c>
      <c r="G124" s="12">
        <v>1</v>
      </c>
      <c r="H124" s="13">
        <v>3442.8</v>
      </c>
      <c r="I124" s="14">
        <f>vendas2026[[#This Row],[Qtde]]*vendas2026[[#This Row],[VlrUnitário]]</f>
        <v>3442.8</v>
      </c>
      <c r="J124" s="23">
        <f>(vendas2026[[#This Row],[VlrTotal]]*0.2)+vendas2026[[#This Row],[VlrTotal]]</f>
        <v>4131.3600000000006</v>
      </c>
      <c r="K124" s="15">
        <v>1</v>
      </c>
      <c r="L124" s="15">
        <f>vendas2026[[#This Row],[%Comissão]]*0.25</f>
        <v>0.25</v>
      </c>
      <c r="M124" s="14" t="s">
        <v>26</v>
      </c>
      <c r="N124" s="23">
        <f>vendas2026[[#This Row],[VlrTotal]]*vendas2026[[#This Row],[%Comissão]]</f>
        <v>3442.8</v>
      </c>
      <c r="O124" s="14">
        <f>vendas2026[[#This Row],[VlrTotal]]*vendas2026[[#This Row],[%ComissãoSupervisor]]</f>
        <v>860.7</v>
      </c>
      <c r="P124" s="11" t="s">
        <v>27</v>
      </c>
      <c r="Q124" s="11" t="s">
        <v>27</v>
      </c>
      <c r="R124" s="11"/>
      <c r="S124" s="11">
        <v>1</v>
      </c>
      <c r="T124" s="11"/>
      <c r="U124" s="11" t="s">
        <v>28</v>
      </c>
      <c r="V124" s="16" t="s">
        <v>31</v>
      </c>
    </row>
    <row r="125" spans="1:22" hidden="1" x14ac:dyDescent="0.3">
      <c r="A125" s="10">
        <v>46100</v>
      </c>
      <c r="B125" s="11">
        <v>136464</v>
      </c>
      <c r="C125" s="11" t="s">
        <v>31</v>
      </c>
      <c r="D125" s="11" t="s">
        <v>94</v>
      </c>
      <c r="E125" s="11" t="s">
        <v>35</v>
      </c>
      <c r="F125" s="11" t="s">
        <v>35</v>
      </c>
      <c r="G125" s="12">
        <v>8</v>
      </c>
      <c r="H125" s="13">
        <v>176</v>
      </c>
      <c r="I125" s="14">
        <f>vendas2026[[#This Row],[Qtde]]*vendas2026[[#This Row],[VlrUnitário]]</f>
        <v>1408</v>
      </c>
      <c r="J125" s="23">
        <f>vendas2026[[#This Row],[VlrTotal]]</f>
        <v>1408</v>
      </c>
      <c r="K125" s="15">
        <v>0.01</v>
      </c>
      <c r="L125" s="15">
        <f>vendas2026[[#This Row],[%Comissão]]*0.25</f>
        <v>2.5000000000000001E-3</v>
      </c>
      <c r="M125" s="14" t="s">
        <v>26</v>
      </c>
      <c r="N125" s="23">
        <f>vendas2026[[#This Row],[VlrTotal]]*vendas2026[[#This Row],[%Comissão]]</f>
        <v>14.08</v>
      </c>
      <c r="O125" s="14">
        <f>vendas2026[[#This Row],[VlrTotal]]*vendas2026[[#This Row],[%ComissãoSupervisor]]</f>
        <v>3.52</v>
      </c>
      <c r="P125" s="11" t="s">
        <v>36</v>
      </c>
      <c r="Q125" s="11" t="s">
        <v>37</v>
      </c>
      <c r="R125" s="11"/>
      <c r="S125" s="11">
        <v>3</v>
      </c>
      <c r="T125" s="11"/>
      <c r="U125" s="11" t="s">
        <v>38</v>
      </c>
      <c r="V125" s="16" t="s">
        <v>31</v>
      </c>
    </row>
    <row r="126" spans="1:22" hidden="1" x14ac:dyDescent="0.3">
      <c r="A126" s="10">
        <v>46100</v>
      </c>
      <c r="B126" s="11">
        <v>137380</v>
      </c>
      <c r="C126" s="11" t="s">
        <v>31</v>
      </c>
      <c r="D126" s="11" t="s">
        <v>93</v>
      </c>
      <c r="E126" s="11" t="s">
        <v>35</v>
      </c>
      <c r="F126" s="11" t="s">
        <v>35</v>
      </c>
      <c r="G126" s="12">
        <v>16</v>
      </c>
      <c r="H126" s="13">
        <v>140.80000000000001</v>
      </c>
      <c r="I126" s="14">
        <f>vendas2026[[#This Row],[Qtde]]*vendas2026[[#This Row],[VlrUnitário]]</f>
        <v>2252.8000000000002</v>
      </c>
      <c r="J126" s="23">
        <f>vendas2026[[#This Row],[VlrTotal]]</f>
        <v>2252.8000000000002</v>
      </c>
      <c r="K126" s="15">
        <v>6.8999999999999999E-3</v>
      </c>
      <c r="L126" s="15">
        <f>vendas2026[[#This Row],[%Comissão]]*0.25</f>
        <v>1.725E-3</v>
      </c>
      <c r="M126" s="14" t="s">
        <v>26</v>
      </c>
      <c r="N126" s="23">
        <f>vendas2026[[#This Row],[VlrTotal]]*vendas2026[[#This Row],[%Comissão]]</f>
        <v>15.544320000000001</v>
      </c>
      <c r="O126" s="14">
        <f>vendas2026[[#This Row],[VlrTotal]]*vendas2026[[#This Row],[%ComissãoSupervisor]]</f>
        <v>3.8860800000000002</v>
      </c>
      <c r="P126" s="11" t="s">
        <v>36</v>
      </c>
      <c r="Q126" s="11" t="s">
        <v>37</v>
      </c>
      <c r="R126" s="11"/>
      <c r="S126" s="11">
        <v>3</v>
      </c>
      <c r="T126" s="11"/>
      <c r="U126" s="11" t="s">
        <v>38</v>
      </c>
      <c r="V126" s="16" t="s">
        <v>31</v>
      </c>
    </row>
    <row r="127" spans="1:22" hidden="1" x14ac:dyDescent="0.3">
      <c r="A127" s="10">
        <v>46100</v>
      </c>
      <c r="B127" s="11">
        <v>138380</v>
      </c>
      <c r="C127" s="11" t="s">
        <v>31</v>
      </c>
      <c r="D127" s="11" t="s">
        <v>108</v>
      </c>
      <c r="E127" s="11" t="s">
        <v>35</v>
      </c>
      <c r="F127" s="11" t="s">
        <v>35</v>
      </c>
      <c r="G127" s="12">
        <v>16</v>
      </c>
      <c r="H127" s="13">
        <v>140.80000000000001</v>
      </c>
      <c r="I127" s="14">
        <f>vendas2026[[#This Row],[Qtde]]*vendas2026[[#This Row],[VlrUnitário]]</f>
        <v>2252.8000000000002</v>
      </c>
      <c r="J127" s="23">
        <f>vendas2026[[#This Row],[VlrTotal]]</f>
        <v>2252.8000000000002</v>
      </c>
      <c r="K127" s="15">
        <v>6.8999999999999999E-3</v>
      </c>
      <c r="L127" s="15">
        <f>vendas2026[[#This Row],[%Comissão]]*0.25</f>
        <v>1.725E-3</v>
      </c>
      <c r="M127" s="14" t="s">
        <v>26</v>
      </c>
      <c r="N127" s="23">
        <f>vendas2026[[#This Row],[VlrTotal]]*vendas2026[[#This Row],[%Comissão]]</f>
        <v>15.544320000000001</v>
      </c>
      <c r="O127" s="14">
        <f>vendas2026[[#This Row],[VlrTotal]]*vendas2026[[#This Row],[%ComissãoSupervisor]]</f>
        <v>3.8860800000000002</v>
      </c>
      <c r="P127" s="11" t="s">
        <v>36</v>
      </c>
      <c r="Q127" s="11" t="s">
        <v>37</v>
      </c>
      <c r="R127" s="11"/>
      <c r="S127" s="11">
        <v>3</v>
      </c>
      <c r="T127" s="11"/>
      <c r="U127" s="11" t="s">
        <v>38</v>
      </c>
      <c r="V127" s="16" t="s">
        <v>31</v>
      </c>
    </row>
    <row r="128" spans="1:22" hidden="1" x14ac:dyDescent="0.3">
      <c r="A128" s="10">
        <v>46100</v>
      </c>
      <c r="B128" s="11">
        <v>139938</v>
      </c>
      <c r="C128" s="11" t="s">
        <v>31</v>
      </c>
      <c r="D128" s="11" t="s">
        <v>109</v>
      </c>
      <c r="E128" s="11" t="s">
        <v>35</v>
      </c>
      <c r="F128" s="11" t="s">
        <v>35</v>
      </c>
      <c r="G128" s="12">
        <v>4</v>
      </c>
      <c r="H128" s="13">
        <v>176</v>
      </c>
      <c r="I128" s="14">
        <f>vendas2026[[#This Row],[Qtde]]*vendas2026[[#This Row],[VlrUnitário]]</f>
        <v>704</v>
      </c>
      <c r="J128" s="23">
        <f>vendas2026[[#This Row],[VlrTotal]]</f>
        <v>704</v>
      </c>
      <c r="K128" s="15">
        <v>0.01</v>
      </c>
      <c r="L128" s="15">
        <f>vendas2026[[#This Row],[%Comissão]]*0.25</f>
        <v>2.5000000000000001E-3</v>
      </c>
      <c r="M128" s="14" t="s">
        <v>26</v>
      </c>
      <c r="N128" s="23">
        <f>vendas2026[[#This Row],[VlrTotal]]*vendas2026[[#This Row],[%Comissão]]</f>
        <v>7.04</v>
      </c>
      <c r="O128" s="14">
        <f>vendas2026[[#This Row],[VlrTotal]]*vendas2026[[#This Row],[%ComissãoSupervisor]]</f>
        <v>1.76</v>
      </c>
      <c r="P128" s="11" t="s">
        <v>36</v>
      </c>
      <c r="Q128" s="11" t="s">
        <v>37</v>
      </c>
      <c r="R128" s="11"/>
      <c r="S128" s="11">
        <v>1</v>
      </c>
      <c r="T128" s="11"/>
      <c r="U128" s="11" t="s">
        <v>38</v>
      </c>
      <c r="V128" s="16" t="s">
        <v>31</v>
      </c>
    </row>
    <row r="129" spans="1:22" hidden="1" x14ac:dyDescent="0.3">
      <c r="A129" s="10">
        <v>46100</v>
      </c>
      <c r="B129" s="11">
        <v>140072</v>
      </c>
      <c r="C129" s="11" t="s">
        <v>22</v>
      </c>
      <c r="D129" s="11" t="s">
        <v>110</v>
      </c>
      <c r="E129" s="11" t="s">
        <v>111</v>
      </c>
      <c r="F129" s="11" t="s">
        <v>30</v>
      </c>
      <c r="G129" s="12">
        <v>1</v>
      </c>
      <c r="H129" s="13">
        <v>301.26</v>
      </c>
      <c r="I129" s="14">
        <f>vendas2026[[#This Row],[Qtde]]*vendas2026[[#This Row],[VlrUnitário]]</f>
        <v>301.26</v>
      </c>
      <c r="J129" s="23">
        <f>vendas2026[[#This Row],[VlrTotal]]</f>
        <v>301.26</v>
      </c>
      <c r="K129" s="15">
        <v>1</v>
      </c>
      <c r="L129" s="15">
        <v>0</v>
      </c>
      <c r="M129" s="14" t="s">
        <v>26</v>
      </c>
      <c r="N129" s="23">
        <f>vendas2026[[#This Row],[VlrTotal]]*vendas2026[[#This Row],[%Comissão]]</f>
        <v>301.26</v>
      </c>
      <c r="O129" s="14">
        <f>vendas2026[[#This Row],[VlrTotal]]*vendas2026[[#This Row],[%ComissãoSupervisor]]</f>
        <v>0</v>
      </c>
      <c r="P129" s="11" t="s">
        <v>36</v>
      </c>
      <c r="Q129" s="11" t="s">
        <v>37</v>
      </c>
      <c r="R129" s="11"/>
      <c r="S129" s="11">
        <v>1</v>
      </c>
      <c r="T129" s="11"/>
      <c r="U129" s="11" t="s">
        <v>28</v>
      </c>
      <c r="V129" s="16" t="s">
        <v>31</v>
      </c>
    </row>
    <row r="130" spans="1:22" hidden="1" x14ac:dyDescent="0.3">
      <c r="A130" s="10">
        <v>46104</v>
      </c>
      <c r="B130" s="11">
        <v>139635</v>
      </c>
      <c r="C130" s="11" t="s">
        <v>31</v>
      </c>
      <c r="D130" s="11" t="s">
        <v>112</v>
      </c>
      <c r="E130" s="11" t="s">
        <v>35</v>
      </c>
      <c r="F130" s="11" t="s">
        <v>35</v>
      </c>
      <c r="G130" s="12">
        <v>4</v>
      </c>
      <c r="H130" s="13">
        <v>176</v>
      </c>
      <c r="I130" s="14">
        <f>vendas2026[[#This Row],[Qtde]]*vendas2026[[#This Row],[VlrUnitário]]</f>
        <v>704</v>
      </c>
      <c r="J130" s="23">
        <f>vendas2026[[#This Row],[VlrTotal]]</f>
        <v>704</v>
      </c>
      <c r="K130" s="15">
        <v>0.01</v>
      </c>
      <c r="L130" s="15">
        <f>vendas2026[[#This Row],[%Comissão]]*0.25</f>
        <v>2.5000000000000001E-3</v>
      </c>
      <c r="M130" s="14" t="s">
        <v>26</v>
      </c>
      <c r="N130" s="23">
        <f>vendas2026[[#This Row],[VlrTotal]]*vendas2026[[#This Row],[%Comissão]]</f>
        <v>7.04</v>
      </c>
      <c r="O130" s="14">
        <f>vendas2026[[#This Row],[VlrTotal]]*vendas2026[[#This Row],[%ComissãoSupervisor]]</f>
        <v>1.76</v>
      </c>
      <c r="P130" s="11" t="s">
        <v>36</v>
      </c>
      <c r="Q130" s="11" t="s">
        <v>37</v>
      </c>
      <c r="R130" s="11"/>
      <c r="S130" s="11">
        <v>1</v>
      </c>
      <c r="T130" s="11"/>
      <c r="U130" s="11" t="s">
        <v>38</v>
      </c>
      <c r="V130" s="16" t="s">
        <v>31</v>
      </c>
    </row>
    <row r="131" spans="1:22" hidden="1" x14ac:dyDescent="0.3">
      <c r="A131" s="10">
        <v>46104</v>
      </c>
      <c r="B131" s="11">
        <v>140133</v>
      </c>
      <c r="C131" s="11" t="s">
        <v>44</v>
      </c>
      <c r="D131" s="11" t="s">
        <v>113</v>
      </c>
      <c r="E131" s="11" t="s">
        <v>63</v>
      </c>
      <c r="F131" s="11" t="s">
        <v>25</v>
      </c>
      <c r="G131" s="12">
        <v>80</v>
      </c>
      <c r="H131" s="13">
        <v>186.56</v>
      </c>
      <c r="I131" s="14">
        <f>vendas2026[[#This Row],[Qtde]]*vendas2026[[#This Row],[VlrUnitário]]</f>
        <v>14924.8</v>
      </c>
      <c r="J131" s="23">
        <f>vendas2026[[#This Row],[VlrTotal]]</f>
        <v>14924.8</v>
      </c>
      <c r="K131" s="15">
        <v>7.0000000000000007E-2</v>
      </c>
      <c r="L131" s="15">
        <f>vendas2026[[#This Row],[%Comissão]]*0.25</f>
        <v>1.7500000000000002E-2</v>
      </c>
      <c r="M131" s="14" t="s">
        <v>46</v>
      </c>
      <c r="N131" s="23">
        <f>vendas2026[[#This Row],[VlrTotal]]*vendas2026[[#This Row],[%Comissão]]</f>
        <v>1044.7360000000001</v>
      </c>
      <c r="O131" s="14">
        <f>vendas2026[[#This Row],[VlrTotal]]*vendas2026[[#This Row],[%ComissãoSupervisor]]</f>
        <v>261.18400000000003</v>
      </c>
      <c r="P131" s="11" t="s">
        <v>36</v>
      </c>
      <c r="Q131" s="11" t="s">
        <v>37</v>
      </c>
      <c r="R131" s="11"/>
      <c r="S131" s="11">
        <v>1</v>
      </c>
      <c r="T131" s="11"/>
      <c r="U131" s="11" t="s">
        <v>28</v>
      </c>
      <c r="V131" s="16" t="s">
        <v>44</v>
      </c>
    </row>
    <row r="132" spans="1:22" hidden="1" x14ac:dyDescent="0.3">
      <c r="A132" s="10">
        <v>46104</v>
      </c>
      <c r="B132" s="11">
        <v>140133</v>
      </c>
      <c r="C132" s="11" t="s">
        <v>44</v>
      </c>
      <c r="D132" s="11" t="s">
        <v>113</v>
      </c>
      <c r="E132" s="11" t="s">
        <v>63</v>
      </c>
      <c r="F132" s="11" t="s">
        <v>30</v>
      </c>
      <c r="G132" s="12">
        <v>10</v>
      </c>
      <c r="H132" s="13">
        <v>98.33</v>
      </c>
      <c r="I132" s="14">
        <f>vendas2026[[#This Row],[Qtde]]*vendas2026[[#This Row],[VlrUnitário]]</f>
        <v>983.3</v>
      </c>
      <c r="J132" s="23">
        <f>vendas2026[[#This Row],[VlrTotal]]</f>
        <v>983.3</v>
      </c>
      <c r="K132" s="15">
        <v>1</v>
      </c>
      <c r="L132" s="15">
        <f>vendas2026[[#This Row],[%Comissão]]*0.25</f>
        <v>0.25</v>
      </c>
      <c r="M132" s="14" t="s">
        <v>46</v>
      </c>
      <c r="N132" s="23">
        <f>vendas2026[[#This Row],[VlrTotal]]*vendas2026[[#This Row],[%Comissão]]</f>
        <v>983.3</v>
      </c>
      <c r="O132" s="14">
        <f>vendas2026[[#This Row],[VlrTotal]]*vendas2026[[#This Row],[%ComissãoSupervisor]]</f>
        <v>245.82499999999999</v>
      </c>
      <c r="P132" s="11" t="s">
        <v>27</v>
      </c>
      <c r="Q132" s="11" t="s">
        <v>27</v>
      </c>
      <c r="R132" s="11"/>
      <c r="S132" s="11">
        <v>1</v>
      </c>
      <c r="T132" s="11"/>
      <c r="U132" s="11" t="s">
        <v>28</v>
      </c>
      <c r="V132" s="16" t="s">
        <v>44</v>
      </c>
    </row>
    <row r="133" spans="1:22" hidden="1" x14ac:dyDescent="0.3">
      <c r="A133" s="10">
        <v>46104</v>
      </c>
      <c r="B133" s="11">
        <v>138651</v>
      </c>
      <c r="C133" s="11" t="s">
        <v>31</v>
      </c>
      <c r="D133" s="11" t="s">
        <v>114</v>
      </c>
      <c r="E133" s="11" t="s">
        <v>35</v>
      </c>
      <c r="F133" s="11" t="s">
        <v>35</v>
      </c>
      <c r="G133" s="12">
        <v>2</v>
      </c>
      <c r="H133" s="13">
        <v>176</v>
      </c>
      <c r="I133" s="14">
        <f>vendas2026[[#This Row],[Qtde]]*vendas2026[[#This Row],[VlrUnitário]]</f>
        <v>352</v>
      </c>
      <c r="J133" s="23">
        <f>vendas2026[[#This Row],[VlrTotal]]</f>
        <v>352</v>
      </c>
      <c r="K133" s="15">
        <v>0.01</v>
      </c>
      <c r="L133" s="15">
        <f>vendas2026[[#This Row],[%Comissão]]*0.25</f>
        <v>2.5000000000000001E-3</v>
      </c>
      <c r="M133" s="14" t="s">
        <v>26</v>
      </c>
      <c r="N133" s="23">
        <f>vendas2026[[#This Row],[VlrTotal]]*vendas2026[[#This Row],[%Comissão]]</f>
        <v>3.52</v>
      </c>
      <c r="O133" s="14">
        <f>vendas2026[[#This Row],[VlrTotal]]*vendas2026[[#This Row],[%ComissãoSupervisor]]</f>
        <v>0.88</v>
      </c>
      <c r="P133" s="11" t="s">
        <v>36</v>
      </c>
      <c r="Q133" s="11" t="s">
        <v>37</v>
      </c>
      <c r="R133" s="11"/>
      <c r="S133" s="11">
        <v>1</v>
      </c>
      <c r="T133" s="11"/>
      <c r="U133" s="11" t="s">
        <v>38</v>
      </c>
      <c r="V133" s="16" t="s">
        <v>31</v>
      </c>
    </row>
    <row r="134" spans="1:22" hidden="1" x14ac:dyDescent="0.3">
      <c r="A134" s="10">
        <v>46105</v>
      </c>
      <c r="B134" s="11">
        <v>138954</v>
      </c>
      <c r="C134" s="11" t="s">
        <v>31</v>
      </c>
      <c r="D134" s="11" t="s">
        <v>114</v>
      </c>
      <c r="E134" s="11" t="s">
        <v>35</v>
      </c>
      <c r="F134" s="11" t="s">
        <v>35</v>
      </c>
      <c r="G134" s="12">
        <v>36</v>
      </c>
      <c r="H134" s="13">
        <v>176</v>
      </c>
      <c r="I134" s="14">
        <f>vendas2026[[#This Row],[Qtde]]*vendas2026[[#This Row],[VlrUnitário]]</f>
        <v>6336</v>
      </c>
      <c r="J134" s="23">
        <f>vendas2026[[#This Row],[VlrTotal]]</f>
        <v>6336</v>
      </c>
      <c r="K134" s="15">
        <v>0.01</v>
      </c>
      <c r="L134" s="15">
        <f>vendas2026[[#This Row],[%Comissão]]*0.25</f>
        <v>2.5000000000000001E-3</v>
      </c>
      <c r="M134" s="14" t="s">
        <v>26</v>
      </c>
      <c r="N134" s="23">
        <f>vendas2026[[#This Row],[VlrTotal]]*vendas2026[[#This Row],[%Comissão]]</f>
        <v>63.36</v>
      </c>
      <c r="O134" s="14">
        <f>vendas2026[[#This Row],[VlrTotal]]*vendas2026[[#This Row],[%ComissãoSupervisor]]</f>
        <v>15.84</v>
      </c>
      <c r="P134" s="11" t="s">
        <v>36</v>
      </c>
      <c r="Q134" s="11" t="s">
        <v>37</v>
      </c>
      <c r="R134" s="11"/>
      <c r="S134" s="11">
        <v>3</v>
      </c>
      <c r="T134" s="11"/>
      <c r="U134" s="11" t="s">
        <v>38</v>
      </c>
      <c r="V134" s="16" t="s">
        <v>31</v>
      </c>
    </row>
    <row r="135" spans="1:22" hidden="1" x14ac:dyDescent="0.3">
      <c r="A135" s="10">
        <v>46111</v>
      </c>
      <c r="B135" s="11">
        <v>140520</v>
      </c>
      <c r="C135" s="11" t="s">
        <v>31</v>
      </c>
      <c r="D135" s="11" t="s">
        <v>115</v>
      </c>
      <c r="E135" s="11" t="s">
        <v>52</v>
      </c>
      <c r="F135" s="11" t="s">
        <v>30</v>
      </c>
      <c r="G135" s="12">
        <v>1</v>
      </c>
      <c r="H135" s="13">
        <v>1080</v>
      </c>
      <c r="I135" s="14">
        <f>vendas2026[[#This Row],[Qtde]]*vendas2026[[#This Row],[VlrUnitário]]</f>
        <v>1080</v>
      </c>
      <c r="J135" s="23">
        <f>(vendas2026[[#This Row],[VlrTotal]]*0.2)+vendas2026[[#This Row],[VlrTotal]]</f>
        <v>1296</v>
      </c>
      <c r="K135" s="15">
        <v>1</v>
      </c>
      <c r="L135" s="15">
        <f>vendas2026[[#This Row],[%Comissão]]*0.25</f>
        <v>0.25</v>
      </c>
      <c r="M135" s="14" t="s">
        <v>26</v>
      </c>
      <c r="N135" s="23">
        <f>vendas2026[[#This Row],[VlrTotal]]*vendas2026[[#This Row],[%Comissão]]</f>
        <v>1080</v>
      </c>
      <c r="O135" s="14">
        <f>vendas2026[[#This Row],[VlrTotal]]*vendas2026[[#This Row],[%ComissãoSupervisor]]</f>
        <v>270</v>
      </c>
      <c r="P135" s="11" t="s">
        <v>27</v>
      </c>
      <c r="Q135" s="11" t="s">
        <v>27</v>
      </c>
      <c r="R135" s="11"/>
      <c r="S135" s="11">
        <v>1</v>
      </c>
      <c r="T135" s="11"/>
      <c r="U135" s="11" t="s">
        <v>28</v>
      </c>
      <c r="V135" s="16" t="s">
        <v>31</v>
      </c>
    </row>
    <row r="136" spans="1:22" hidden="1" x14ac:dyDescent="0.3">
      <c r="A136" s="10">
        <v>46111</v>
      </c>
      <c r="B136" s="11">
        <v>140267</v>
      </c>
      <c r="C136" s="11" t="s">
        <v>31</v>
      </c>
      <c r="D136" s="11" t="s">
        <v>116</v>
      </c>
      <c r="E136" s="11" t="s">
        <v>117</v>
      </c>
      <c r="F136" s="11" t="s">
        <v>30</v>
      </c>
      <c r="G136" s="12">
        <v>32</v>
      </c>
      <c r="H136" s="13">
        <v>14.85</v>
      </c>
      <c r="I136" s="14">
        <f>vendas2026[[#This Row],[Qtde]]*vendas2026[[#This Row],[VlrUnitário]]</f>
        <v>475.2</v>
      </c>
      <c r="J136" s="23">
        <f>(vendas2026[[#This Row],[VlrTotal]]*0.2)+vendas2026[[#This Row],[VlrTotal]]</f>
        <v>570.24</v>
      </c>
      <c r="K136" s="15">
        <v>1</v>
      </c>
      <c r="L136" s="15">
        <f>vendas2026[[#This Row],[%Comissão]]*0.25</f>
        <v>0.25</v>
      </c>
      <c r="M136" s="14" t="s">
        <v>26</v>
      </c>
      <c r="N136" s="23">
        <f>vendas2026[[#This Row],[VlrTotal]]*vendas2026[[#This Row],[%Comissão]]</f>
        <v>475.2</v>
      </c>
      <c r="O136" s="14">
        <f>vendas2026[[#This Row],[VlrTotal]]*vendas2026[[#This Row],[%ComissãoSupervisor]]</f>
        <v>118.8</v>
      </c>
      <c r="P136" s="11" t="s">
        <v>27</v>
      </c>
      <c r="Q136" s="11" t="s">
        <v>27</v>
      </c>
      <c r="R136" s="11"/>
      <c r="S136" s="11">
        <v>1</v>
      </c>
      <c r="T136" s="11"/>
      <c r="U136" s="11" t="s">
        <v>28</v>
      </c>
      <c r="V136" s="16" t="s">
        <v>31</v>
      </c>
    </row>
    <row r="137" spans="1:22" hidden="1" x14ac:dyDescent="0.3">
      <c r="A137" s="10">
        <v>46111</v>
      </c>
      <c r="B137" s="11">
        <v>140084</v>
      </c>
      <c r="C137" s="11" t="s">
        <v>31</v>
      </c>
      <c r="D137" s="11" t="s">
        <v>118</v>
      </c>
      <c r="E137" s="11" t="s">
        <v>35</v>
      </c>
      <c r="F137" s="11" t="s">
        <v>35</v>
      </c>
      <c r="G137" s="12">
        <v>48</v>
      </c>
      <c r="H137" s="13">
        <v>176</v>
      </c>
      <c r="I137" s="14">
        <f>vendas2026[[#This Row],[Qtde]]*vendas2026[[#This Row],[VlrUnitário]]</f>
        <v>8448</v>
      </c>
      <c r="J137" s="23">
        <v>8448</v>
      </c>
      <c r="K137" s="15">
        <v>0.01</v>
      </c>
      <c r="L137" s="15">
        <f>vendas2026[[#This Row],[%Comissão]]*0.25</f>
        <v>2.5000000000000001E-3</v>
      </c>
      <c r="M137" s="14" t="s">
        <v>26</v>
      </c>
      <c r="N137" s="23">
        <f>vendas2026[[#This Row],[VlrTotal]]*vendas2026[[#This Row],[%Comissão]]</f>
        <v>84.48</v>
      </c>
      <c r="O137" s="14">
        <f>vendas2026[[#This Row],[VlrTotal]]*vendas2026[[#This Row],[%ComissãoSupervisor]]</f>
        <v>21.12</v>
      </c>
      <c r="P137" s="11" t="s">
        <v>36</v>
      </c>
      <c r="Q137" s="11" t="s">
        <v>37</v>
      </c>
      <c r="R137" s="11"/>
      <c r="S137" s="11">
        <v>3</v>
      </c>
      <c r="T137" s="11"/>
      <c r="U137" s="11" t="s">
        <v>38</v>
      </c>
      <c r="V137" s="16" t="s">
        <v>31</v>
      </c>
    </row>
    <row r="138" spans="1:22" hidden="1" x14ac:dyDescent="0.3">
      <c r="A138" s="10">
        <v>46107</v>
      </c>
      <c r="B138" s="11">
        <v>133508</v>
      </c>
      <c r="C138" s="11" t="s">
        <v>31</v>
      </c>
      <c r="D138" s="11" t="s">
        <v>112</v>
      </c>
      <c r="E138" s="11" t="s">
        <v>35</v>
      </c>
      <c r="F138" s="11" t="s">
        <v>35</v>
      </c>
      <c r="G138" s="12">
        <v>38.4</v>
      </c>
      <c r="H138" s="13">
        <v>176</v>
      </c>
      <c r="I138" s="14">
        <f>vendas2026[[#This Row],[Qtde]]*vendas2026[[#This Row],[VlrUnitário]]</f>
        <v>6758.4</v>
      </c>
      <c r="J138" s="23">
        <f>vendas2026[[#This Row],[VlrTotal]]</f>
        <v>6758.4</v>
      </c>
      <c r="K138" s="15">
        <v>0.01</v>
      </c>
      <c r="L138" s="15">
        <f>vendas2026[[#This Row],[%Comissão]]*0.25</f>
        <v>2.5000000000000001E-3</v>
      </c>
      <c r="M138" s="14" t="s">
        <v>26</v>
      </c>
      <c r="N138" s="23">
        <f>vendas2026[[#This Row],[VlrTotal]]*vendas2026[[#This Row],[%Comissão]]</f>
        <v>67.584000000000003</v>
      </c>
      <c r="O138" s="14">
        <f>vendas2026[[#This Row],[VlrTotal]]*vendas2026[[#This Row],[%ComissãoSupervisor]]</f>
        <v>16.896000000000001</v>
      </c>
      <c r="P138" s="11" t="s">
        <v>36</v>
      </c>
      <c r="Q138" s="11" t="s">
        <v>37</v>
      </c>
      <c r="R138" s="11"/>
      <c r="S138" s="11">
        <v>3</v>
      </c>
      <c r="T138" s="11"/>
      <c r="U138" s="11" t="s">
        <v>38</v>
      </c>
      <c r="V138" s="16" t="s">
        <v>31</v>
      </c>
    </row>
    <row r="139" spans="1:22" hidden="1" x14ac:dyDescent="0.3">
      <c r="A139" s="90">
        <v>46113</v>
      </c>
      <c r="B139" s="11">
        <v>138583</v>
      </c>
      <c r="C139" s="11" t="s">
        <v>44</v>
      </c>
      <c r="D139" s="11" t="s">
        <v>119</v>
      </c>
      <c r="E139" s="11" t="s">
        <v>63</v>
      </c>
      <c r="F139" s="11" t="s">
        <v>41</v>
      </c>
      <c r="G139" s="12">
        <v>1</v>
      </c>
      <c r="H139" s="13">
        <v>24000</v>
      </c>
      <c r="I139" s="14">
        <f>vendas2026[[#This Row],[Qtde]]*vendas2026[[#This Row],[VlrUnitário]]</f>
        <v>24000</v>
      </c>
      <c r="J139" s="309">
        <f>vendas2026[[#This Row],[VlrTotal]]</f>
        <v>24000</v>
      </c>
      <c r="K139" s="15">
        <v>0.25</v>
      </c>
      <c r="L139" s="15">
        <f>vendas2026[[#This Row],[%Comissão]]*0.25</f>
        <v>6.25E-2</v>
      </c>
      <c r="M139" s="14" t="s">
        <v>46</v>
      </c>
      <c r="N139" s="23">
        <f>vendas2026[[#This Row],[VlrTotal]]*vendas2026[[#This Row],[%Comissão]]</f>
        <v>6000</v>
      </c>
      <c r="O139" s="14">
        <f>vendas2026[[#This Row],[VlrTotal]]*vendas2026[[#This Row],[%ComissãoSupervisor]]</f>
        <v>1500</v>
      </c>
      <c r="P139" s="11" t="s">
        <v>27</v>
      </c>
      <c r="Q139" s="11" t="s">
        <v>27</v>
      </c>
      <c r="R139" s="11"/>
      <c r="S139" s="11">
        <v>6</v>
      </c>
      <c r="T139" s="11"/>
      <c r="U139" s="11" t="s">
        <v>28</v>
      </c>
      <c r="V139" s="16" t="s">
        <v>44</v>
      </c>
    </row>
    <row r="140" spans="1:22" hidden="1" x14ac:dyDescent="0.3">
      <c r="A140" s="10">
        <v>46113</v>
      </c>
      <c r="B140" s="11">
        <v>138583</v>
      </c>
      <c r="C140" s="11" t="s">
        <v>44</v>
      </c>
      <c r="D140" s="11" t="s">
        <v>119</v>
      </c>
      <c r="E140" s="11" t="s">
        <v>63</v>
      </c>
      <c r="F140" s="11" t="s">
        <v>25</v>
      </c>
      <c r="G140" s="12">
        <v>100</v>
      </c>
      <c r="H140" s="13">
        <v>212</v>
      </c>
      <c r="I140" s="14">
        <f>vendas2026[[#This Row],[Qtde]]*vendas2026[[#This Row],[VlrUnitário]]</f>
        <v>21200</v>
      </c>
      <c r="J140" s="309">
        <f>vendas2026[[#This Row],[VlrTotal]]</f>
        <v>21200</v>
      </c>
      <c r="K140" s="15">
        <v>7.0000000000000007E-2</v>
      </c>
      <c r="L140" s="15">
        <f>vendas2026[[#This Row],[%Comissão]]*0.25</f>
        <v>1.7500000000000002E-2</v>
      </c>
      <c r="M140" s="14" t="s">
        <v>46</v>
      </c>
      <c r="N140" s="23">
        <f>vendas2026[[#This Row],[VlrTotal]]*vendas2026[[#This Row],[%Comissão]]</f>
        <v>1484.0000000000002</v>
      </c>
      <c r="O140" s="14">
        <f>vendas2026[[#This Row],[VlrTotal]]*vendas2026[[#This Row],[%ComissãoSupervisor]]</f>
        <v>371.00000000000006</v>
      </c>
      <c r="P140" s="11" t="s">
        <v>27</v>
      </c>
      <c r="Q140" s="11" t="s">
        <v>27</v>
      </c>
      <c r="R140" s="11"/>
      <c r="S140" s="11">
        <v>6</v>
      </c>
      <c r="T140" s="11"/>
      <c r="U140" s="11" t="s">
        <v>28</v>
      </c>
      <c r="V140" s="16" t="s">
        <v>44</v>
      </c>
    </row>
    <row r="141" spans="1:22" hidden="1" x14ac:dyDescent="0.3">
      <c r="A141" s="10">
        <v>46113</v>
      </c>
      <c r="B141" s="11">
        <v>138583</v>
      </c>
      <c r="C141" s="11" t="s">
        <v>44</v>
      </c>
      <c r="D141" s="11" t="s">
        <v>119</v>
      </c>
      <c r="E141" s="11" t="s">
        <v>63</v>
      </c>
      <c r="F141" s="11" t="s">
        <v>30</v>
      </c>
      <c r="G141" s="12">
        <v>61</v>
      </c>
      <c r="H141" s="13">
        <v>85.65</v>
      </c>
      <c r="I141" s="14">
        <f>vendas2026[[#This Row],[Qtde]]*vendas2026[[#This Row],[VlrUnitário]]</f>
        <v>5224.6500000000005</v>
      </c>
      <c r="J141" s="309">
        <f>vendas2026[[#This Row],[VlrTotal]]</f>
        <v>5224.6500000000005</v>
      </c>
      <c r="K141" s="15">
        <v>1</v>
      </c>
      <c r="L141" s="15">
        <f>vendas2026[[#This Row],[%Comissão]]*0.25</f>
        <v>0.25</v>
      </c>
      <c r="M141" s="14" t="s">
        <v>46</v>
      </c>
      <c r="N141" s="23">
        <f>vendas2026[[#This Row],[VlrTotal]]*vendas2026[[#This Row],[%Comissão]]</f>
        <v>5224.6500000000005</v>
      </c>
      <c r="O141" s="14">
        <f>vendas2026[[#This Row],[VlrTotal]]*vendas2026[[#This Row],[%ComissãoSupervisor]]</f>
        <v>1306.1625000000001</v>
      </c>
      <c r="P141" s="11" t="s">
        <v>27</v>
      </c>
      <c r="Q141" s="11" t="s">
        <v>27</v>
      </c>
      <c r="R141" s="11"/>
      <c r="S141" s="11">
        <v>1</v>
      </c>
      <c r="T141" s="11"/>
      <c r="U141" s="11" t="s">
        <v>28</v>
      </c>
      <c r="V141" s="16" t="s">
        <v>44</v>
      </c>
    </row>
    <row r="142" spans="1:22" hidden="1" x14ac:dyDescent="0.3">
      <c r="A142" s="10">
        <v>46119</v>
      </c>
      <c r="B142" s="11">
        <v>138780</v>
      </c>
      <c r="C142" s="11" t="s">
        <v>31</v>
      </c>
      <c r="D142" s="11" t="s">
        <v>100</v>
      </c>
      <c r="E142" s="11" t="s">
        <v>35</v>
      </c>
      <c r="F142" s="11" t="s">
        <v>35</v>
      </c>
      <c r="G142" s="12">
        <v>8</v>
      </c>
      <c r="H142" s="13">
        <v>176</v>
      </c>
      <c r="I142" s="14">
        <f>vendas2026[[#This Row],[Qtde]]*vendas2026[[#This Row],[VlrUnitário]]</f>
        <v>1408</v>
      </c>
      <c r="J142" s="309">
        <f>vendas2026[[#This Row],[VlrTotal]]</f>
        <v>1408</v>
      </c>
      <c r="K142" s="15">
        <v>0.01</v>
      </c>
      <c r="L142" s="15">
        <f>vendas2026[[#This Row],[%Comissão]]*0.25</f>
        <v>2.5000000000000001E-3</v>
      </c>
      <c r="M142" s="14" t="s">
        <v>26</v>
      </c>
      <c r="N142" s="23">
        <f>vendas2026[[#This Row],[VlrTotal]]*vendas2026[[#This Row],[%Comissão]]</f>
        <v>14.08</v>
      </c>
      <c r="O142" s="14">
        <f>vendas2026[[#This Row],[VlrTotal]]*vendas2026[[#This Row],[%ComissãoSupervisor]]</f>
        <v>3.52</v>
      </c>
      <c r="P142" s="11" t="s">
        <v>36</v>
      </c>
      <c r="Q142" s="11" t="s">
        <v>37</v>
      </c>
      <c r="R142" s="11"/>
      <c r="S142" s="11">
        <v>3</v>
      </c>
      <c r="T142" s="11"/>
      <c r="U142" s="11" t="s">
        <v>38</v>
      </c>
      <c r="V142" s="16" t="s">
        <v>31</v>
      </c>
    </row>
    <row r="143" spans="1:22" hidden="1" x14ac:dyDescent="0.3">
      <c r="A143" s="10">
        <v>46119</v>
      </c>
      <c r="B143" s="11">
        <v>138897</v>
      </c>
      <c r="C143" s="11" t="s">
        <v>31</v>
      </c>
      <c r="D143" s="11" t="s">
        <v>49</v>
      </c>
      <c r="E143" s="11" t="s">
        <v>35</v>
      </c>
      <c r="F143" s="11" t="s">
        <v>35</v>
      </c>
      <c r="G143" s="12">
        <v>64</v>
      </c>
      <c r="H143" s="13">
        <v>156.25</v>
      </c>
      <c r="I143" s="14">
        <f>vendas2026[[#This Row],[Qtde]]*vendas2026[[#This Row],[VlrUnitário]]</f>
        <v>10000</v>
      </c>
      <c r="J143" s="309">
        <f>vendas2026[[#This Row],[VlrTotal]]</f>
        <v>10000</v>
      </c>
      <c r="K143" s="15">
        <v>6.8999999999999999E-3</v>
      </c>
      <c r="L143" s="15">
        <f>vendas2026[[#This Row],[%Comissão]]*0.25</f>
        <v>1.725E-3</v>
      </c>
      <c r="M143" s="14" t="s">
        <v>26</v>
      </c>
      <c r="N143" s="23">
        <f>vendas2026[[#This Row],[VlrTotal]]*vendas2026[[#This Row],[%Comissão]]</f>
        <v>69</v>
      </c>
      <c r="O143" s="14">
        <f>vendas2026[[#This Row],[VlrTotal]]*vendas2026[[#This Row],[%ComissãoSupervisor]]</f>
        <v>17.25</v>
      </c>
      <c r="P143" s="11" t="s">
        <v>36</v>
      </c>
      <c r="Q143" s="11" t="s">
        <v>37</v>
      </c>
      <c r="R143" s="11"/>
      <c r="S143" s="11">
        <v>5</v>
      </c>
      <c r="T143" s="11"/>
      <c r="U143" s="11" t="s">
        <v>38</v>
      </c>
      <c r="V143" s="16" t="s">
        <v>31</v>
      </c>
    </row>
    <row r="144" spans="1:22" hidden="1" x14ac:dyDescent="0.3">
      <c r="A144" s="10">
        <v>46119</v>
      </c>
      <c r="B144" s="11">
        <v>140964</v>
      </c>
      <c r="C144" s="11" t="s">
        <v>31</v>
      </c>
      <c r="D144" s="11" t="s">
        <v>120</v>
      </c>
      <c r="E144" s="11" t="s">
        <v>121</v>
      </c>
      <c r="F144" s="11" t="s">
        <v>25</v>
      </c>
      <c r="G144" s="12">
        <v>16</v>
      </c>
      <c r="H144" s="13">
        <v>210</v>
      </c>
      <c r="I144" s="14">
        <f>vendas2026[[#This Row],[Qtde]]*vendas2026[[#This Row],[VlrUnitário]]</f>
        <v>3360</v>
      </c>
      <c r="J144" s="309">
        <f>(vendas2026[[#This Row],[VlrTotal]]*0.2)+vendas2026[[#This Row],[VlrTotal]]</f>
        <v>4032</v>
      </c>
      <c r="K144" s="15">
        <v>7.0000000000000007E-2</v>
      </c>
      <c r="L144" s="15">
        <f>vendas2026[[#This Row],[%Comissão]]*0.25</f>
        <v>1.7500000000000002E-2</v>
      </c>
      <c r="M144" s="14" t="s">
        <v>26</v>
      </c>
      <c r="N144" s="23">
        <f>vendas2026[[#This Row],[VlrTotal]]*vendas2026[[#This Row],[%Comissão]]</f>
        <v>235.20000000000002</v>
      </c>
      <c r="O144" s="14">
        <f>vendas2026[[#This Row],[VlrTotal]]*vendas2026[[#This Row],[%ComissãoSupervisor]]</f>
        <v>58.800000000000004</v>
      </c>
      <c r="P144" s="11" t="s">
        <v>27</v>
      </c>
      <c r="Q144" s="11" t="s">
        <v>27</v>
      </c>
      <c r="R144" s="11"/>
      <c r="S144" s="11">
        <v>6</v>
      </c>
      <c r="T144" s="11"/>
      <c r="U144" s="11" t="s">
        <v>28</v>
      </c>
      <c r="V144" s="16" t="s">
        <v>31</v>
      </c>
    </row>
    <row r="145" spans="1:22" hidden="1" x14ac:dyDescent="0.3">
      <c r="A145" s="10">
        <v>46119</v>
      </c>
      <c r="B145" s="11">
        <v>140964</v>
      </c>
      <c r="C145" s="11" t="s">
        <v>31</v>
      </c>
      <c r="D145" s="11" t="s">
        <v>120</v>
      </c>
      <c r="E145" s="11" t="s">
        <v>121</v>
      </c>
      <c r="F145" s="11" t="s">
        <v>30</v>
      </c>
      <c r="G145" s="12">
        <v>1</v>
      </c>
      <c r="H145" s="13">
        <v>712.8</v>
      </c>
      <c r="I145" s="14">
        <f>vendas2026[[#This Row],[Qtde]]*vendas2026[[#This Row],[VlrUnitário]]</f>
        <v>712.8</v>
      </c>
      <c r="J145" s="309">
        <f>(vendas2026[[#This Row],[VlrTotal]]*0.2)+vendas2026[[#This Row],[VlrTotal]]</f>
        <v>855.3599999999999</v>
      </c>
      <c r="K145" s="15">
        <v>1</v>
      </c>
      <c r="L145" s="15">
        <f>vendas2026[[#This Row],[%Comissão]]*0.25</f>
        <v>0.25</v>
      </c>
      <c r="M145" s="14" t="s">
        <v>26</v>
      </c>
      <c r="N145" s="23">
        <f>vendas2026[[#This Row],[VlrTotal]]*vendas2026[[#This Row],[%Comissão]]</f>
        <v>712.8</v>
      </c>
      <c r="O145" s="14">
        <f>vendas2026[[#This Row],[VlrTotal]]*vendas2026[[#This Row],[%ComissãoSupervisor]]</f>
        <v>178.2</v>
      </c>
      <c r="P145" s="11" t="s">
        <v>27</v>
      </c>
      <c r="Q145" s="11" t="s">
        <v>27</v>
      </c>
      <c r="R145" s="11"/>
      <c r="S145" s="11">
        <v>1</v>
      </c>
      <c r="T145" s="11"/>
      <c r="U145" s="11" t="s">
        <v>28</v>
      </c>
      <c r="V145" s="16" t="s">
        <v>31</v>
      </c>
    </row>
    <row r="146" spans="1:22" hidden="1" x14ac:dyDescent="0.3">
      <c r="A146" s="10">
        <v>46119</v>
      </c>
      <c r="B146" s="11">
        <v>138641</v>
      </c>
      <c r="C146" s="11" t="s">
        <v>22</v>
      </c>
      <c r="D146" s="11" t="s">
        <v>87</v>
      </c>
      <c r="E146" s="11" t="s">
        <v>54</v>
      </c>
      <c r="F146" s="11" t="s">
        <v>30</v>
      </c>
      <c r="G146" s="12">
        <v>10</v>
      </c>
      <c r="H146" s="13">
        <v>142.56</v>
      </c>
      <c r="I146" s="14">
        <f>vendas2026[[#This Row],[Qtde]]*vendas2026[[#This Row],[VlrUnitário]]</f>
        <v>1425.6</v>
      </c>
      <c r="J146" s="309">
        <f>vendas2026[[#This Row],[VlrTotal]]</f>
        <v>1425.6</v>
      </c>
      <c r="K146" s="15">
        <v>1</v>
      </c>
      <c r="L146" s="15">
        <v>0</v>
      </c>
      <c r="M146" s="308" t="s">
        <v>26</v>
      </c>
      <c r="N146" s="23">
        <f>vendas2026[[#This Row],[VlrTotal]]*vendas2026[[#This Row],[%Comissão]]</f>
        <v>1425.6</v>
      </c>
      <c r="O146" s="14">
        <f>vendas2026[[#This Row],[VlrTotal]]*vendas2026[[#This Row],[%ComissãoSupervisor]]</f>
        <v>0</v>
      </c>
      <c r="P146" s="11" t="s">
        <v>36</v>
      </c>
      <c r="Q146" s="11" t="s">
        <v>37</v>
      </c>
      <c r="R146" s="11"/>
      <c r="S146" s="11">
        <v>1</v>
      </c>
      <c r="T146" s="11"/>
      <c r="U146" s="11" t="s">
        <v>38</v>
      </c>
      <c r="V146" s="16" t="s">
        <v>22</v>
      </c>
    </row>
    <row r="147" spans="1:22" hidden="1" x14ac:dyDescent="0.3">
      <c r="A147" s="10">
        <v>46120</v>
      </c>
      <c r="B147" s="11">
        <v>140153</v>
      </c>
      <c r="C147" s="11" t="s">
        <v>31</v>
      </c>
      <c r="D147" s="11" t="s">
        <v>122</v>
      </c>
      <c r="E147" s="11" t="s">
        <v>35</v>
      </c>
      <c r="F147" s="11" t="s">
        <v>35</v>
      </c>
      <c r="G147" s="12">
        <v>48</v>
      </c>
      <c r="H147" s="13">
        <v>176</v>
      </c>
      <c r="I147" s="14">
        <f>vendas2026[[#This Row],[Qtde]]*vendas2026[[#This Row],[VlrUnitário]]</f>
        <v>8448</v>
      </c>
      <c r="J147" s="309">
        <f>vendas2026[[#This Row],[VlrTotal]]</f>
        <v>8448</v>
      </c>
      <c r="K147" s="15">
        <v>0.01</v>
      </c>
      <c r="L147" s="15">
        <f>vendas2026[[#This Row],[%Comissão]]*0.25</f>
        <v>2.5000000000000001E-3</v>
      </c>
      <c r="M147" s="14" t="s">
        <v>26</v>
      </c>
      <c r="N147" s="23">
        <f>vendas2026[[#This Row],[VlrTotal]]*vendas2026[[#This Row],[%Comissão]]</f>
        <v>84.48</v>
      </c>
      <c r="O147" s="14">
        <f>vendas2026[[#This Row],[VlrTotal]]*vendas2026[[#This Row],[%ComissãoSupervisor]]</f>
        <v>21.12</v>
      </c>
      <c r="P147" s="11" t="s">
        <v>36</v>
      </c>
      <c r="Q147" s="11" t="s">
        <v>37</v>
      </c>
      <c r="R147" s="11"/>
      <c r="S147" s="11">
        <v>6</v>
      </c>
      <c r="T147" s="11"/>
      <c r="U147" s="11" t="s">
        <v>38</v>
      </c>
      <c r="V147" s="16" t="s">
        <v>31</v>
      </c>
    </row>
    <row r="148" spans="1:22" hidden="1" x14ac:dyDescent="0.3">
      <c r="A148" s="10">
        <v>46120</v>
      </c>
      <c r="B148" s="11">
        <v>138614</v>
      </c>
      <c r="C148" s="11" t="s">
        <v>22</v>
      </c>
      <c r="D148" s="11" t="s">
        <v>87</v>
      </c>
      <c r="E148" s="11" t="s">
        <v>123</v>
      </c>
      <c r="F148" s="11" t="s">
        <v>30</v>
      </c>
      <c r="G148" s="12">
        <v>60</v>
      </c>
      <c r="H148" s="13">
        <v>19.25</v>
      </c>
      <c r="I148" s="14">
        <f>vendas2026[[#This Row],[Qtde]]*vendas2026[[#This Row],[VlrUnitário]]</f>
        <v>1155</v>
      </c>
      <c r="J148" s="309">
        <f>vendas2026[[#This Row],[VlrTotal]]</f>
        <v>1155</v>
      </c>
      <c r="K148" s="15">
        <v>1</v>
      </c>
      <c r="L148" s="15">
        <v>0</v>
      </c>
      <c r="M148" s="14" t="s">
        <v>46</v>
      </c>
      <c r="N148" s="23">
        <f>vendas2026[[#This Row],[VlrTotal]]*vendas2026[[#This Row],[%Comissão]]</f>
        <v>1155</v>
      </c>
      <c r="O148" s="14">
        <f>vendas2026[[#This Row],[VlrTotal]]*vendas2026[[#This Row],[%ComissãoSupervisor]]</f>
        <v>0</v>
      </c>
      <c r="P148" s="11" t="s">
        <v>27</v>
      </c>
      <c r="Q148" s="11" t="s">
        <v>27</v>
      </c>
      <c r="R148" s="11"/>
      <c r="S148" s="11">
        <v>1</v>
      </c>
      <c r="T148" s="11"/>
      <c r="U148" s="11" t="s">
        <v>28</v>
      </c>
      <c r="V148" s="16" t="s">
        <v>22</v>
      </c>
    </row>
    <row r="149" spans="1:22" hidden="1" x14ac:dyDescent="0.3">
      <c r="A149" s="10">
        <v>46126</v>
      </c>
      <c r="B149" s="11">
        <v>125596</v>
      </c>
      <c r="C149" s="11" t="s">
        <v>22</v>
      </c>
      <c r="D149" s="11" t="s">
        <v>67</v>
      </c>
      <c r="E149" s="11" t="s">
        <v>24</v>
      </c>
      <c r="F149" s="11" t="s">
        <v>25</v>
      </c>
      <c r="G149" s="12">
        <v>43</v>
      </c>
      <c r="H149" s="13">
        <v>169.78</v>
      </c>
      <c r="I149" s="14">
        <f>vendas2026[[#This Row],[Qtde]]*vendas2026[[#This Row],[VlrUnitário]]</f>
        <v>7300.54</v>
      </c>
      <c r="J149" s="309">
        <f>vendas2026[[#This Row],[VlrTotal]]</f>
        <v>7300.54</v>
      </c>
      <c r="K149" s="15">
        <v>3.5900000000000001E-2</v>
      </c>
      <c r="L149" s="15">
        <v>0</v>
      </c>
      <c r="M149" s="14" t="s">
        <v>46</v>
      </c>
      <c r="N149" s="23">
        <f>vendas2026[[#This Row],[VlrTotal]]*vendas2026[[#This Row],[%Comissão]]</f>
        <v>262.08938599999999</v>
      </c>
      <c r="O149" s="14">
        <f>vendas2026[[#This Row],[VlrTotal]]*vendas2026[[#This Row],[%ComissãoSupervisor]]</f>
        <v>0</v>
      </c>
      <c r="P149" s="11" t="s">
        <v>36</v>
      </c>
      <c r="Q149" s="11" t="s">
        <v>37</v>
      </c>
      <c r="R149" s="11"/>
      <c r="S149" s="11">
        <v>6</v>
      </c>
      <c r="T149" s="11"/>
      <c r="U149" s="11" t="s">
        <v>38</v>
      </c>
      <c r="V149" s="16" t="s">
        <v>22</v>
      </c>
    </row>
    <row r="150" spans="1:22" hidden="1" x14ac:dyDescent="0.3">
      <c r="A150" s="10">
        <v>46126</v>
      </c>
      <c r="B150" s="11">
        <v>141238</v>
      </c>
      <c r="C150" s="11" t="s">
        <v>31</v>
      </c>
      <c r="D150" s="11" t="s">
        <v>57</v>
      </c>
      <c r="E150" s="11" t="s">
        <v>69</v>
      </c>
      <c r="F150" s="11" t="s">
        <v>30</v>
      </c>
      <c r="G150" s="12">
        <v>1</v>
      </c>
      <c r="H150" s="13">
        <v>1530</v>
      </c>
      <c r="I150" s="14">
        <f>vendas2026[[#This Row],[Qtde]]*vendas2026[[#This Row],[VlrUnitário]]</f>
        <v>1530</v>
      </c>
      <c r="J150" s="309">
        <f>(vendas2026[[#This Row],[VlrTotal]]*0.2)+vendas2026[[#This Row],[VlrTotal]]</f>
        <v>1836</v>
      </c>
      <c r="K150" s="15">
        <v>1</v>
      </c>
      <c r="L150" s="15">
        <f>vendas2026[[#This Row],[%Comissão]]*0.25</f>
        <v>0.25</v>
      </c>
      <c r="M150" s="14" t="s">
        <v>26</v>
      </c>
      <c r="N150" s="23">
        <f>vendas2026[[#This Row],[VlrTotal]]*vendas2026[[#This Row],[%Comissão]]</f>
        <v>1530</v>
      </c>
      <c r="O150" s="14">
        <f>vendas2026[[#This Row],[VlrTotal]]*vendas2026[[#This Row],[%ComissãoSupervisor]]</f>
        <v>382.5</v>
      </c>
      <c r="P150" s="11" t="s">
        <v>27</v>
      </c>
      <c r="Q150" s="11" t="s">
        <v>27</v>
      </c>
      <c r="R150" s="11"/>
      <c r="S150" s="11">
        <v>6</v>
      </c>
      <c r="T150" s="11"/>
      <c r="U150" s="11" t="s">
        <v>28</v>
      </c>
      <c r="V150" s="16" t="s">
        <v>31</v>
      </c>
    </row>
    <row r="151" spans="1:22" hidden="1" x14ac:dyDescent="0.3">
      <c r="A151" s="10">
        <v>46126</v>
      </c>
      <c r="B151" s="11">
        <v>141238</v>
      </c>
      <c r="C151" s="11" t="s">
        <v>31</v>
      </c>
      <c r="D151" s="11" t="s">
        <v>57</v>
      </c>
      <c r="E151" s="11" t="s">
        <v>69</v>
      </c>
      <c r="F151" s="11" t="s">
        <v>41</v>
      </c>
      <c r="G151" s="12">
        <v>1</v>
      </c>
      <c r="H151" s="13">
        <v>10480</v>
      </c>
      <c r="I151" s="14">
        <f>vendas2026[[#This Row],[Qtde]]*vendas2026[[#This Row],[VlrUnitário]]</f>
        <v>10480</v>
      </c>
      <c r="J151" s="309">
        <f>(vendas2026[[#This Row],[VlrTotal]]*0.2)+vendas2026[[#This Row],[VlrTotal]]</f>
        <v>12576</v>
      </c>
      <c r="K151" s="15">
        <v>7.0000000000000007E-2</v>
      </c>
      <c r="L151" s="15">
        <f>vendas2026[[#This Row],[%Comissão]]*0.25</f>
        <v>1.7500000000000002E-2</v>
      </c>
      <c r="M151" s="14" t="s">
        <v>26</v>
      </c>
      <c r="N151" s="23">
        <f>vendas2026[[#This Row],[VlrTotal]]*vendas2026[[#This Row],[%Comissão]]</f>
        <v>733.6</v>
      </c>
      <c r="O151" s="14">
        <f>vendas2026[[#This Row],[VlrTotal]]*vendas2026[[#This Row],[%ComissãoSupervisor]]</f>
        <v>183.4</v>
      </c>
      <c r="P151" s="11" t="s">
        <v>27</v>
      </c>
      <c r="Q151" s="11" t="s">
        <v>27</v>
      </c>
      <c r="R151" s="11"/>
      <c r="S151" s="11">
        <v>6</v>
      </c>
      <c r="T151" s="11"/>
      <c r="U151" s="11" t="s">
        <v>28</v>
      </c>
      <c r="V151" s="16" t="s">
        <v>31</v>
      </c>
    </row>
    <row r="152" spans="1:22" hidden="1" x14ac:dyDescent="0.3">
      <c r="A152" s="10">
        <v>46131</v>
      </c>
      <c r="B152" s="11">
        <v>140455</v>
      </c>
      <c r="C152" s="11" t="s">
        <v>31</v>
      </c>
      <c r="D152" s="11" t="s">
        <v>64</v>
      </c>
      <c r="E152" s="11" t="s">
        <v>35</v>
      </c>
      <c r="F152" s="11" t="s">
        <v>35</v>
      </c>
      <c r="G152" s="12">
        <v>1</v>
      </c>
      <c r="H152" s="13">
        <v>1056</v>
      </c>
      <c r="I152" s="14">
        <f>vendas2026[[#This Row],[Qtde]]*vendas2026[[#This Row],[VlrUnitário]]</f>
        <v>1056</v>
      </c>
      <c r="J152" s="309">
        <f>vendas2026[[#This Row],[VlrTotal]]</f>
        <v>1056</v>
      </c>
      <c r="K152" s="15">
        <v>0.01</v>
      </c>
      <c r="L152" s="15">
        <f>vendas2026[[#This Row],[%Comissão]]*0.25</f>
        <v>2.5000000000000001E-3</v>
      </c>
      <c r="M152" s="14" t="s">
        <v>26</v>
      </c>
      <c r="N152" s="23">
        <f>vendas2026[[#This Row],[VlrTotal]]*vendas2026[[#This Row],[%Comissão]]</f>
        <v>10.56</v>
      </c>
      <c r="O152" s="14">
        <f>vendas2026[[#This Row],[VlrTotal]]*vendas2026[[#This Row],[%ComissãoSupervisor]]</f>
        <v>2.64</v>
      </c>
      <c r="P152" s="11" t="s">
        <v>36</v>
      </c>
      <c r="Q152" s="11" t="s">
        <v>37</v>
      </c>
      <c r="R152" s="11"/>
      <c r="S152" s="11">
        <v>3</v>
      </c>
      <c r="T152" s="11"/>
      <c r="U152" s="11" t="s">
        <v>38</v>
      </c>
      <c r="V152" s="16" t="s">
        <v>31</v>
      </c>
    </row>
    <row r="153" spans="1:22" hidden="1" x14ac:dyDescent="0.3">
      <c r="A153" s="10">
        <v>46136</v>
      </c>
      <c r="B153" s="11">
        <v>141764</v>
      </c>
      <c r="C153" s="11" t="s">
        <v>31</v>
      </c>
      <c r="D153" s="11" t="s">
        <v>124</v>
      </c>
      <c r="E153" s="11" t="s">
        <v>35</v>
      </c>
      <c r="F153" s="11" t="s">
        <v>35</v>
      </c>
      <c r="G153" s="12">
        <v>2</v>
      </c>
      <c r="H153" s="13">
        <v>176</v>
      </c>
      <c r="I153" s="14">
        <f>vendas2026[[#This Row],[Qtde]]*vendas2026[[#This Row],[VlrUnitário]]</f>
        <v>352</v>
      </c>
      <c r="J153" s="309">
        <f>vendas2026[[#This Row],[VlrTotal]]</f>
        <v>352</v>
      </c>
      <c r="K153" s="15">
        <v>0.01</v>
      </c>
      <c r="L153" s="15">
        <f>vendas2026[[#This Row],[%Comissão]]*0.25</f>
        <v>2.5000000000000001E-3</v>
      </c>
      <c r="M153" s="14" t="s">
        <v>26</v>
      </c>
      <c r="N153" s="23">
        <f>vendas2026[[#This Row],[VlrTotal]]*vendas2026[[#This Row],[%Comissão]]</f>
        <v>3.52</v>
      </c>
      <c r="O153" s="14">
        <f>vendas2026[[#This Row],[VlrTotal]]*vendas2026[[#This Row],[%ComissãoSupervisor]]</f>
        <v>0.88</v>
      </c>
      <c r="P153" s="11" t="s">
        <v>36</v>
      </c>
      <c r="Q153" s="11" t="s">
        <v>37</v>
      </c>
      <c r="R153" s="11"/>
      <c r="S153" s="11">
        <v>1</v>
      </c>
      <c r="T153" s="11"/>
      <c r="U153" s="11" t="s">
        <v>38</v>
      </c>
      <c r="V153" s="16" t="s">
        <v>31</v>
      </c>
    </row>
    <row r="154" spans="1:22" hidden="1" x14ac:dyDescent="0.3">
      <c r="A154" s="10">
        <v>46140</v>
      </c>
      <c r="B154" s="11">
        <v>142146</v>
      </c>
      <c r="C154" s="11" t="s">
        <v>22</v>
      </c>
      <c r="D154" s="11" t="s">
        <v>87</v>
      </c>
      <c r="E154" s="11" t="s">
        <v>69</v>
      </c>
      <c r="F154" s="11" t="s">
        <v>41</v>
      </c>
      <c r="G154" s="12">
        <v>1</v>
      </c>
      <c r="H154" s="13">
        <v>10500</v>
      </c>
      <c r="I154" s="14">
        <f>vendas2026[[#This Row],[Qtde]]*vendas2026[[#This Row],[VlrUnitário]]</f>
        <v>10500</v>
      </c>
      <c r="J154" s="309">
        <f>vendas2026[[#This Row],[VlrTotal]]</f>
        <v>10500</v>
      </c>
      <c r="K154" s="15">
        <v>7.0000000000000007E-2</v>
      </c>
      <c r="L154" s="15">
        <v>0</v>
      </c>
      <c r="M154" s="14" t="s">
        <v>46</v>
      </c>
      <c r="N154" s="23">
        <f>vendas2026[[#This Row],[VlrTotal]]*vendas2026[[#This Row],[%Comissão]]</f>
        <v>735.00000000000011</v>
      </c>
      <c r="O154" s="14">
        <f>vendas2026[[#This Row],[VlrTotal]]*vendas2026[[#This Row],[%ComissãoSupervisor]]</f>
        <v>0</v>
      </c>
      <c r="P154" s="11" t="s">
        <v>27</v>
      </c>
      <c r="Q154" s="11" t="s">
        <v>27</v>
      </c>
      <c r="R154" s="11"/>
      <c r="S154" s="11">
        <v>6</v>
      </c>
      <c r="T154" s="11"/>
      <c r="U154" s="11" t="s">
        <v>28</v>
      </c>
      <c r="V154" s="16" t="s">
        <v>22</v>
      </c>
    </row>
    <row r="155" spans="1:22" hidden="1" x14ac:dyDescent="0.3">
      <c r="A155" s="10">
        <v>46140</v>
      </c>
      <c r="B155" s="11">
        <v>142146</v>
      </c>
      <c r="C155" s="11" t="s">
        <v>22</v>
      </c>
      <c r="D155" s="11" t="s">
        <v>87</v>
      </c>
      <c r="E155" s="11" t="s">
        <v>69</v>
      </c>
      <c r="F155" s="11" t="s">
        <v>30</v>
      </c>
      <c r="G155" s="12">
        <v>1</v>
      </c>
      <c r="H155" s="13">
        <v>1700</v>
      </c>
      <c r="I155" s="14">
        <f>vendas2026[[#This Row],[Qtde]]*vendas2026[[#This Row],[VlrUnitário]]</f>
        <v>1700</v>
      </c>
      <c r="J155" s="309">
        <f>vendas2026[[#This Row],[VlrTotal]]</f>
        <v>1700</v>
      </c>
      <c r="K155" s="15">
        <v>1</v>
      </c>
      <c r="L155" s="15">
        <v>0</v>
      </c>
      <c r="M155" s="14" t="s">
        <v>46</v>
      </c>
      <c r="N155" s="23">
        <f>vendas2026[[#This Row],[VlrTotal]]*vendas2026[[#This Row],[%Comissão]]</f>
        <v>1700</v>
      </c>
      <c r="O155" s="14">
        <f>vendas2026[[#This Row],[VlrTotal]]*vendas2026[[#This Row],[%ComissãoSupervisor]]</f>
        <v>0</v>
      </c>
      <c r="P155" s="11" t="s">
        <v>27</v>
      </c>
      <c r="Q155" s="11" t="s">
        <v>27</v>
      </c>
      <c r="R155" s="11"/>
      <c r="S155" s="11">
        <v>1</v>
      </c>
      <c r="T155" s="11"/>
      <c r="U155" s="11" t="s">
        <v>28</v>
      </c>
      <c r="V155" s="16" t="s">
        <v>22</v>
      </c>
    </row>
    <row r="156" spans="1:22" hidden="1" x14ac:dyDescent="0.3">
      <c r="A156" s="10">
        <v>46140</v>
      </c>
      <c r="B156" s="11">
        <v>142325</v>
      </c>
      <c r="C156" s="11" t="s">
        <v>22</v>
      </c>
      <c r="D156" s="11" t="s">
        <v>82</v>
      </c>
      <c r="E156" s="11" t="s">
        <v>69</v>
      </c>
      <c r="F156" s="11" t="s">
        <v>41</v>
      </c>
      <c r="G156" s="12">
        <v>1</v>
      </c>
      <c r="H156" s="13">
        <v>10500</v>
      </c>
      <c r="I156" s="14">
        <f>vendas2026[[#This Row],[Qtde]]*vendas2026[[#This Row],[VlrUnitário]]</f>
        <v>10500</v>
      </c>
      <c r="J156" s="309">
        <f>vendas2026[[#This Row],[VlrTotal]]</f>
        <v>10500</v>
      </c>
      <c r="K156" s="15">
        <v>7.0000000000000007E-2</v>
      </c>
      <c r="L156" s="15">
        <v>0</v>
      </c>
      <c r="M156" s="14" t="s">
        <v>46</v>
      </c>
      <c r="N156" s="23">
        <f>vendas2026[[#This Row],[VlrTotal]]*vendas2026[[#This Row],[%Comissão]]</f>
        <v>735.00000000000011</v>
      </c>
      <c r="O156" s="14">
        <f>vendas2026[[#This Row],[VlrTotal]]*vendas2026[[#This Row],[%ComissãoSupervisor]]</f>
        <v>0</v>
      </c>
      <c r="P156" s="11" t="s">
        <v>27</v>
      </c>
      <c r="Q156" s="11" t="s">
        <v>27</v>
      </c>
      <c r="R156" s="11"/>
      <c r="S156" s="11">
        <v>6</v>
      </c>
      <c r="T156" s="11"/>
      <c r="U156" s="11" t="s">
        <v>28</v>
      </c>
      <c r="V156" s="16" t="s">
        <v>22</v>
      </c>
    </row>
    <row r="157" spans="1:22" hidden="1" x14ac:dyDescent="0.3">
      <c r="A157" s="10">
        <v>46140</v>
      </c>
      <c r="B157" s="11">
        <v>142325</v>
      </c>
      <c r="C157" s="11" t="s">
        <v>22</v>
      </c>
      <c r="D157" s="11" t="s">
        <v>82</v>
      </c>
      <c r="E157" s="11" t="s">
        <v>69</v>
      </c>
      <c r="F157" s="11" t="s">
        <v>30</v>
      </c>
      <c r="G157" s="12">
        <v>1</v>
      </c>
      <c r="H157" s="13">
        <v>1700</v>
      </c>
      <c r="I157" s="14">
        <f>vendas2026[[#This Row],[Qtde]]*vendas2026[[#This Row],[VlrUnitário]]</f>
        <v>1700</v>
      </c>
      <c r="J157" s="309">
        <f>vendas2026[[#This Row],[VlrTotal]]</f>
        <v>1700</v>
      </c>
      <c r="K157" s="15">
        <v>1</v>
      </c>
      <c r="L157" s="15">
        <v>0</v>
      </c>
      <c r="M157" s="14" t="s">
        <v>46</v>
      </c>
      <c r="N157" s="23">
        <f>vendas2026[[#This Row],[VlrTotal]]*vendas2026[[#This Row],[%Comissão]]</f>
        <v>1700</v>
      </c>
      <c r="O157" s="14">
        <f>vendas2026[[#This Row],[VlrTotal]]*vendas2026[[#This Row],[%ComissãoSupervisor]]</f>
        <v>0</v>
      </c>
      <c r="P157" s="11" t="s">
        <v>27</v>
      </c>
      <c r="Q157" s="11" t="s">
        <v>27</v>
      </c>
      <c r="R157" s="11"/>
      <c r="S157" s="11">
        <v>1</v>
      </c>
      <c r="T157" s="11"/>
      <c r="U157" s="11" t="s">
        <v>28</v>
      </c>
      <c r="V157" s="16" t="s">
        <v>22</v>
      </c>
    </row>
    <row r="158" spans="1:22" hidden="1" x14ac:dyDescent="0.3">
      <c r="A158" s="10">
        <v>46140</v>
      </c>
      <c r="B158" s="11">
        <v>142326</v>
      </c>
      <c r="C158" s="11" t="s">
        <v>22</v>
      </c>
      <c r="D158" s="11" t="s">
        <v>125</v>
      </c>
      <c r="E158" s="11" t="s">
        <v>69</v>
      </c>
      <c r="F158" s="11" t="s">
        <v>41</v>
      </c>
      <c r="G158" s="12">
        <v>1</v>
      </c>
      <c r="H158" s="13">
        <v>10500</v>
      </c>
      <c r="I158" s="14">
        <f>vendas2026[[#This Row],[Qtde]]*vendas2026[[#This Row],[VlrUnitário]]</f>
        <v>10500</v>
      </c>
      <c r="J158" s="309">
        <f>vendas2026[[#This Row],[VlrTotal]]</f>
        <v>10500</v>
      </c>
      <c r="K158" s="15">
        <v>7.0000000000000007E-2</v>
      </c>
      <c r="L158" s="15">
        <v>0</v>
      </c>
      <c r="M158" s="14" t="s">
        <v>46</v>
      </c>
      <c r="N158" s="23">
        <f>vendas2026[[#This Row],[VlrTotal]]*vendas2026[[#This Row],[%Comissão]]</f>
        <v>735.00000000000011</v>
      </c>
      <c r="O158" s="14">
        <f>vendas2026[[#This Row],[VlrTotal]]*vendas2026[[#This Row],[%ComissãoSupervisor]]</f>
        <v>0</v>
      </c>
      <c r="P158" s="11" t="s">
        <v>27</v>
      </c>
      <c r="Q158" s="11" t="s">
        <v>27</v>
      </c>
      <c r="R158" s="11"/>
      <c r="S158" s="11">
        <v>6</v>
      </c>
      <c r="T158" s="11"/>
      <c r="U158" s="11" t="s">
        <v>28</v>
      </c>
      <c r="V158" s="16" t="s">
        <v>22</v>
      </c>
    </row>
    <row r="159" spans="1:22" hidden="1" x14ac:dyDescent="0.3">
      <c r="A159" s="10">
        <v>46140</v>
      </c>
      <c r="B159" s="11">
        <v>142326</v>
      </c>
      <c r="C159" s="11" t="s">
        <v>22</v>
      </c>
      <c r="D159" s="11" t="s">
        <v>125</v>
      </c>
      <c r="E159" s="11" t="s">
        <v>69</v>
      </c>
      <c r="F159" s="11" t="s">
        <v>30</v>
      </c>
      <c r="G159" s="12">
        <v>1</v>
      </c>
      <c r="H159" s="13">
        <v>1700</v>
      </c>
      <c r="I159" s="14">
        <f>vendas2026[[#This Row],[Qtde]]*vendas2026[[#This Row],[VlrUnitário]]</f>
        <v>1700</v>
      </c>
      <c r="J159" s="309">
        <f>vendas2026[[#This Row],[VlrTotal]]</f>
        <v>1700</v>
      </c>
      <c r="K159" s="15">
        <v>1</v>
      </c>
      <c r="L159" s="15">
        <v>0</v>
      </c>
      <c r="M159" s="14" t="s">
        <v>46</v>
      </c>
      <c r="N159" s="23">
        <f>vendas2026[[#This Row],[VlrTotal]]*vendas2026[[#This Row],[%Comissão]]</f>
        <v>1700</v>
      </c>
      <c r="O159" s="14">
        <f>vendas2026[[#This Row],[VlrTotal]]*vendas2026[[#This Row],[%ComissãoSupervisor]]</f>
        <v>0</v>
      </c>
      <c r="P159" s="11" t="s">
        <v>27</v>
      </c>
      <c r="Q159" s="11" t="s">
        <v>27</v>
      </c>
      <c r="R159" s="11"/>
      <c r="S159" s="11">
        <v>1</v>
      </c>
      <c r="T159" s="11"/>
      <c r="U159" s="11" t="s">
        <v>28</v>
      </c>
      <c r="V159" s="16" t="s">
        <v>22</v>
      </c>
    </row>
    <row r="160" spans="1:22" hidden="1" x14ac:dyDescent="0.3">
      <c r="A160" s="10">
        <v>46140</v>
      </c>
      <c r="B160" s="11">
        <v>140910</v>
      </c>
      <c r="C160" s="11" t="s">
        <v>31</v>
      </c>
      <c r="D160" s="11" t="s">
        <v>126</v>
      </c>
      <c r="E160" s="11" t="s">
        <v>35</v>
      </c>
      <c r="F160" s="11" t="s">
        <v>35</v>
      </c>
      <c r="G160" s="12">
        <v>8</v>
      </c>
      <c r="H160" s="13">
        <v>176</v>
      </c>
      <c r="I160" s="14">
        <f>vendas2026[[#This Row],[Qtde]]*vendas2026[[#This Row],[VlrUnitário]]</f>
        <v>1408</v>
      </c>
      <c r="J160" s="309">
        <f>vendas2026[[#This Row],[VlrTotal]]</f>
        <v>1408</v>
      </c>
      <c r="K160" s="15">
        <v>0.01</v>
      </c>
      <c r="L160" s="15">
        <f>vendas2026[[#This Row],[%Comissão]]*0.25</f>
        <v>2.5000000000000001E-3</v>
      </c>
      <c r="M160" s="14" t="s">
        <v>26</v>
      </c>
      <c r="N160" s="23">
        <f>vendas2026[[#This Row],[VlrTotal]]*vendas2026[[#This Row],[%Comissão]]</f>
        <v>14.08</v>
      </c>
      <c r="O160" s="14">
        <f>vendas2026[[#This Row],[VlrTotal]]*vendas2026[[#This Row],[%ComissãoSupervisor]]</f>
        <v>3.52</v>
      </c>
      <c r="P160" s="11" t="s">
        <v>36</v>
      </c>
      <c r="Q160" s="11" t="s">
        <v>37</v>
      </c>
      <c r="R160" s="11"/>
      <c r="S160" s="11">
        <v>1</v>
      </c>
      <c r="T160" s="11"/>
      <c r="U160" s="11" t="s">
        <v>38</v>
      </c>
      <c r="V160" s="16" t="s">
        <v>31</v>
      </c>
    </row>
    <row r="161" spans="1:22" hidden="1" x14ac:dyDescent="0.3">
      <c r="A161" s="10">
        <v>46140</v>
      </c>
      <c r="B161" s="11">
        <v>141508</v>
      </c>
      <c r="C161" s="11" t="s">
        <v>31</v>
      </c>
      <c r="D161" s="11" t="s">
        <v>57</v>
      </c>
      <c r="E161" s="11" t="s">
        <v>35</v>
      </c>
      <c r="F161" s="11" t="s">
        <v>35</v>
      </c>
      <c r="G161" s="12">
        <v>3</v>
      </c>
      <c r="H161" s="13">
        <v>176</v>
      </c>
      <c r="I161" s="14">
        <f>vendas2026[[#This Row],[Qtde]]*vendas2026[[#This Row],[VlrUnitário]]</f>
        <v>528</v>
      </c>
      <c r="J161" s="309">
        <f>vendas2026[[#This Row],[VlrTotal]]</f>
        <v>528</v>
      </c>
      <c r="K161" s="15">
        <v>0.01</v>
      </c>
      <c r="L161" s="15">
        <f>vendas2026[[#This Row],[%Comissão]]*0.25</f>
        <v>2.5000000000000001E-3</v>
      </c>
      <c r="M161" s="14" t="s">
        <v>26</v>
      </c>
      <c r="N161" s="23">
        <f>vendas2026[[#This Row],[VlrTotal]]*vendas2026[[#This Row],[%Comissão]]</f>
        <v>5.28</v>
      </c>
      <c r="O161" s="14">
        <f>vendas2026[[#This Row],[VlrTotal]]*vendas2026[[#This Row],[%ComissãoSupervisor]]</f>
        <v>1.32</v>
      </c>
      <c r="P161" s="11" t="s">
        <v>36</v>
      </c>
      <c r="Q161" s="11" t="s">
        <v>37</v>
      </c>
      <c r="R161" s="11"/>
      <c r="S161" s="11">
        <v>1</v>
      </c>
      <c r="T161" s="11"/>
      <c r="U161" s="11" t="s">
        <v>38</v>
      </c>
      <c r="V161" s="16" t="s">
        <v>31</v>
      </c>
    </row>
    <row r="162" spans="1:22" hidden="1" x14ac:dyDescent="0.3">
      <c r="A162" s="10">
        <v>46140</v>
      </c>
      <c r="B162" s="11">
        <v>140836</v>
      </c>
      <c r="C162" s="11" t="s">
        <v>31</v>
      </c>
      <c r="D162" s="11" t="s">
        <v>87</v>
      </c>
      <c r="E162" s="11" t="s">
        <v>35</v>
      </c>
      <c r="F162" s="11" t="s">
        <v>35</v>
      </c>
      <c r="G162" s="12">
        <v>52</v>
      </c>
      <c r="H162" s="13">
        <v>176</v>
      </c>
      <c r="I162" s="14">
        <f>vendas2026[[#This Row],[Qtde]]*vendas2026[[#This Row],[VlrUnitário]]</f>
        <v>9152</v>
      </c>
      <c r="J162" s="309">
        <f>vendas2026[[#This Row],[VlrTotal]]</f>
        <v>9152</v>
      </c>
      <c r="K162" s="15">
        <v>0.01</v>
      </c>
      <c r="L162" s="15">
        <f>vendas2026[[#This Row],[%Comissão]]*0.25</f>
        <v>2.5000000000000001E-3</v>
      </c>
      <c r="M162" s="14" t="s">
        <v>26</v>
      </c>
      <c r="N162" s="23">
        <f>vendas2026[[#This Row],[VlrTotal]]*vendas2026[[#This Row],[%Comissão]]</f>
        <v>91.52</v>
      </c>
      <c r="O162" s="14">
        <f>vendas2026[[#This Row],[VlrTotal]]*vendas2026[[#This Row],[%ComissãoSupervisor]]</f>
        <v>22.88</v>
      </c>
      <c r="P162" s="11" t="s">
        <v>36</v>
      </c>
      <c r="Q162" s="11" t="s">
        <v>37</v>
      </c>
      <c r="R162" s="11"/>
      <c r="S162" s="11">
        <v>1</v>
      </c>
      <c r="T162" s="11"/>
      <c r="U162" s="11" t="s">
        <v>38</v>
      </c>
      <c r="V162" s="16" t="s">
        <v>31</v>
      </c>
    </row>
    <row r="163" spans="1:22" hidden="1" x14ac:dyDescent="0.3">
      <c r="A163" s="10">
        <v>46140</v>
      </c>
      <c r="B163" s="11">
        <v>138986</v>
      </c>
      <c r="C163" s="11" t="s">
        <v>31</v>
      </c>
      <c r="D163" s="11" t="s">
        <v>92</v>
      </c>
      <c r="E163" s="11" t="s">
        <v>35</v>
      </c>
      <c r="F163" s="11" t="s">
        <v>35</v>
      </c>
      <c r="G163" s="12">
        <v>12</v>
      </c>
      <c r="H163" s="13">
        <v>176</v>
      </c>
      <c r="I163" s="14">
        <f>vendas2026[[#This Row],[Qtde]]*vendas2026[[#This Row],[VlrUnitário]]</f>
        <v>2112</v>
      </c>
      <c r="J163" s="309">
        <f>vendas2026[[#This Row],[VlrTotal]]</f>
        <v>2112</v>
      </c>
      <c r="K163" s="15">
        <v>0.01</v>
      </c>
      <c r="L163" s="15">
        <f>vendas2026[[#This Row],[%Comissão]]*0.25</f>
        <v>2.5000000000000001E-3</v>
      </c>
      <c r="M163" s="14" t="s">
        <v>26</v>
      </c>
      <c r="N163" s="23">
        <f>vendas2026[[#This Row],[VlrTotal]]*vendas2026[[#This Row],[%Comissão]]</f>
        <v>21.12</v>
      </c>
      <c r="O163" s="14">
        <f>vendas2026[[#This Row],[VlrTotal]]*vendas2026[[#This Row],[%ComissãoSupervisor]]</f>
        <v>5.28</v>
      </c>
      <c r="P163" s="11" t="s">
        <v>36</v>
      </c>
      <c r="Q163" s="11" t="s">
        <v>37</v>
      </c>
      <c r="R163" s="11"/>
      <c r="S163" s="11">
        <v>1</v>
      </c>
      <c r="T163" s="11"/>
      <c r="U163" s="11" t="s">
        <v>38</v>
      </c>
      <c r="V163" s="16" t="s">
        <v>31</v>
      </c>
    </row>
    <row r="164" spans="1:22" hidden="1" x14ac:dyDescent="0.3">
      <c r="A164" s="10">
        <v>46140</v>
      </c>
      <c r="B164" s="11">
        <v>130958</v>
      </c>
      <c r="C164" s="11" t="s">
        <v>31</v>
      </c>
      <c r="D164" s="11" t="s">
        <v>127</v>
      </c>
      <c r="E164" s="11" t="s">
        <v>35</v>
      </c>
      <c r="F164" s="11" t="s">
        <v>35</v>
      </c>
      <c r="G164" s="12">
        <v>20</v>
      </c>
      <c r="H164" s="13">
        <v>176</v>
      </c>
      <c r="I164" s="14">
        <f>vendas2026[[#This Row],[Qtde]]*vendas2026[[#This Row],[VlrUnitário]]</f>
        <v>3520</v>
      </c>
      <c r="J164" s="309">
        <f>vendas2026[[#This Row],[VlrTotal]]</f>
        <v>3520</v>
      </c>
      <c r="K164" s="15">
        <v>0.01</v>
      </c>
      <c r="L164" s="15">
        <f>vendas2026[[#This Row],[%Comissão]]*0.25</f>
        <v>2.5000000000000001E-3</v>
      </c>
      <c r="M164" s="14" t="s">
        <v>26</v>
      </c>
      <c r="N164" s="23">
        <f>vendas2026[[#This Row],[VlrTotal]]*vendas2026[[#This Row],[%Comissão]]</f>
        <v>35.200000000000003</v>
      </c>
      <c r="O164" s="14">
        <f>vendas2026[[#This Row],[VlrTotal]]*vendas2026[[#This Row],[%ComissãoSupervisor]]</f>
        <v>8.8000000000000007</v>
      </c>
      <c r="P164" s="11" t="s">
        <v>36</v>
      </c>
      <c r="Q164" s="11" t="s">
        <v>37</v>
      </c>
      <c r="R164" s="11"/>
      <c r="S164" s="11">
        <v>3</v>
      </c>
      <c r="T164" s="11"/>
      <c r="U164" s="11" t="s">
        <v>38</v>
      </c>
      <c r="V164" s="16" t="s">
        <v>31</v>
      </c>
    </row>
    <row r="165" spans="1:22" hidden="1" x14ac:dyDescent="0.3">
      <c r="A165" s="10">
        <v>46140</v>
      </c>
      <c r="B165" s="11">
        <v>139375</v>
      </c>
      <c r="C165" s="11" t="s">
        <v>31</v>
      </c>
      <c r="D165" s="11" t="s">
        <v>128</v>
      </c>
      <c r="E165" s="11" t="s">
        <v>35</v>
      </c>
      <c r="F165" s="11" t="s">
        <v>35</v>
      </c>
      <c r="G165" s="12">
        <v>6</v>
      </c>
      <c r="H165" s="13">
        <v>176</v>
      </c>
      <c r="I165" s="14">
        <f>vendas2026[[#This Row],[Qtde]]*vendas2026[[#This Row],[VlrUnitário]]</f>
        <v>1056</v>
      </c>
      <c r="J165" s="309">
        <f>vendas2026[[#This Row],[VlrTotal]]</f>
        <v>1056</v>
      </c>
      <c r="K165" s="15">
        <v>0.01</v>
      </c>
      <c r="L165" s="15">
        <f>vendas2026[[#This Row],[%Comissão]]*0.25</f>
        <v>2.5000000000000001E-3</v>
      </c>
      <c r="M165" s="14" t="s">
        <v>26</v>
      </c>
      <c r="N165" s="23">
        <f>vendas2026[[#This Row],[VlrTotal]]*vendas2026[[#This Row],[%Comissão]]</f>
        <v>10.56</v>
      </c>
      <c r="O165" s="14">
        <f>vendas2026[[#This Row],[VlrTotal]]*vendas2026[[#This Row],[%ComissãoSupervisor]]</f>
        <v>2.64</v>
      </c>
      <c r="P165" s="11" t="s">
        <v>36</v>
      </c>
      <c r="Q165" s="11" t="s">
        <v>37</v>
      </c>
      <c r="R165" s="11"/>
      <c r="S165" s="11">
        <v>3</v>
      </c>
      <c r="T165" s="11"/>
      <c r="U165" s="11" t="s">
        <v>38</v>
      </c>
      <c r="V165" s="16" t="s">
        <v>31</v>
      </c>
    </row>
    <row r="166" spans="1:22" hidden="1" x14ac:dyDescent="0.3">
      <c r="A166" s="90">
        <v>46147</v>
      </c>
      <c r="B166" s="11">
        <v>138641</v>
      </c>
      <c r="C166" s="11" t="s">
        <v>22</v>
      </c>
      <c r="D166" s="11" t="s">
        <v>87</v>
      </c>
      <c r="E166" s="11" t="s">
        <v>54</v>
      </c>
      <c r="F166" s="11" t="s">
        <v>30</v>
      </c>
      <c r="G166" s="12">
        <v>6</v>
      </c>
      <c r="H166" s="13">
        <v>142.56</v>
      </c>
      <c r="I166" s="14">
        <f>vendas2026[[#This Row],[Qtde]]*vendas2026[[#This Row],[VlrUnitário]]</f>
        <v>855.36</v>
      </c>
      <c r="J166" s="382">
        <f>vendas2026[[#This Row],[VlrTotal]]</f>
        <v>855.36</v>
      </c>
      <c r="K166" s="15">
        <v>1</v>
      </c>
      <c r="L166" s="15">
        <v>0</v>
      </c>
      <c r="M166" s="14" t="s">
        <v>46</v>
      </c>
      <c r="N166" s="23">
        <f>vendas2026[[#This Row],[VlrTotal]]*vendas2026[[#This Row],[%Comissão]]</f>
        <v>855.36</v>
      </c>
      <c r="O166" s="14">
        <f>vendas2026[[#This Row],[VlrTotal]]*vendas2026[[#This Row],[%ComissãoSupervisor]]</f>
        <v>0</v>
      </c>
      <c r="P166" s="11" t="s">
        <v>36</v>
      </c>
      <c r="Q166" s="11" t="s">
        <v>37</v>
      </c>
      <c r="R166" s="11"/>
      <c r="S166" s="11">
        <v>1</v>
      </c>
      <c r="T166" s="379"/>
      <c r="U166" s="11" t="s">
        <v>38</v>
      </c>
      <c r="V166" s="16" t="s">
        <v>22</v>
      </c>
    </row>
    <row r="167" spans="1:22" hidden="1" x14ac:dyDescent="0.3">
      <c r="A167" s="10">
        <v>46147</v>
      </c>
      <c r="B167" s="11">
        <v>142282</v>
      </c>
      <c r="C167" s="11" t="s">
        <v>31</v>
      </c>
      <c r="D167" s="11" t="s">
        <v>66</v>
      </c>
      <c r="E167" s="11" t="s">
        <v>56</v>
      </c>
      <c r="F167" s="11" t="s">
        <v>25</v>
      </c>
      <c r="G167" s="12">
        <v>2</v>
      </c>
      <c r="H167" s="13">
        <v>210</v>
      </c>
      <c r="I167" s="14">
        <f>vendas2026[[#This Row],[Qtde]]*vendas2026[[#This Row],[VlrUnitário]]</f>
        <v>420</v>
      </c>
      <c r="J167" s="382">
        <f>(vendas2026[[#This Row],[VlrTotal]]*0.2)+vendas2026[[#This Row],[VlrTotal]]</f>
        <v>504</v>
      </c>
      <c r="K167" s="15">
        <v>7.0000000000000007E-2</v>
      </c>
      <c r="L167" s="15">
        <f>vendas2026[[#This Row],[%Comissão]]*0.25</f>
        <v>1.7500000000000002E-2</v>
      </c>
      <c r="M167" s="14" t="s">
        <v>26</v>
      </c>
      <c r="N167" s="23">
        <f>vendas2026[[#This Row],[VlrTotal]]*vendas2026[[#This Row],[%Comissão]]</f>
        <v>29.400000000000002</v>
      </c>
      <c r="O167" s="14">
        <f>vendas2026[[#This Row],[VlrTotal]]*vendas2026[[#This Row],[%ComissãoSupervisor]]</f>
        <v>7.3500000000000005</v>
      </c>
      <c r="P167" s="11" t="s">
        <v>27</v>
      </c>
      <c r="Q167" s="11" t="s">
        <v>27</v>
      </c>
      <c r="R167" s="11"/>
      <c r="S167" s="11">
        <v>1</v>
      </c>
      <c r="T167" s="380">
        <v>46147</v>
      </c>
      <c r="U167" s="11" t="s">
        <v>28</v>
      </c>
      <c r="V167" s="16" t="s">
        <v>31</v>
      </c>
    </row>
    <row r="168" spans="1:22" hidden="1" x14ac:dyDescent="0.3">
      <c r="A168" s="10">
        <v>46147</v>
      </c>
      <c r="B168" s="11">
        <v>142282</v>
      </c>
      <c r="C168" s="11" t="s">
        <v>31</v>
      </c>
      <c r="D168" s="11" t="s">
        <v>66</v>
      </c>
      <c r="E168" s="11" t="s">
        <v>56</v>
      </c>
      <c r="F168" s="11" t="s">
        <v>30</v>
      </c>
      <c r="G168" s="12">
        <v>1</v>
      </c>
      <c r="H168" s="13">
        <v>356.4</v>
      </c>
      <c r="I168" s="14">
        <f>vendas2026[[#This Row],[Qtde]]*vendas2026[[#This Row],[VlrUnitário]]</f>
        <v>356.4</v>
      </c>
      <c r="J168" s="382">
        <f>(vendas2026[[#This Row],[VlrTotal]]*0.2)+vendas2026[[#This Row],[VlrTotal]]</f>
        <v>427.67999999999995</v>
      </c>
      <c r="K168" s="15">
        <v>1</v>
      </c>
      <c r="L168" s="15">
        <f>vendas2026[[#This Row],[%Comissão]]*0.25</f>
        <v>0.25</v>
      </c>
      <c r="M168" s="14" t="s">
        <v>26</v>
      </c>
      <c r="N168" s="23">
        <f>vendas2026[[#This Row],[VlrTotal]]*vendas2026[[#This Row],[%Comissão]]</f>
        <v>356.4</v>
      </c>
      <c r="O168" s="14">
        <f>vendas2026[[#This Row],[VlrTotal]]*vendas2026[[#This Row],[%ComissãoSupervisor]]</f>
        <v>89.1</v>
      </c>
      <c r="P168" s="11" t="s">
        <v>27</v>
      </c>
      <c r="Q168" s="11" t="s">
        <v>27</v>
      </c>
      <c r="R168" s="11"/>
      <c r="S168" s="11">
        <v>1</v>
      </c>
      <c r="T168" s="380">
        <v>46147</v>
      </c>
      <c r="U168" s="11" t="s">
        <v>28</v>
      </c>
      <c r="V168" s="16" t="s">
        <v>31</v>
      </c>
    </row>
    <row r="169" spans="1:22" hidden="1" x14ac:dyDescent="0.3">
      <c r="A169" s="10">
        <v>46147</v>
      </c>
      <c r="B169" s="11" t="s">
        <v>129</v>
      </c>
      <c r="C169" s="11" t="s">
        <v>31</v>
      </c>
      <c r="D169" s="11" t="s">
        <v>100</v>
      </c>
      <c r="E169" s="11" t="s">
        <v>35</v>
      </c>
      <c r="F169" s="11" t="s">
        <v>35</v>
      </c>
      <c r="G169" s="12">
        <v>12</v>
      </c>
      <c r="H169" s="13">
        <v>176</v>
      </c>
      <c r="I169" s="14">
        <f>vendas2026[[#This Row],[Qtde]]*vendas2026[[#This Row],[VlrUnitário]]</f>
        <v>2112</v>
      </c>
      <c r="J169" s="382">
        <f>vendas2026[[#This Row],[VlrTotal]]</f>
        <v>2112</v>
      </c>
      <c r="K169" s="15">
        <v>0.01</v>
      </c>
      <c r="L169" s="15">
        <f>vendas2026[[#This Row],[%Comissão]]*0.25</f>
        <v>2.5000000000000001E-3</v>
      </c>
      <c r="M169" s="14" t="s">
        <v>26</v>
      </c>
      <c r="N169" s="23">
        <f>vendas2026[[#This Row],[VlrTotal]]*vendas2026[[#This Row],[%Comissão]]</f>
        <v>21.12</v>
      </c>
      <c r="O169" s="14">
        <f>vendas2026[[#This Row],[VlrTotal]]*vendas2026[[#This Row],[%ComissãoSupervisor]]</f>
        <v>5.28</v>
      </c>
      <c r="P169" s="11" t="s">
        <v>36</v>
      </c>
      <c r="Q169" s="11" t="s">
        <v>37</v>
      </c>
      <c r="R169" s="11"/>
      <c r="S169" s="11">
        <v>3</v>
      </c>
      <c r="T169" s="379"/>
      <c r="U169" s="11" t="s">
        <v>38</v>
      </c>
      <c r="V169" s="16" t="s">
        <v>31</v>
      </c>
    </row>
    <row r="170" spans="1:22" hidden="1" x14ac:dyDescent="0.3">
      <c r="A170" s="10">
        <v>46147</v>
      </c>
      <c r="B170" s="11">
        <v>138375</v>
      </c>
      <c r="C170" s="11" t="s">
        <v>31</v>
      </c>
      <c r="D170" s="11" t="s">
        <v>116</v>
      </c>
      <c r="E170" s="11" t="s">
        <v>35</v>
      </c>
      <c r="F170" s="11" t="s">
        <v>35</v>
      </c>
      <c r="G170" s="12">
        <v>28</v>
      </c>
      <c r="H170" s="13">
        <v>158.4</v>
      </c>
      <c r="I170" s="14">
        <f>vendas2026[[#This Row],[Qtde]]*vendas2026[[#This Row],[VlrUnitário]]</f>
        <v>4435.2</v>
      </c>
      <c r="J170" s="382">
        <f>vendas2026[[#This Row],[VlrTotal]]</f>
        <v>4435.2</v>
      </c>
      <c r="K170" s="15">
        <v>6.8999999999999999E-3</v>
      </c>
      <c r="L170" s="15">
        <f>vendas2026[[#This Row],[%Comissão]]*0.25</f>
        <v>1.725E-3</v>
      </c>
      <c r="M170" s="14" t="s">
        <v>26</v>
      </c>
      <c r="N170" s="23">
        <f>vendas2026[[#This Row],[VlrTotal]]*vendas2026[[#This Row],[%Comissão]]</f>
        <v>30.602879999999999</v>
      </c>
      <c r="O170" s="14">
        <f>vendas2026[[#This Row],[VlrTotal]]*vendas2026[[#This Row],[%ComissãoSupervisor]]</f>
        <v>7.6507199999999997</v>
      </c>
      <c r="P170" s="11" t="s">
        <v>36</v>
      </c>
      <c r="Q170" s="11" t="s">
        <v>37</v>
      </c>
      <c r="R170" s="11"/>
      <c r="S170" s="11">
        <v>3</v>
      </c>
      <c r="T170" s="379"/>
      <c r="U170" s="11" t="s">
        <v>38</v>
      </c>
      <c r="V170" s="16" t="s">
        <v>31</v>
      </c>
    </row>
    <row r="171" spans="1:22" hidden="1" x14ac:dyDescent="0.3">
      <c r="A171" s="10">
        <v>46147</v>
      </c>
      <c r="B171" s="11">
        <v>138486</v>
      </c>
      <c r="C171" s="11" t="s">
        <v>31</v>
      </c>
      <c r="D171" s="11" t="s">
        <v>65</v>
      </c>
      <c r="E171" s="11" t="s">
        <v>35</v>
      </c>
      <c r="F171" s="11" t="s">
        <v>35</v>
      </c>
      <c r="G171" s="12">
        <v>52</v>
      </c>
      <c r="H171" s="13">
        <v>176</v>
      </c>
      <c r="I171" s="14">
        <f>vendas2026[[#This Row],[Qtde]]*vendas2026[[#This Row],[VlrUnitário]]</f>
        <v>9152</v>
      </c>
      <c r="J171" s="382">
        <f>vendas2026[[#This Row],[VlrTotal]]</f>
        <v>9152</v>
      </c>
      <c r="K171" s="15">
        <v>0.01</v>
      </c>
      <c r="L171" s="15">
        <f>vendas2026[[#This Row],[%Comissão]]*0.25</f>
        <v>2.5000000000000001E-3</v>
      </c>
      <c r="M171" s="14" t="s">
        <v>26</v>
      </c>
      <c r="N171" s="23">
        <f>vendas2026[[#This Row],[VlrTotal]]*vendas2026[[#This Row],[%Comissão]]</f>
        <v>91.52</v>
      </c>
      <c r="O171" s="14">
        <f>vendas2026[[#This Row],[VlrTotal]]*vendas2026[[#This Row],[%ComissãoSupervisor]]</f>
        <v>22.88</v>
      </c>
      <c r="P171" s="11" t="s">
        <v>36</v>
      </c>
      <c r="Q171" s="11" t="s">
        <v>37</v>
      </c>
      <c r="R171" s="11"/>
      <c r="S171" s="11">
        <v>3</v>
      </c>
      <c r="T171" s="379"/>
      <c r="U171" s="11" t="s">
        <v>38</v>
      </c>
      <c r="V171" s="16" t="s">
        <v>31</v>
      </c>
    </row>
    <row r="172" spans="1:22" hidden="1" x14ac:dyDescent="0.3">
      <c r="A172" s="10">
        <v>46147</v>
      </c>
      <c r="B172" s="11" t="s">
        <v>130</v>
      </c>
      <c r="C172" s="11" t="s">
        <v>31</v>
      </c>
      <c r="D172" s="11" t="s">
        <v>79</v>
      </c>
      <c r="E172" s="11" t="s">
        <v>35</v>
      </c>
      <c r="F172" s="11" t="s">
        <v>35</v>
      </c>
      <c r="G172" s="12">
        <v>14</v>
      </c>
      <c r="H172" s="13">
        <v>176</v>
      </c>
      <c r="I172" s="14">
        <f>vendas2026[[#This Row],[Qtde]]*vendas2026[[#This Row],[VlrUnitário]]</f>
        <v>2464</v>
      </c>
      <c r="J172" s="382">
        <f>vendas2026[[#This Row],[VlrTotal]]</f>
        <v>2464</v>
      </c>
      <c r="K172" s="15">
        <v>0.01</v>
      </c>
      <c r="L172" s="15">
        <f>vendas2026[[#This Row],[%Comissão]]*0.25</f>
        <v>2.5000000000000001E-3</v>
      </c>
      <c r="M172" s="14" t="s">
        <v>26</v>
      </c>
      <c r="N172" s="23">
        <f>vendas2026[[#This Row],[VlrTotal]]*vendas2026[[#This Row],[%Comissão]]</f>
        <v>24.64</v>
      </c>
      <c r="O172" s="14">
        <f>vendas2026[[#This Row],[VlrTotal]]*vendas2026[[#This Row],[%ComissãoSupervisor]]</f>
        <v>6.16</v>
      </c>
      <c r="P172" s="11" t="s">
        <v>36</v>
      </c>
      <c r="Q172" s="11" t="s">
        <v>37</v>
      </c>
      <c r="R172" s="11"/>
      <c r="S172" s="11">
        <v>4</v>
      </c>
      <c r="T172" s="379"/>
      <c r="U172" s="11" t="s">
        <v>38</v>
      </c>
      <c r="V172" s="16" t="s">
        <v>31</v>
      </c>
    </row>
    <row r="173" spans="1:22" hidden="1" x14ac:dyDescent="0.3">
      <c r="A173" s="10">
        <v>46148</v>
      </c>
      <c r="B173" s="11">
        <v>142268</v>
      </c>
      <c r="C173" s="11" t="s">
        <v>44</v>
      </c>
      <c r="D173" s="11" t="s">
        <v>131</v>
      </c>
      <c r="E173" s="11" t="s">
        <v>47</v>
      </c>
      <c r="F173" s="11" t="s">
        <v>25</v>
      </c>
      <c r="G173" s="12">
        <v>220</v>
      </c>
      <c r="H173" s="13">
        <v>173.08</v>
      </c>
      <c r="I173" s="14">
        <f>vendas2026[[#This Row],[Qtde]]*vendas2026[[#This Row],[VlrUnitário]]</f>
        <v>38077.600000000006</v>
      </c>
      <c r="J173" s="382">
        <f>vendas2026[[#This Row],[VlrTotal]]</f>
        <v>38077.600000000006</v>
      </c>
      <c r="K173" s="15">
        <v>0.05</v>
      </c>
      <c r="L173" s="15">
        <f>vendas2026[[#This Row],[%Comissão]]*0.25</f>
        <v>1.2500000000000001E-2</v>
      </c>
      <c r="M173" s="14" t="s">
        <v>46</v>
      </c>
      <c r="N173" s="23">
        <f>vendas2026[[#This Row],[VlrTotal]]*vendas2026[[#This Row],[%Comissão]]</f>
        <v>1903.8800000000003</v>
      </c>
      <c r="O173" s="14">
        <f>vendas2026[[#This Row],[VlrTotal]]*vendas2026[[#This Row],[%ComissãoSupervisor]]</f>
        <v>475.97000000000008</v>
      </c>
      <c r="P173" s="11" t="s">
        <v>27</v>
      </c>
      <c r="Q173" s="11" t="s">
        <v>27</v>
      </c>
      <c r="R173" s="11"/>
      <c r="S173" s="11">
        <v>8</v>
      </c>
      <c r="T173" s="380">
        <v>46148</v>
      </c>
      <c r="U173" s="11" t="s">
        <v>28</v>
      </c>
      <c r="V173" s="16" t="s">
        <v>44</v>
      </c>
    </row>
    <row r="174" spans="1:22" hidden="1" x14ac:dyDescent="0.3">
      <c r="A174" s="10">
        <v>46148</v>
      </c>
      <c r="B174" s="11">
        <v>142268</v>
      </c>
      <c r="C174" s="11" t="s">
        <v>44</v>
      </c>
      <c r="D174" s="11" t="s">
        <v>131</v>
      </c>
      <c r="E174" s="11" t="s">
        <v>63</v>
      </c>
      <c r="F174" s="11" t="s">
        <v>25</v>
      </c>
      <c r="G174" s="12">
        <v>40</v>
      </c>
      <c r="H174" s="13">
        <v>173.08</v>
      </c>
      <c r="I174" s="14">
        <f>vendas2026[[#This Row],[Qtde]]*vendas2026[[#This Row],[VlrUnitário]]</f>
        <v>6923.2000000000007</v>
      </c>
      <c r="J174" s="382">
        <f>vendas2026[[#This Row],[VlrTotal]]</f>
        <v>6923.2000000000007</v>
      </c>
      <c r="K174" s="15">
        <v>0.05</v>
      </c>
      <c r="L174" s="15">
        <f>vendas2026[[#This Row],[%Comissão]]*0.25</f>
        <v>1.2500000000000001E-2</v>
      </c>
      <c r="M174" s="14" t="s">
        <v>46</v>
      </c>
      <c r="N174" s="23">
        <f>vendas2026[[#This Row],[VlrTotal]]*vendas2026[[#This Row],[%Comissão]]</f>
        <v>346.16000000000008</v>
      </c>
      <c r="O174" s="14">
        <f>vendas2026[[#This Row],[VlrTotal]]*vendas2026[[#This Row],[%ComissãoSupervisor]]</f>
        <v>86.54000000000002</v>
      </c>
      <c r="P174" s="11" t="s">
        <v>27</v>
      </c>
      <c r="Q174" s="11" t="s">
        <v>27</v>
      </c>
      <c r="R174" s="11"/>
      <c r="S174" s="11">
        <v>8</v>
      </c>
      <c r="T174" s="380"/>
      <c r="U174" s="11" t="s">
        <v>28</v>
      </c>
      <c r="V174" s="16" t="s">
        <v>44</v>
      </c>
    </row>
    <row r="175" spans="1:22" hidden="1" x14ac:dyDescent="0.3">
      <c r="A175" s="10">
        <v>46148</v>
      </c>
      <c r="B175" s="11">
        <v>142268</v>
      </c>
      <c r="C175" s="11" t="s">
        <v>44</v>
      </c>
      <c r="D175" s="11" t="s">
        <v>131</v>
      </c>
      <c r="E175" s="11" t="s">
        <v>53</v>
      </c>
      <c r="F175" s="11" t="s">
        <v>30</v>
      </c>
      <c r="G175" s="12">
        <v>1</v>
      </c>
      <c r="H175" s="13">
        <v>1700</v>
      </c>
      <c r="I175" s="14">
        <f>vendas2026[[#This Row],[Qtde]]*vendas2026[[#This Row],[VlrUnitário]]</f>
        <v>1700</v>
      </c>
      <c r="J175" s="382">
        <f>vendas2026[[#This Row],[VlrTotal]]</f>
        <v>1700</v>
      </c>
      <c r="K175" s="15">
        <v>1</v>
      </c>
      <c r="L175" s="15">
        <f>vendas2026[[#This Row],[%Comissão]]*0.25</f>
        <v>0.25</v>
      </c>
      <c r="M175" s="14" t="s">
        <v>46</v>
      </c>
      <c r="N175" s="23">
        <f>vendas2026[[#This Row],[VlrTotal]]*vendas2026[[#This Row],[%Comissão]]</f>
        <v>1700</v>
      </c>
      <c r="O175" s="14">
        <f>vendas2026[[#This Row],[VlrTotal]]*vendas2026[[#This Row],[%ComissãoSupervisor]]</f>
        <v>425</v>
      </c>
      <c r="P175" s="11" t="s">
        <v>27</v>
      </c>
      <c r="Q175" s="11" t="s">
        <v>27</v>
      </c>
      <c r="R175" s="11"/>
      <c r="S175" s="11">
        <v>1</v>
      </c>
      <c r="T175" s="380"/>
      <c r="U175" s="11" t="s">
        <v>28</v>
      </c>
      <c r="V175" s="16" t="s">
        <v>44</v>
      </c>
    </row>
    <row r="176" spans="1:22" hidden="1" x14ac:dyDescent="0.3">
      <c r="A176" s="10">
        <v>46148</v>
      </c>
      <c r="B176" s="11">
        <v>142268</v>
      </c>
      <c r="C176" s="11" t="s">
        <v>44</v>
      </c>
      <c r="D176" s="11" t="s">
        <v>131</v>
      </c>
      <c r="E176" s="11" t="s">
        <v>47</v>
      </c>
      <c r="F176" s="11" t="s">
        <v>30</v>
      </c>
      <c r="G176" s="12">
        <v>4</v>
      </c>
      <c r="H176" s="13">
        <v>248.05</v>
      </c>
      <c r="I176" s="14">
        <f>vendas2026[[#This Row],[Qtde]]*vendas2026[[#This Row],[VlrUnitário]]</f>
        <v>992.2</v>
      </c>
      <c r="J176" s="382">
        <f>vendas2026[[#This Row],[VlrTotal]]</f>
        <v>992.2</v>
      </c>
      <c r="K176" s="15">
        <v>1</v>
      </c>
      <c r="L176" s="15">
        <f>vendas2026[[#This Row],[%Comissão]]*0.25</f>
        <v>0.25</v>
      </c>
      <c r="M176" s="14" t="s">
        <v>46</v>
      </c>
      <c r="N176" s="23">
        <f>vendas2026[[#This Row],[VlrTotal]]*vendas2026[[#This Row],[%Comissão]]</f>
        <v>992.2</v>
      </c>
      <c r="O176" s="14">
        <f>vendas2026[[#This Row],[VlrTotal]]*vendas2026[[#This Row],[%ComissãoSupervisor]]</f>
        <v>248.05</v>
      </c>
      <c r="P176" s="11" t="s">
        <v>27</v>
      </c>
      <c r="Q176" s="11" t="s">
        <v>27</v>
      </c>
      <c r="R176" s="11"/>
      <c r="S176" s="11">
        <v>1</v>
      </c>
      <c r="T176" s="380"/>
      <c r="U176" s="11" t="s">
        <v>28</v>
      </c>
      <c r="V176" s="16" t="s">
        <v>44</v>
      </c>
    </row>
    <row r="177" spans="1:22" hidden="1" x14ac:dyDescent="0.3">
      <c r="A177" s="10">
        <v>46148</v>
      </c>
      <c r="B177" s="11">
        <v>142268</v>
      </c>
      <c r="C177" s="11" t="s">
        <v>44</v>
      </c>
      <c r="D177" s="11" t="s">
        <v>131</v>
      </c>
      <c r="E177" s="11" t="s">
        <v>63</v>
      </c>
      <c r="F177" s="11" t="s">
        <v>30</v>
      </c>
      <c r="G177" s="12">
        <v>1</v>
      </c>
      <c r="H177" s="13">
        <v>88.68</v>
      </c>
      <c r="I177" s="14">
        <f>vendas2026[[#This Row],[Qtde]]*vendas2026[[#This Row],[VlrUnitário]]</f>
        <v>88.68</v>
      </c>
      <c r="J177" s="382">
        <f>vendas2026[[#This Row],[VlrTotal]]</f>
        <v>88.68</v>
      </c>
      <c r="K177" s="15">
        <v>1</v>
      </c>
      <c r="L177" s="15">
        <f>vendas2026[[#This Row],[%Comissão]]*0.25</f>
        <v>0.25</v>
      </c>
      <c r="M177" s="14" t="s">
        <v>46</v>
      </c>
      <c r="N177" s="23">
        <f>vendas2026[[#This Row],[VlrTotal]]*vendas2026[[#This Row],[%Comissão]]</f>
        <v>88.68</v>
      </c>
      <c r="O177" s="14">
        <f>vendas2026[[#This Row],[VlrTotal]]*vendas2026[[#This Row],[%ComissãoSupervisor]]</f>
        <v>22.17</v>
      </c>
      <c r="P177" s="11" t="s">
        <v>27</v>
      </c>
      <c r="Q177" s="11" t="s">
        <v>27</v>
      </c>
      <c r="R177" s="11"/>
      <c r="S177" s="11">
        <v>1</v>
      </c>
      <c r="T177" s="380"/>
      <c r="U177" s="11" t="s">
        <v>28</v>
      </c>
      <c r="V177" s="16" t="s">
        <v>44</v>
      </c>
    </row>
    <row r="178" spans="1:22" hidden="1" x14ac:dyDescent="0.3">
      <c r="A178" s="10">
        <v>46154</v>
      </c>
      <c r="B178" s="11">
        <v>142439</v>
      </c>
      <c r="C178" s="11" t="s">
        <v>31</v>
      </c>
      <c r="D178" s="11" t="s">
        <v>95</v>
      </c>
      <c r="E178" s="11" t="s">
        <v>83</v>
      </c>
      <c r="F178" s="11" t="s">
        <v>25</v>
      </c>
      <c r="G178" s="12">
        <v>72</v>
      </c>
      <c r="H178" s="13">
        <v>180.83</v>
      </c>
      <c r="I178" s="14">
        <f>vendas2026[[#This Row],[Qtde]]*vendas2026[[#This Row],[VlrUnitário]]</f>
        <v>13019.76</v>
      </c>
      <c r="J178" s="382">
        <f>(vendas2026[[#This Row],[VlrTotal]]*0.2)+vendas2026[[#This Row],[VlrTotal]]</f>
        <v>15623.712</v>
      </c>
      <c r="K178" s="15">
        <v>6.6900000000000001E-2</v>
      </c>
      <c r="L178" s="15">
        <f>vendas2026[[#This Row],[%Comissão]]*0.25</f>
        <v>1.6725E-2</v>
      </c>
      <c r="M178" s="14" t="s">
        <v>26</v>
      </c>
      <c r="N178" s="23">
        <f>vendas2026[[#This Row],[VlrTotal]]*vendas2026[[#This Row],[%Comissão]]</f>
        <v>871.02194400000008</v>
      </c>
      <c r="O178" s="14">
        <f>vendas2026[[#This Row],[VlrTotal]]*vendas2026[[#This Row],[%ComissãoSupervisor]]</f>
        <v>217.75548600000002</v>
      </c>
      <c r="P178" s="11" t="s">
        <v>27</v>
      </c>
      <c r="Q178" s="11" t="s">
        <v>27</v>
      </c>
      <c r="R178" s="11"/>
      <c r="S178" s="11">
        <v>6</v>
      </c>
      <c r="T178" s="380">
        <v>46148</v>
      </c>
      <c r="U178" s="11" t="s">
        <v>28</v>
      </c>
      <c r="V178" s="16" t="s">
        <v>31</v>
      </c>
    </row>
    <row r="179" spans="1:22" hidden="1" x14ac:dyDescent="0.3">
      <c r="A179" s="10">
        <v>46154</v>
      </c>
      <c r="B179" s="11">
        <v>142439</v>
      </c>
      <c r="C179" s="11" t="s">
        <v>31</v>
      </c>
      <c r="D179" s="11" t="s">
        <v>95</v>
      </c>
      <c r="E179" s="11" t="s">
        <v>83</v>
      </c>
      <c r="F179" s="11" t="s">
        <v>30</v>
      </c>
      <c r="G179" s="12">
        <v>1</v>
      </c>
      <c r="H179" s="13">
        <v>689.04</v>
      </c>
      <c r="I179" s="14">
        <f>vendas2026[[#This Row],[Qtde]]*vendas2026[[#This Row],[VlrUnitário]]</f>
        <v>689.04</v>
      </c>
      <c r="J179" s="382">
        <f>(vendas2026[[#This Row],[VlrTotal]]*0.2)+vendas2026[[#This Row],[VlrTotal]]</f>
        <v>826.84799999999996</v>
      </c>
      <c r="K179" s="15">
        <v>1</v>
      </c>
      <c r="L179" s="15">
        <f>vendas2026[[#This Row],[%Comissão]]*0.25</f>
        <v>0.25</v>
      </c>
      <c r="M179" s="14" t="s">
        <v>26</v>
      </c>
      <c r="N179" s="23">
        <f>vendas2026[[#This Row],[VlrTotal]]*vendas2026[[#This Row],[%Comissão]]</f>
        <v>689.04</v>
      </c>
      <c r="O179" s="14">
        <f>vendas2026[[#This Row],[VlrTotal]]*vendas2026[[#This Row],[%ComissãoSupervisor]]</f>
        <v>172.26</v>
      </c>
      <c r="P179" s="11" t="s">
        <v>27</v>
      </c>
      <c r="Q179" s="11" t="s">
        <v>27</v>
      </c>
      <c r="R179" s="11"/>
      <c r="S179" s="11">
        <v>1</v>
      </c>
      <c r="T179" s="380">
        <v>46148</v>
      </c>
      <c r="U179" s="11" t="s">
        <v>28</v>
      </c>
      <c r="V179" s="16" t="s">
        <v>31</v>
      </c>
    </row>
    <row r="180" spans="1:22" hidden="1" x14ac:dyDescent="0.3">
      <c r="A180" s="10">
        <v>46156</v>
      </c>
      <c r="B180" s="11" t="s">
        <v>132</v>
      </c>
      <c r="C180" s="11" t="s">
        <v>44</v>
      </c>
      <c r="D180" s="11" t="s">
        <v>133</v>
      </c>
      <c r="E180" s="11" t="s">
        <v>47</v>
      </c>
      <c r="F180" s="11" t="s">
        <v>25</v>
      </c>
      <c r="G180" s="12">
        <v>228</v>
      </c>
      <c r="H180" s="13">
        <v>190.8</v>
      </c>
      <c r="I180" s="14">
        <f>vendas2026[[#This Row],[Qtde]]*vendas2026[[#This Row],[VlrUnitário]]</f>
        <v>43502.400000000001</v>
      </c>
      <c r="J180" s="382">
        <f>vendas2026[[#This Row],[VlrTotal]]</f>
        <v>43502.400000000001</v>
      </c>
      <c r="K180" s="15">
        <v>7.0000000000000007E-2</v>
      </c>
      <c r="L180" s="15">
        <f>vendas2026[[#This Row],[%Comissão]]*0.25</f>
        <v>1.7500000000000002E-2</v>
      </c>
      <c r="M180" s="14" t="s">
        <v>46</v>
      </c>
      <c r="N180" s="23">
        <f>vendas2026[[#This Row],[VlrTotal]]*vendas2026[[#This Row],[%Comissão]]</f>
        <v>3045.1680000000006</v>
      </c>
      <c r="O180" s="14">
        <f>vendas2026[[#This Row],[VlrTotal]]*vendas2026[[#This Row],[%ComissãoSupervisor]]</f>
        <v>761.29200000000014</v>
      </c>
      <c r="P180" s="11" t="s">
        <v>27</v>
      </c>
      <c r="Q180" s="11" t="s">
        <v>27</v>
      </c>
      <c r="R180" s="11"/>
      <c r="S180" s="11">
        <v>10</v>
      </c>
      <c r="T180" s="380">
        <v>46156</v>
      </c>
      <c r="U180" s="11" t="s">
        <v>28</v>
      </c>
      <c r="V180" s="16" t="s">
        <v>44</v>
      </c>
    </row>
    <row r="181" spans="1:22" hidden="1" x14ac:dyDescent="0.3">
      <c r="A181" s="10">
        <v>46156</v>
      </c>
      <c r="B181" s="11" t="s">
        <v>132</v>
      </c>
      <c r="C181" s="11" t="s">
        <v>44</v>
      </c>
      <c r="D181" s="11" t="s">
        <v>133</v>
      </c>
      <c r="E181" s="11" t="s">
        <v>47</v>
      </c>
      <c r="F181" s="11" t="s">
        <v>30</v>
      </c>
      <c r="G181" s="12">
        <v>4</v>
      </c>
      <c r="H181" s="13">
        <v>285.62</v>
      </c>
      <c r="I181" s="14">
        <f>vendas2026[[#This Row],[Qtde]]*vendas2026[[#This Row],[VlrUnitário]]</f>
        <v>1142.48</v>
      </c>
      <c r="J181" s="382">
        <f>vendas2026[[#This Row],[VlrTotal]]</f>
        <v>1142.48</v>
      </c>
      <c r="K181" s="15">
        <v>1</v>
      </c>
      <c r="L181" s="15">
        <f>vendas2026[[#This Row],[%Comissão]]*0.25</f>
        <v>0.25</v>
      </c>
      <c r="M181" s="14" t="s">
        <v>46</v>
      </c>
      <c r="N181" s="23">
        <f>vendas2026[[#This Row],[VlrTotal]]*vendas2026[[#This Row],[%Comissão]]</f>
        <v>1142.48</v>
      </c>
      <c r="O181" s="14">
        <f>vendas2026[[#This Row],[VlrTotal]]*vendas2026[[#This Row],[%ComissãoSupervisor]]</f>
        <v>285.62</v>
      </c>
      <c r="P181" s="11" t="s">
        <v>27</v>
      </c>
      <c r="Q181" s="11" t="s">
        <v>27</v>
      </c>
      <c r="R181" s="11"/>
      <c r="S181" s="11">
        <v>1</v>
      </c>
      <c r="T181" s="380">
        <v>46156</v>
      </c>
      <c r="U181" s="11" t="s">
        <v>28</v>
      </c>
      <c r="V181" s="16" t="s">
        <v>44</v>
      </c>
    </row>
    <row r="182" spans="1:22" hidden="1" x14ac:dyDescent="0.3">
      <c r="A182" s="10">
        <v>46156</v>
      </c>
      <c r="B182" s="11" t="s">
        <v>132</v>
      </c>
      <c r="C182" s="11" t="s">
        <v>44</v>
      </c>
      <c r="D182" s="11" t="s">
        <v>133</v>
      </c>
      <c r="E182" s="11" t="s">
        <v>54</v>
      </c>
      <c r="F182" s="11" t="s">
        <v>25</v>
      </c>
      <c r="G182" s="12">
        <v>80</v>
      </c>
      <c r="H182" s="13">
        <v>190.8</v>
      </c>
      <c r="I182" s="14">
        <f>vendas2026[[#This Row],[Qtde]]*vendas2026[[#This Row],[VlrUnitário]]</f>
        <v>15264</v>
      </c>
      <c r="J182" s="382">
        <f>vendas2026[[#This Row],[VlrTotal]]</f>
        <v>15264</v>
      </c>
      <c r="K182" s="15">
        <v>7.0000000000000007E-2</v>
      </c>
      <c r="L182" s="15">
        <f>vendas2026[[#This Row],[%Comissão]]*0.25</f>
        <v>1.7500000000000002E-2</v>
      </c>
      <c r="M182" s="14" t="s">
        <v>46</v>
      </c>
      <c r="N182" s="23">
        <f>vendas2026[[#This Row],[VlrTotal]]*vendas2026[[#This Row],[%Comissão]]</f>
        <v>1068.48</v>
      </c>
      <c r="O182" s="14">
        <f>vendas2026[[#This Row],[VlrTotal]]*vendas2026[[#This Row],[%ComissãoSupervisor]]</f>
        <v>267.12</v>
      </c>
      <c r="P182" s="11" t="s">
        <v>27</v>
      </c>
      <c r="Q182" s="11" t="s">
        <v>27</v>
      </c>
      <c r="R182" s="11"/>
      <c r="S182" s="11">
        <v>10</v>
      </c>
      <c r="T182" s="380">
        <v>46156</v>
      </c>
      <c r="U182" s="11" t="s">
        <v>28</v>
      </c>
      <c r="V182" s="16" t="s">
        <v>44</v>
      </c>
    </row>
    <row r="183" spans="1:22" hidden="1" x14ac:dyDescent="0.3">
      <c r="A183" s="10">
        <v>46156</v>
      </c>
      <c r="B183" s="11" t="s">
        <v>132</v>
      </c>
      <c r="C183" s="11" t="s">
        <v>44</v>
      </c>
      <c r="D183" s="11" t="s">
        <v>133</v>
      </c>
      <c r="E183" s="11" t="s">
        <v>54</v>
      </c>
      <c r="F183" s="11" t="s">
        <v>30</v>
      </c>
      <c r="G183" s="12">
        <v>2</v>
      </c>
      <c r="H183" s="13">
        <v>148</v>
      </c>
      <c r="I183" s="14">
        <f>vendas2026[[#This Row],[Qtde]]*vendas2026[[#This Row],[VlrUnitário]]</f>
        <v>296</v>
      </c>
      <c r="J183" s="382">
        <f>vendas2026[[#This Row],[VlrTotal]]</f>
        <v>296</v>
      </c>
      <c r="K183" s="15">
        <v>1</v>
      </c>
      <c r="L183" s="15">
        <f>vendas2026[[#This Row],[%Comissão]]*0.25</f>
        <v>0.25</v>
      </c>
      <c r="M183" s="14" t="s">
        <v>46</v>
      </c>
      <c r="N183" s="23">
        <f>vendas2026[[#This Row],[VlrTotal]]*vendas2026[[#This Row],[%Comissão]]</f>
        <v>296</v>
      </c>
      <c r="O183" s="14">
        <f>vendas2026[[#This Row],[VlrTotal]]*vendas2026[[#This Row],[%ComissãoSupervisor]]</f>
        <v>74</v>
      </c>
      <c r="P183" s="11" t="s">
        <v>27</v>
      </c>
      <c r="Q183" s="11" t="s">
        <v>27</v>
      </c>
      <c r="R183" s="11"/>
      <c r="S183" s="11">
        <v>1</v>
      </c>
      <c r="T183" s="380">
        <v>46156</v>
      </c>
      <c r="U183" s="11" t="s">
        <v>28</v>
      </c>
      <c r="V183" s="16" t="s">
        <v>44</v>
      </c>
    </row>
    <row r="184" spans="1:22" hidden="1" x14ac:dyDescent="0.3">
      <c r="A184" s="10">
        <v>46156</v>
      </c>
      <c r="B184" s="11" t="s">
        <v>132</v>
      </c>
      <c r="C184" s="11" t="s">
        <v>44</v>
      </c>
      <c r="D184" s="11" t="s">
        <v>133</v>
      </c>
      <c r="E184" s="11" t="s">
        <v>63</v>
      </c>
      <c r="F184" s="11" t="s">
        <v>25</v>
      </c>
      <c r="G184" s="12">
        <v>56</v>
      </c>
      <c r="H184" s="13">
        <v>190.8</v>
      </c>
      <c r="I184" s="14">
        <f>vendas2026[[#This Row],[Qtde]]*vendas2026[[#This Row],[VlrUnitário]]</f>
        <v>10684.800000000001</v>
      </c>
      <c r="J184" s="382">
        <f>vendas2026[[#This Row],[VlrTotal]]</f>
        <v>10684.800000000001</v>
      </c>
      <c r="K184" s="15">
        <v>7.0000000000000007E-2</v>
      </c>
      <c r="L184" s="15">
        <f>vendas2026[[#This Row],[%Comissão]]*0.25</f>
        <v>1.7500000000000002E-2</v>
      </c>
      <c r="M184" s="14" t="s">
        <v>46</v>
      </c>
      <c r="N184" s="23">
        <f>vendas2026[[#This Row],[VlrTotal]]*vendas2026[[#This Row],[%Comissão]]</f>
        <v>747.93600000000015</v>
      </c>
      <c r="O184" s="14">
        <f>vendas2026[[#This Row],[VlrTotal]]*vendas2026[[#This Row],[%ComissãoSupervisor]]</f>
        <v>186.98400000000004</v>
      </c>
      <c r="P184" s="11" t="s">
        <v>27</v>
      </c>
      <c r="Q184" s="11" t="s">
        <v>27</v>
      </c>
      <c r="R184" s="11"/>
      <c r="S184" s="11">
        <v>10</v>
      </c>
      <c r="T184" s="380">
        <v>46156</v>
      </c>
      <c r="U184" s="11" t="s">
        <v>28</v>
      </c>
      <c r="V184" s="16" t="s">
        <v>44</v>
      </c>
    </row>
    <row r="185" spans="1:22" hidden="1" x14ac:dyDescent="0.3">
      <c r="A185" s="10">
        <v>46156</v>
      </c>
      <c r="B185" s="11" t="s">
        <v>132</v>
      </c>
      <c r="C185" s="11" t="s">
        <v>44</v>
      </c>
      <c r="D185" s="11" t="s">
        <v>133</v>
      </c>
      <c r="E185" s="11" t="s">
        <v>63</v>
      </c>
      <c r="F185" s="11" t="s">
        <v>30</v>
      </c>
      <c r="G185" s="12">
        <v>5</v>
      </c>
      <c r="H185" s="13">
        <v>115</v>
      </c>
      <c r="I185" s="14">
        <f>vendas2026[[#This Row],[Qtde]]*vendas2026[[#This Row],[VlrUnitário]]</f>
        <v>575</v>
      </c>
      <c r="J185" s="382">
        <f>vendas2026[[#This Row],[VlrTotal]]</f>
        <v>575</v>
      </c>
      <c r="K185" s="15">
        <v>1</v>
      </c>
      <c r="L185" s="15">
        <f>vendas2026[[#This Row],[%Comissão]]*0.25</f>
        <v>0.25</v>
      </c>
      <c r="M185" s="14" t="s">
        <v>46</v>
      </c>
      <c r="N185" s="23">
        <f>vendas2026[[#This Row],[VlrTotal]]*vendas2026[[#This Row],[%Comissão]]</f>
        <v>575</v>
      </c>
      <c r="O185" s="14">
        <f>vendas2026[[#This Row],[VlrTotal]]*vendas2026[[#This Row],[%ComissãoSupervisor]]</f>
        <v>143.75</v>
      </c>
      <c r="P185" s="11" t="s">
        <v>27</v>
      </c>
      <c r="Q185" s="11" t="s">
        <v>27</v>
      </c>
      <c r="R185" s="11"/>
      <c r="S185" s="11">
        <v>1</v>
      </c>
      <c r="T185" s="380">
        <v>46156</v>
      </c>
      <c r="U185" s="11" t="s">
        <v>28</v>
      </c>
      <c r="V185" s="16" t="s">
        <v>44</v>
      </c>
    </row>
    <row r="186" spans="1:22" hidden="1" x14ac:dyDescent="0.3">
      <c r="A186" s="10">
        <v>46156</v>
      </c>
      <c r="B186" s="11" t="s">
        <v>132</v>
      </c>
      <c r="C186" s="11" t="s">
        <v>44</v>
      </c>
      <c r="D186" s="11" t="s">
        <v>133</v>
      </c>
      <c r="E186" s="11" t="s">
        <v>102</v>
      </c>
      <c r="F186" s="11" t="s">
        <v>30</v>
      </c>
      <c r="G186" s="12">
        <v>1</v>
      </c>
      <c r="H186" s="13">
        <v>2400</v>
      </c>
      <c r="I186" s="14">
        <f>vendas2026[[#This Row],[Qtde]]*vendas2026[[#This Row],[VlrUnitário]]</f>
        <v>2400</v>
      </c>
      <c r="J186" s="382">
        <f>vendas2026[[#This Row],[VlrTotal]]</f>
        <v>2400</v>
      </c>
      <c r="K186" s="15">
        <v>1</v>
      </c>
      <c r="L186" s="15">
        <f>vendas2026[[#This Row],[%Comissão]]*0.25</f>
        <v>0.25</v>
      </c>
      <c r="M186" s="14" t="s">
        <v>46</v>
      </c>
      <c r="N186" s="23">
        <f>vendas2026[[#This Row],[VlrTotal]]*vendas2026[[#This Row],[%Comissão]]</f>
        <v>2400</v>
      </c>
      <c r="O186" s="14">
        <f>vendas2026[[#This Row],[VlrTotal]]*vendas2026[[#This Row],[%ComissãoSupervisor]]</f>
        <v>600</v>
      </c>
      <c r="P186" s="11" t="s">
        <v>27</v>
      </c>
      <c r="Q186" s="11" t="s">
        <v>27</v>
      </c>
      <c r="R186" s="11"/>
      <c r="S186" s="11">
        <v>1</v>
      </c>
      <c r="T186" s="380">
        <v>46156</v>
      </c>
      <c r="U186" s="11" t="s">
        <v>28</v>
      </c>
      <c r="V186" s="16" t="s">
        <v>44</v>
      </c>
    </row>
    <row r="187" spans="1:22" hidden="1" x14ac:dyDescent="0.3">
      <c r="A187" s="10">
        <v>46157</v>
      </c>
      <c r="B187" s="11">
        <v>139244</v>
      </c>
      <c r="C187" s="11" t="s">
        <v>31</v>
      </c>
      <c r="D187" s="11" t="s">
        <v>134</v>
      </c>
      <c r="E187" s="11" t="s">
        <v>35</v>
      </c>
      <c r="F187" s="11" t="s">
        <v>35</v>
      </c>
      <c r="G187" s="12">
        <v>10</v>
      </c>
      <c r="H187" s="13">
        <v>176</v>
      </c>
      <c r="I187" s="14">
        <f>vendas2026[[#This Row],[Qtde]]*vendas2026[[#This Row],[VlrUnitário]]</f>
        <v>1760</v>
      </c>
      <c r="J187" s="382">
        <f>vendas2026[[#This Row],[VlrTotal]]</f>
        <v>1760</v>
      </c>
      <c r="K187" s="15">
        <v>0.01</v>
      </c>
      <c r="L187" s="15">
        <f>vendas2026[[#This Row],[%Comissão]]*0.25</f>
        <v>2.5000000000000001E-3</v>
      </c>
      <c r="M187" s="14" t="s">
        <v>26</v>
      </c>
      <c r="N187" s="23">
        <f>vendas2026[[#This Row],[VlrTotal]]*vendas2026[[#This Row],[%Comissão]]</f>
        <v>17.600000000000001</v>
      </c>
      <c r="O187" s="14">
        <f>vendas2026[[#This Row],[VlrTotal]]*vendas2026[[#This Row],[%ComissãoSupervisor]]</f>
        <v>4.4000000000000004</v>
      </c>
      <c r="P187" s="11" t="s">
        <v>36</v>
      </c>
      <c r="Q187" s="11" t="s">
        <v>37</v>
      </c>
      <c r="R187" s="11"/>
      <c r="S187" s="11">
        <v>3</v>
      </c>
      <c r="T187" s="380"/>
      <c r="U187" s="11" t="s">
        <v>38</v>
      </c>
      <c r="V187" s="16" t="s">
        <v>31</v>
      </c>
    </row>
    <row r="188" spans="1:22" hidden="1" x14ac:dyDescent="0.3">
      <c r="A188" s="10">
        <v>46157</v>
      </c>
      <c r="B188" s="11" t="s">
        <v>135</v>
      </c>
      <c r="C188" s="11" t="s">
        <v>31</v>
      </c>
      <c r="D188" s="11" t="s">
        <v>87</v>
      </c>
      <c r="E188" s="11" t="s">
        <v>35</v>
      </c>
      <c r="F188" s="11" t="s">
        <v>35</v>
      </c>
      <c r="G188" s="12">
        <v>56</v>
      </c>
      <c r="H188" s="13">
        <v>176</v>
      </c>
      <c r="I188" s="14">
        <f>vendas2026[[#This Row],[Qtde]]*vendas2026[[#This Row],[VlrUnitário]]</f>
        <v>9856</v>
      </c>
      <c r="J188" s="382">
        <f>vendas2026[[#This Row],[VlrTotal]]</f>
        <v>9856</v>
      </c>
      <c r="K188" s="15">
        <v>0.01</v>
      </c>
      <c r="L188" s="15">
        <f>vendas2026[[#This Row],[%Comissão]]*0.25</f>
        <v>2.5000000000000001E-3</v>
      </c>
      <c r="M188" s="14" t="s">
        <v>26</v>
      </c>
      <c r="N188" s="23">
        <f>vendas2026[[#This Row],[VlrTotal]]*vendas2026[[#This Row],[%Comissão]]</f>
        <v>98.56</v>
      </c>
      <c r="O188" s="14">
        <f>vendas2026[[#This Row],[VlrTotal]]*vendas2026[[#This Row],[%ComissãoSupervisor]]</f>
        <v>24.64</v>
      </c>
      <c r="P188" s="11" t="s">
        <v>36</v>
      </c>
      <c r="Q188" s="11" t="s">
        <v>37</v>
      </c>
      <c r="R188" s="11"/>
      <c r="S188" s="11">
        <v>3</v>
      </c>
      <c r="T188" s="380"/>
      <c r="U188" s="11" t="s">
        <v>38</v>
      </c>
      <c r="V188" s="16" t="s">
        <v>31</v>
      </c>
    </row>
    <row r="189" spans="1:22" hidden="1" x14ac:dyDescent="0.3">
      <c r="A189" s="10">
        <v>46160</v>
      </c>
      <c r="B189" s="11">
        <v>143029</v>
      </c>
      <c r="C189" s="11" t="s">
        <v>31</v>
      </c>
      <c r="D189" s="11" t="s">
        <v>136</v>
      </c>
      <c r="E189" s="11" t="s">
        <v>24</v>
      </c>
      <c r="F189" s="11" t="s">
        <v>25</v>
      </c>
      <c r="G189" s="12">
        <v>109</v>
      </c>
      <c r="H189" s="13">
        <v>210</v>
      </c>
      <c r="I189" s="14">
        <f>vendas2026[[#This Row],[Qtde]]*vendas2026[[#This Row],[VlrUnitário]]</f>
        <v>22890</v>
      </c>
      <c r="J189" s="382">
        <f>(vendas2026[[#This Row],[VlrTotal]]*0.2)+vendas2026[[#This Row],[VlrTotal]]</f>
        <v>27468</v>
      </c>
      <c r="K189" s="15">
        <v>7.0000000000000007E-2</v>
      </c>
      <c r="L189" s="15">
        <f>vendas2026[[#This Row],[%Comissão]]*0.25</f>
        <v>1.7500000000000002E-2</v>
      </c>
      <c r="M189" s="14" t="s">
        <v>26</v>
      </c>
      <c r="N189" s="23">
        <f>vendas2026[[#This Row],[VlrTotal]]*vendas2026[[#This Row],[%Comissão]]</f>
        <v>1602.3000000000002</v>
      </c>
      <c r="O189" s="14">
        <f>vendas2026[[#This Row],[VlrTotal]]*vendas2026[[#This Row],[%ComissãoSupervisor]]</f>
        <v>400.57500000000005</v>
      </c>
      <c r="P189" s="11" t="s">
        <v>36</v>
      </c>
      <c r="Q189" s="11" t="s">
        <v>37</v>
      </c>
      <c r="R189" s="11"/>
      <c r="S189" s="11">
        <v>6</v>
      </c>
      <c r="T189" s="380"/>
      <c r="U189" s="11" t="s">
        <v>38</v>
      </c>
      <c r="V189" s="16" t="s">
        <v>31</v>
      </c>
    </row>
    <row r="190" spans="1:22" hidden="1" x14ac:dyDescent="0.3">
      <c r="A190" s="10">
        <v>46160</v>
      </c>
      <c r="B190" s="11">
        <v>142167</v>
      </c>
      <c r="C190" s="11" t="s">
        <v>31</v>
      </c>
      <c r="D190" s="11" t="s">
        <v>86</v>
      </c>
      <c r="E190" s="11" t="s">
        <v>35</v>
      </c>
      <c r="F190" s="11" t="s">
        <v>35</v>
      </c>
      <c r="G190" s="12">
        <v>52</v>
      </c>
      <c r="H190" s="13">
        <v>176</v>
      </c>
      <c r="I190" s="14">
        <f>vendas2026[[#This Row],[Qtde]]*vendas2026[[#This Row],[VlrUnitário]]</f>
        <v>9152</v>
      </c>
      <c r="J190" s="382">
        <f>vendas2026[[#This Row],[VlrTotal]]</f>
        <v>9152</v>
      </c>
      <c r="K190" s="15">
        <v>0.01</v>
      </c>
      <c r="L190" s="15">
        <f>vendas2026[[#This Row],[%Comissão]]*0.25</f>
        <v>2.5000000000000001E-3</v>
      </c>
      <c r="M190" s="14" t="s">
        <v>26</v>
      </c>
      <c r="N190" s="23">
        <f>vendas2026[[#This Row],[VlrTotal]]*vendas2026[[#This Row],[%Comissão]]</f>
        <v>91.52</v>
      </c>
      <c r="O190" s="14">
        <f>vendas2026[[#This Row],[VlrTotal]]*vendas2026[[#This Row],[%ComissãoSupervisor]]</f>
        <v>22.88</v>
      </c>
      <c r="P190" s="11" t="s">
        <v>36</v>
      </c>
      <c r="Q190" s="11" t="s">
        <v>37</v>
      </c>
      <c r="R190" s="11"/>
      <c r="S190" s="11">
        <v>3</v>
      </c>
      <c r="T190" s="380"/>
      <c r="U190" s="11" t="s">
        <v>38</v>
      </c>
      <c r="V190" s="16" t="s">
        <v>31</v>
      </c>
    </row>
    <row r="191" spans="1:22" hidden="1" x14ac:dyDescent="0.3">
      <c r="A191" s="10">
        <v>46160</v>
      </c>
      <c r="B191" s="11">
        <v>126943</v>
      </c>
      <c r="C191" s="11" t="s">
        <v>44</v>
      </c>
      <c r="D191" s="11" t="s">
        <v>137</v>
      </c>
      <c r="E191" s="11" t="s">
        <v>24</v>
      </c>
      <c r="F191" s="11" t="s">
        <v>25</v>
      </c>
      <c r="G191" s="12">
        <v>86.5</v>
      </c>
      <c r="H191" s="13">
        <v>171.72</v>
      </c>
      <c r="I191" s="14">
        <f>vendas2026[[#This Row],[Qtde]]*vendas2026[[#This Row],[VlrUnitário]]</f>
        <v>14853.78</v>
      </c>
      <c r="J191" s="382">
        <f>vendas2026[[#This Row],[VlrTotal]]</f>
        <v>14853.78</v>
      </c>
      <c r="K191" s="15">
        <v>0.05</v>
      </c>
      <c r="L191" s="15">
        <f>vendas2026[[#This Row],[%Comissão]]*0.25</f>
        <v>1.2500000000000001E-2</v>
      </c>
      <c r="M191" s="14" t="s">
        <v>26</v>
      </c>
      <c r="N191" s="23">
        <f>vendas2026[[#This Row],[VlrTotal]]*vendas2026[[#This Row],[%Comissão]]</f>
        <v>742.68900000000008</v>
      </c>
      <c r="O191" s="14">
        <f>vendas2026[[#This Row],[VlrTotal]]*vendas2026[[#This Row],[%ComissãoSupervisor]]</f>
        <v>185.67225000000002</v>
      </c>
      <c r="P191" s="11" t="s">
        <v>36</v>
      </c>
      <c r="Q191" s="11" t="s">
        <v>37</v>
      </c>
      <c r="R191" s="11"/>
      <c r="S191" s="11">
        <v>10</v>
      </c>
      <c r="T191" s="380"/>
      <c r="U191" s="11" t="s">
        <v>38</v>
      </c>
      <c r="V191" s="16" t="s">
        <v>44</v>
      </c>
    </row>
    <row r="192" spans="1:22" hidden="1" x14ac:dyDescent="0.3">
      <c r="A192" s="10">
        <v>46161</v>
      </c>
      <c r="B192" s="11">
        <v>137120</v>
      </c>
      <c r="C192" s="11" t="s">
        <v>31</v>
      </c>
      <c r="D192" s="11" t="s">
        <v>93</v>
      </c>
      <c r="E192" s="11" t="s">
        <v>35</v>
      </c>
      <c r="F192" s="11" t="s">
        <v>35</v>
      </c>
      <c r="G192" s="12">
        <v>26</v>
      </c>
      <c r="H192" s="13">
        <v>176</v>
      </c>
      <c r="I192" s="14">
        <f>vendas2026[[#This Row],[Qtde]]*vendas2026[[#This Row],[VlrUnitário]]</f>
        <v>4576</v>
      </c>
      <c r="J192" s="382">
        <f>vendas2026[[#This Row],[VlrTotal]]</f>
        <v>4576</v>
      </c>
      <c r="K192" s="15">
        <v>0.01</v>
      </c>
      <c r="L192" s="15">
        <f>vendas2026[[#This Row],[%Comissão]]*0.25</f>
        <v>2.5000000000000001E-3</v>
      </c>
      <c r="M192" s="14" t="s">
        <v>26</v>
      </c>
      <c r="N192" s="23">
        <f>vendas2026[[#This Row],[VlrTotal]]*vendas2026[[#This Row],[%Comissão]]</f>
        <v>45.76</v>
      </c>
      <c r="O192" s="14">
        <f>vendas2026[[#This Row],[VlrTotal]]*vendas2026[[#This Row],[%ComissãoSupervisor]]</f>
        <v>11.44</v>
      </c>
      <c r="P192" s="11" t="s">
        <v>36</v>
      </c>
      <c r="Q192" s="11" t="s">
        <v>37</v>
      </c>
      <c r="R192" s="11"/>
      <c r="S192" s="11">
        <v>3</v>
      </c>
      <c r="T192" s="380"/>
      <c r="U192" s="11" t="s">
        <v>38</v>
      </c>
      <c r="V192" s="16" t="s">
        <v>31</v>
      </c>
    </row>
    <row r="193" spans="1:22" hidden="1" x14ac:dyDescent="0.3">
      <c r="A193" s="10">
        <v>46161</v>
      </c>
      <c r="B193" s="11">
        <v>137120</v>
      </c>
      <c r="C193" s="11" t="s">
        <v>31</v>
      </c>
      <c r="D193" s="11" t="s">
        <v>108</v>
      </c>
      <c r="E193" s="11" t="s">
        <v>35</v>
      </c>
      <c r="F193" s="11" t="s">
        <v>35</v>
      </c>
      <c r="G193" s="12">
        <v>26</v>
      </c>
      <c r="H193" s="13">
        <v>176</v>
      </c>
      <c r="I193" s="14">
        <f>vendas2026[[#This Row],[Qtde]]*vendas2026[[#This Row],[VlrUnitário]]</f>
        <v>4576</v>
      </c>
      <c r="J193" s="382">
        <f>vendas2026[[#This Row],[VlrTotal]]</f>
        <v>4576</v>
      </c>
      <c r="K193" s="15">
        <v>0.01</v>
      </c>
      <c r="L193" s="15">
        <f>vendas2026[[#This Row],[%Comissão]]*0.25</f>
        <v>2.5000000000000001E-3</v>
      </c>
      <c r="M193" s="14" t="s">
        <v>26</v>
      </c>
      <c r="N193" s="23">
        <f>vendas2026[[#This Row],[VlrTotal]]*vendas2026[[#This Row],[%Comissão]]</f>
        <v>45.76</v>
      </c>
      <c r="O193" s="14">
        <f>vendas2026[[#This Row],[VlrTotal]]*vendas2026[[#This Row],[%ComissãoSupervisor]]</f>
        <v>11.44</v>
      </c>
      <c r="P193" s="11" t="s">
        <v>36</v>
      </c>
      <c r="Q193" s="11" t="s">
        <v>37</v>
      </c>
      <c r="R193" s="11"/>
      <c r="S193" s="11">
        <v>3</v>
      </c>
      <c r="T193" s="380"/>
      <c r="U193" s="11" t="s">
        <v>38</v>
      </c>
      <c r="V193" s="16" t="s">
        <v>31</v>
      </c>
    </row>
    <row r="194" spans="1:22" hidden="1" x14ac:dyDescent="0.3">
      <c r="A194" s="10">
        <v>46161</v>
      </c>
      <c r="B194" s="11">
        <v>138641</v>
      </c>
      <c r="C194" s="11" t="s">
        <v>22</v>
      </c>
      <c r="D194" s="11" t="s">
        <v>87</v>
      </c>
      <c r="E194" s="11" t="s">
        <v>138</v>
      </c>
      <c r="F194" s="11" t="s">
        <v>30</v>
      </c>
      <c r="G194" s="12">
        <v>30</v>
      </c>
      <c r="H194" s="13">
        <v>62</v>
      </c>
      <c r="I194" s="14">
        <f>vendas2026[[#This Row],[Qtde]]*vendas2026[[#This Row],[VlrUnitário]]</f>
        <v>1860</v>
      </c>
      <c r="J194" s="382">
        <f>vendas2026[[#This Row],[VlrTotal]]</f>
        <v>1860</v>
      </c>
      <c r="K194" s="15">
        <v>1</v>
      </c>
      <c r="L194" s="15">
        <v>0</v>
      </c>
      <c r="M194" s="14" t="s">
        <v>26</v>
      </c>
      <c r="N194" s="23">
        <f>vendas2026[[#This Row],[VlrTotal]]*vendas2026[[#This Row],[%Comissão]]</f>
        <v>1860</v>
      </c>
      <c r="O194" s="14">
        <f>vendas2026[[#This Row],[VlrTotal]]*vendas2026[[#This Row],[%ComissãoSupervisor]]</f>
        <v>0</v>
      </c>
      <c r="P194" s="11" t="s">
        <v>36</v>
      </c>
      <c r="Q194" s="11" t="s">
        <v>37</v>
      </c>
      <c r="R194" s="11"/>
      <c r="S194" s="11">
        <v>1</v>
      </c>
      <c r="T194" s="380"/>
      <c r="U194" s="11" t="s">
        <v>38</v>
      </c>
      <c r="V194" s="16" t="s">
        <v>22</v>
      </c>
    </row>
    <row r="195" spans="1:22" hidden="1" x14ac:dyDescent="0.3">
      <c r="A195" s="10">
        <v>46167</v>
      </c>
      <c r="B195" s="11">
        <v>142315</v>
      </c>
      <c r="C195" s="11" t="s">
        <v>31</v>
      </c>
      <c r="D195" s="11" t="s">
        <v>57</v>
      </c>
      <c r="E195" s="11" t="s">
        <v>35</v>
      </c>
      <c r="F195" s="11" t="s">
        <v>35</v>
      </c>
      <c r="G195" s="12">
        <v>2</v>
      </c>
      <c r="H195" s="13">
        <v>158.4</v>
      </c>
      <c r="I195" s="14">
        <f>vendas2026[[#This Row],[Qtde]]*vendas2026[[#This Row],[VlrUnitário]]</f>
        <v>316.8</v>
      </c>
      <c r="J195" s="382">
        <f>vendas2026[[#This Row],[VlrTotal]]</f>
        <v>316.8</v>
      </c>
      <c r="K195" s="15">
        <v>6.8999999999999999E-3</v>
      </c>
      <c r="L195" s="15">
        <f>vendas2026[[#This Row],[%Comissão]]*0.25</f>
        <v>1.725E-3</v>
      </c>
      <c r="M195" s="14" t="s">
        <v>26</v>
      </c>
      <c r="N195" s="23">
        <f>vendas2026[[#This Row],[VlrTotal]]*vendas2026[[#This Row],[%Comissão]]</f>
        <v>2.1859199999999999</v>
      </c>
      <c r="O195" s="14">
        <f>vendas2026[[#This Row],[VlrTotal]]*vendas2026[[#This Row],[%ComissãoSupervisor]]</f>
        <v>0.54647999999999997</v>
      </c>
      <c r="P195" s="11" t="s">
        <v>36</v>
      </c>
      <c r="Q195" s="11" t="s">
        <v>37</v>
      </c>
      <c r="R195" s="11"/>
      <c r="S195" s="11">
        <v>1</v>
      </c>
      <c r="T195" s="380"/>
      <c r="U195" s="11" t="s">
        <v>38</v>
      </c>
      <c r="V195" s="16" t="s">
        <v>31</v>
      </c>
    </row>
    <row r="196" spans="1:22" hidden="1" x14ac:dyDescent="0.3">
      <c r="A196" s="10">
        <v>46171</v>
      </c>
      <c r="B196" s="11">
        <v>143759</v>
      </c>
      <c r="C196" s="11" t="s">
        <v>31</v>
      </c>
      <c r="D196" s="11" t="s">
        <v>139</v>
      </c>
      <c r="E196" s="11" t="s">
        <v>24</v>
      </c>
      <c r="F196" s="11" t="s">
        <v>25</v>
      </c>
      <c r="G196" s="12">
        <v>10</v>
      </c>
      <c r="H196" s="13">
        <v>189</v>
      </c>
      <c r="I196" s="14">
        <f>vendas2026[[#This Row],[Qtde]]*vendas2026[[#This Row],[VlrUnitário]]</f>
        <v>1890</v>
      </c>
      <c r="J196" s="382">
        <f>(vendas2026[[#This Row],[VlrTotal]]*0.2)+vendas2026[[#This Row],[VlrTotal]]</f>
        <v>2268</v>
      </c>
      <c r="K196" s="15">
        <v>7.0000000000000007E-2</v>
      </c>
      <c r="L196" s="15">
        <f>vendas2026[[#This Row],[%Comissão]]*0.25</f>
        <v>1.7500000000000002E-2</v>
      </c>
      <c r="M196" s="14" t="s">
        <v>26</v>
      </c>
      <c r="N196" s="23">
        <f>vendas2026[[#This Row],[VlrTotal]]*vendas2026[[#This Row],[%Comissão]]</f>
        <v>132.30000000000001</v>
      </c>
      <c r="O196" s="14">
        <f>vendas2026[[#This Row],[VlrTotal]]*vendas2026[[#This Row],[%ComissãoSupervisor]]</f>
        <v>33.075000000000003</v>
      </c>
      <c r="P196" s="11" t="s">
        <v>36</v>
      </c>
      <c r="Q196" s="11" t="s">
        <v>37</v>
      </c>
      <c r="R196" s="11"/>
      <c r="S196" s="11">
        <v>4</v>
      </c>
      <c r="T196" s="380"/>
      <c r="U196" s="11" t="s">
        <v>38</v>
      </c>
      <c r="V196" s="16" t="s">
        <v>31</v>
      </c>
    </row>
    <row r="197" spans="1:22" hidden="1" x14ac:dyDescent="0.3">
      <c r="A197" s="10">
        <v>46181</v>
      </c>
      <c r="B197" s="11">
        <v>135343</v>
      </c>
      <c r="C197" s="11" t="s">
        <v>31</v>
      </c>
      <c r="D197" s="11" t="s">
        <v>108</v>
      </c>
      <c r="E197" s="11" t="s">
        <v>54</v>
      </c>
      <c r="F197" s="11" t="s">
        <v>25</v>
      </c>
      <c r="G197" s="12">
        <v>24</v>
      </c>
      <c r="H197" s="13">
        <v>187.5</v>
      </c>
      <c r="I197" s="14">
        <f>vendas2026[[#This Row],[Qtde]]*vendas2026[[#This Row],[VlrUnitário]]</f>
        <v>4500</v>
      </c>
      <c r="J197" s="390">
        <f>(vendas2026[[#This Row],[VlrTotal]]*0.2)+vendas2026[[#This Row],[VlrTotal]]</f>
        <v>5400</v>
      </c>
      <c r="K197" s="15">
        <v>7.0000000000000007E-2</v>
      </c>
      <c r="L197" s="15">
        <f>vendas2026[[#This Row],[%Comissão]]*0.25</f>
        <v>1.7500000000000002E-2</v>
      </c>
      <c r="M197" s="14" t="s">
        <v>26</v>
      </c>
      <c r="N197" s="23">
        <f>vendas2026[[#This Row],[VlrTotal]]*vendas2026[[#This Row],[%Comissão]]</f>
        <v>315.00000000000006</v>
      </c>
      <c r="O197" s="14">
        <f>vendas2026[[#This Row],[VlrTotal]]*vendas2026[[#This Row],[%ComissãoSupervisor]]</f>
        <v>78.750000000000014</v>
      </c>
      <c r="P197" s="11" t="s">
        <v>36</v>
      </c>
      <c r="Q197" s="11" t="s">
        <v>37</v>
      </c>
      <c r="R197" s="11"/>
      <c r="S197" s="11">
        <v>6</v>
      </c>
      <c r="T197" s="380">
        <v>46181</v>
      </c>
      <c r="U197" s="11" t="s">
        <v>28</v>
      </c>
      <c r="V197" s="16" t="s">
        <v>31</v>
      </c>
    </row>
    <row r="198" spans="1:22" hidden="1" x14ac:dyDescent="0.3">
      <c r="A198" s="10">
        <v>46181</v>
      </c>
      <c r="B198" s="11">
        <v>135343</v>
      </c>
      <c r="C198" s="11" t="s">
        <v>31</v>
      </c>
      <c r="D198" s="11" t="s">
        <v>108</v>
      </c>
      <c r="E198" s="11" t="s">
        <v>54</v>
      </c>
      <c r="F198" s="11" t="s">
        <v>30</v>
      </c>
      <c r="G198" s="12">
        <v>2</v>
      </c>
      <c r="H198" s="13">
        <v>142.56</v>
      </c>
      <c r="I198" s="14">
        <f>vendas2026[[#This Row],[Qtde]]*vendas2026[[#This Row],[VlrUnitário]]</f>
        <v>285.12</v>
      </c>
      <c r="J198" s="390">
        <f>(vendas2026[[#This Row],[VlrTotal]]*0.2)+vendas2026[[#This Row],[VlrTotal]]</f>
        <v>342.14400000000001</v>
      </c>
      <c r="K198" s="15">
        <v>1</v>
      </c>
      <c r="L198" s="15">
        <f>vendas2026[[#This Row],[%Comissão]]*0.25</f>
        <v>0.25</v>
      </c>
      <c r="M198" s="14" t="s">
        <v>26</v>
      </c>
      <c r="N198" s="23">
        <f>vendas2026[[#This Row],[VlrTotal]]*vendas2026[[#This Row],[%Comissão]]</f>
        <v>285.12</v>
      </c>
      <c r="O198" s="14">
        <f>vendas2026[[#This Row],[VlrTotal]]*vendas2026[[#This Row],[%ComissãoSupervisor]]</f>
        <v>71.28</v>
      </c>
      <c r="P198" s="11" t="s">
        <v>36</v>
      </c>
      <c r="Q198" s="11" t="s">
        <v>37</v>
      </c>
      <c r="R198" s="11"/>
      <c r="S198" s="11">
        <v>1</v>
      </c>
      <c r="T198" s="380">
        <v>46181</v>
      </c>
      <c r="U198" s="11" t="s">
        <v>28</v>
      </c>
      <c r="V198" s="16" t="s">
        <v>31</v>
      </c>
    </row>
    <row r="199" spans="1:22" hidden="1" x14ac:dyDescent="0.3">
      <c r="A199" s="10">
        <v>46181</v>
      </c>
      <c r="B199" s="11">
        <v>118061</v>
      </c>
      <c r="C199" s="11" t="s">
        <v>44</v>
      </c>
      <c r="D199" s="11" t="s">
        <v>140</v>
      </c>
      <c r="E199" s="11" t="s">
        <v>24</v>
      </c>
      <c r="F199" s="11" t="s">
        <v>25</v>
      </c>
      <c r="G199" s="12">
        <v>198</v>
      </c>
      <c r="H199" s="13">
        <v>180.04</v>
      </c>
      <c r="I199" s="14">
        <f>vendas2026[[#This Row],[Qtde]]*vendas2026[[#This Row],[VlrUnitário]]</f>
        <v>35647.919999999998</v>
      </c>
      <c r="J199" s="390">
        <f>vendas2026[[#This Row],[VlrTotal]]</f>
        <v>35647.919999999998</v>
      </c>
      <c r="K199" s="15">
        <v>7.0000000000000007E-2</v>
      </c>
      <c r="L199" s="15">
        <f>vendas2026[[#This Row],[%Comissão]]*0.25</f>
        <v>1.7500000000000002E-2</v>
      </c>
      <c r="M199" s="14" t="s">
        <v>26</v>
      </c>
      <c r="N199" s="23">
        <f>vendas2026[[#This Row],[VlrTotal]]*vendas2026[[#This Row],[%Comissão]]</f>
        <v>2495.3544000000002</v>
      </c>
      <c r="O199" s="14">
        <f>vendas2026[[#This Row],[VlrTotal]]*vendas2026[[#This Row],[%ComissãoSupervisor]]</f>
        <v>623.83860000000004</v>
      </c>
      <c r="P199" s="11" t="s">
        <v>36</v>
      </c>
      <c r="Q199" s="11" t="s">
        <v>37</v>
      </c>
      <c r="R199" s="11"/>
      <c r="S199" s="11">
        <v>6</v>
      </c>
      <c r="T199" s="380"/>
      <c r="U199" s="11" t="s">
        <v>38</v>
      </c>
      <c r="V199" s="16" t="s">
        <v>44</v>
      </c>
    </row>
    <row r="200" spans="1:22" hidden="1" x14ac:dyDescent="0.3">
      <c r="A200" s="10">
        <v>46183</v>
      </c>
      <c r="B200" s="11">
        <v>140986</v>
      </c>
      <c r="C200" s="11" t="s">
        <v>31</v>
      </c>
      <c r="D200" s="11" t="s">
        <v>141</v>
      </c>
      <c r="E200" s="11" t="s">
        <v>35</v>
      </c>
      <c r="F200" s="11" t="s">
        <v>35</v>
      </c>
      <c r="G200" s="12">
        <v>16</v>
      </c>
      <c r="H200" s="13">
        <v>156.25</v>
      </c>
      <c r="I200" s="14">
        <f>vendas2026[[#This Row],[Qtde]]*vendas2026[[#This Row],[VlrUnitário]]</f>
        <v>2500</v>
      </c>
      <c r="J200" s="390">
        <f>vendas2026[[#This Row],[VlrTotal]]</f>
        <v>2500</v>
      </c>
      <c r="K200" s="15">
        <v>6.8999999999999999E-3</v>
      </c>
      <c r="L200" s="15">
        <f>vendas2026[[#This Row],[%Comissão]]*0.25</f>
        <v>1.725E-3</v>
      </c>
      <c r="M200" s="14" t="s">
        <v>26</v>
      </c>
      <c r="N200" s="23">
        <f>vendas2026[[#This Row],[VlrTotal]]*vendas2026[[#This Row],[%Comissão]]</f>
        <v>17.25</v>
      </c>
      <c r="O200" s="14">
        <f>vendas2026[[#This Row],[VlrTotal]]*vendas2026[[#This Row],[%ComissãoSupervisor]]</f>
        <v>4.3125</v>
      </c>
      <c r="P200" s="11" t="s">
        <v>36</v>
      </c>
      <c r="Q200" s="11" t="s">
        <v>37</v>
      </c>
      <c r="R200" s="11"/>
      <c r="S200" s="11">
        <v>1</v>
      </c>
      <c r="T200" s="380"/>
      <c r="U200" s="11" t="s">
        <v>38</v>
      </c>
      <c r="V200" s="16" t="s">
        <v>31</v>
      </c>
    </row>
    <row r="201" spans="1:22" hidden="1" x14ac:dyDescent="0.3">
      <c r="A201" s="10">
        <v>46184</v>
      </c>
      <c r="B201" s="11">
        <v>142241</v>
      </c>
      <c r="C201" s="11" t="s">
        <v>31</v>
      </c>
      <c r="D201" s="11" t="s">
        <v>87</v>
      </c>
      <c r="E201" s="11" t="s">
        <v>35</v>
      </c>
      <c r="F201" s="11" t="s">
        <v>35</v>
      </c>
      <c r="G201" s="12">
        <v>6</v>
      </c>
      <c r="H201" s="13">
        <v>176</v>
      </c>
      <c r="I201" s="14">
        <f>vendas2026[[#This Row],[Qtde]]*vendas2026[[#This Row],[VlrUnitário]]</f>
        <v>1056</v>
      </c>
      <c r="J201" s="390">
        <f>vendas2026[[#This Row],[VlrTotal]]</f>
        <v>1056</v>
      </c>
      <c r="K201" s="15">
        <v>0.01</v>
      </c>
      <c r="L201" s="15">
        <f>vendas2026[[#This Row],[%Comissão]]*0.25</f>
        <v>2.5000000000000001E-3</v>
      </c>
      <c r="M201" s="14" t="s">
        <v>26</v>
      </c>
      <c r="N201" s="23">
        <f>vendas2026[[#This Row],[VlrTotal]]*vendas2026[[#This Row],[%Comissão]]</f>
        <v>10.56</v>
      </c>
      <c r="O201" s="14">
        <f>vendas2026[[#This Row],[VlrTotal]]*vendas2026[[#This Row],[%ComissãoSupervisor]]</f>
        <v>2.64</v>
      </c>
      <c r="P201" s="11" t="s">
        <v>36</v>
      </c>
      <c r="Q201" s="11" t="s">
        <v>37</v>
      </c>
      <c r="R201" s="11"/>
      <c r="S201" s="11">
        <v>1</v>
      </c>
      <c r="T201" s="380"/>
      <c r="U201" s="11" t="s">
        <v>38</v>
      </c>
      <c r="V201" s="16" t="s">
        <v>31</v>
      </c>
    </row>
    <row r="202" spans="1:22" hidden="1" x14ac:dyDescent="0.3">
      <c r="A202" s="10">
        <v>46188</v>
      </c>
      <c r="B202" s="11">
        <v>144483</v>
      </c>
      <c r="C202" s="11" t="s">
        <v>142</v>
      </c>
      <c r="D202" s="11" t="s">
        <v>143</v>
      </c>
      <c r="E202" s="11" t="s">
        <v>47</v>
      </c>
      <c r="F202" s="11" t="s">
        <v>25</v>
      </c>
      <c r="G202" s="12">
        <v>400</v>
      </c>
      <c r="H202" s="13">
        <v>190</v>
      </c>
      <c r="I202" s="14">
        <f>vendas2026[[#This Row],[Qtde]]*vendas2026[[#This Row],[VlrUnitário]]</f>
        <v>76000</v>
      </c>
      <c r="J202" s="390">
        <f>vendas2026[[#This Row],[VlrTotal]]</f>
        <v>76000</v>
      </c>
      <c r="K202" s="15">
        <v>7.0000000000000007E-2</v>
      </c>
      <c r="L202" s="15">
        <f>vendas2026[[#This Row],[%Comissão]]*0.25</f>
        <v>1.7500000000000002E-2</v>
      </c>
      <c r="M202" s="14" t="s">
        <v>46</v>
      </c>
      <c r="N202" s="23">
        <v>0</v>
      </c>
      <c r="O202" s="14">
        <f>vendas2026[[#This Row],[VlrTotal]]*vendas2026[[#This Row],[%ComissãoSupervisor]]</f>
        <v>1330.0000000000002</v>
      </c>
      <c r="P202" s="11" t="s">
        <v>27</v>
      </c>
      <c r="Q202" s="11" t="s">
        <v>27</v>
      </c>
      <c r="R202" s="11"/>
      <c r="S202" s="11">
        <v>10</v>
      </c>
      <c r="T202" s="380">
        <v>46188</v>
      </c>
      <c r="U202" s="11" t="s">
        <v>28</v>
      </c>
      <c r="V202" s="16" t="s">
        <v>142</v>
      </c>
    </row>
    <row r="203" spans="1:22" hidden="1" x14ac:dyDescent="0.3">
      <c r="A203" s="10">
        <v>46188</v>
      </c>
      <c r="B203" s="11">
        <v>144483</v>
      </c>
      <c r="C203" s="11" t="s">
        <v>142</v>
      </c>
      <c r="D203" s="11" t="s">
        <v>143</v>
      </c>
      <c r="E203" s="11" t="s">
        <v>63</v>
      </c>
      <c r="F203" s="11" t="s">
        <v>25</v>
      </c>
      <c r="G203" s="12">
        <v>24</v>
      </c>
      <c r="H203" s="13">
        <v>190</v>
      </c>
      <c r="I203" s="14">
        <f>vendas2026[[#This Row],[Qtde]]*vendas2026[[#This Row],[VlrUnitário]]</f>
        <v>4560</v>
      </c>
      <c r="J203" s="390">
        <f>vendas2026[[#This Row],[VlrTotal]]</f>
        <v>4560</v>
      </c>
      <c r="K203" s="15">
        <v>7.0000000000000007E-2</v>
      </c>
      <c r="L203" s="15">
        <f>vendas2026[[#This Row],[%Comissão]]*0.25</f>
        <v>1.7500000000000002E-2</v>
      </c>
      <c r="M203" s="14" t="s">
        <v>46</v>
      </c>
      <c r="N203" s="23">
        <v>0</v>
      </c>
      <c r="O203" s="14">
        <f>vendas2026[[#This Row],[VlrTotal]]*vendas2026[[#This Row],[%ComissãoSupervisor]]</f>
        <v>79.800000000000011</v>
      </c>
      <c r="P203" s="11" t="s">
        <v>27</v>
      </c>
      <c r="Q203" s="11" t="s">
        <v>27</v>
      </c>
      <c r="R203" s="11"/>
      <c r="S203" s="11">
        <v>10</v>
      </c>
      <c r="T203" s="380">
        <v>46188</v>
      </c>
      <c r="U203" s="11" t="s">
        <v>28</v>
      </c>
      <c r="V203" s="16" t="s">
        <v>142</v>
      </c>
    </row>
    <row r="204" spans="1:22" hidden="1" x14ac:dyDescent="0.3">
      <c r="A204" s="10">
        <v>46188</v>
      </c>
      <c r="B204" s="11">
        <v>144484</v>
      </c>
      <c r="C204" s="11" t="s">
        <v>142</v>
      </c>
      <c r="D204" s="11" t="s">
        <v>143</v>
      </c>
      <c r="E204" s="11" t="s">
        <v>102</v>
      </c>
      <c r="F204" s="11" t="s">
        <v>41</v>
      </c>
      <c r="G204" s="12">
        <v>1</v>
      </c>
      <c r="H204" s="13">
        <v>1600</v>
      </c>
      <c r="I204" s="14">
        <f>vendas2026[[#This Row],[Qtde]]*vendas2026[[#This Row],[VlrUnitário]]</f>
        <v>1600</v>
      </c>
      <c r="J204" s="390">
        <f>vendas2026[[#This Row],[VlrTotal]]</f>
        <v>1600</v>
      </c>
      <c r="K204" s="15">
        <v>7.0000000000000007E-2</v>
      </c>
      <c r="L204" s="15">
        <f>vendas2026[[#This Row],[%Comissão]]*0.25</f>
        <v>1.7500000000000002E-2</v>
      </c>
      <c r="M204" s="14" t="s">
        <v>46</v>
      </c>
      <c r="N204" s="23">
        <v>0</v>
      </c>
      <c r="O204" s="14">
        <f>vendas2026[[#This Row],[VlrTotal]]*vendas2026[[#This Row],[%ComissãoSupervisor]]</f>
        <v>28.000000000000004</v>
      </c>
      <c r="P204" s="11" t="s">
        <v>27</v>
      </c>
      <c r="Q204" s="11" t="s">
        <v>27</v>
      </c>
      <c r="R204" s="11"/>
      <c r="S204" s="11">
        <v>10</v>
      </c>
      <c r="T204" s="380">
        <v>46188</v>
      </c>
      <c r="U204" s="11" t="s">
        <v>28</v>
      </c>
      <c r="V204" s="16" t="s">
        <v>142</v>
      </c>
    </row>
    <row r="205" spans="1:22" hidden="1" x14ac:dyDescent="0.3">
      <c r="A205" s="10">
        <v>46188</v>
      </c>
      <c r="B205" s="11">
        <v>144483</v>
      </c>
      <c r="C205" s="11" t="s">
        <v>142</v>
      </c>
      <c r="D205" s="11" t="s">
        <v>143</v>
      </c>
      <c r="E205" s="11" t="s">
        <v>47</v>
      </c>
      <c r="F205" s="11" t="s">
        <v>30</v>
      </c>
      <c r="G205" s="12">
        <v>8</v>
      </c>
      <c r="H205" s="13">
        <v>275.62</v>
      </c>
      <c r="I205" s="14">
        <f>vendas2026[[#This Row],[Qtde]]*vendas2026[[#This Row],[VlrUnitário]]</f>
        <v>2204.96</v>
      </c>
      <c r="J205" s="390">
        <f>vendas2026[[#This Row],[VlrTotal]]</f>
        <v>2204.96</v>
      </c>
      <c r="K205" s="15">
        <v>1</v>
      </c>
      <c r="L205" s="15">
        <f>vendas2026[[#This Row],[%Comissão]]*0.25</f>
        <v>0.25</v>
      </c>
      <c r="M205" s="14" t="s">
        <v>46</v>
      </c>
      <c r="N205" s="23">
        <v>0</v>
      </c>
      <c r="O205" s="14">
        <f>vendas2026[[#This Row],[VlrTotal]]*vendas2026[[#This Row],[%ComissãoSupervisor]]</f>
        <v>551.24</v>
      </c>
      <c r="P205" s="11" t="s">
        <v>27</v>
      </c>
      <c r="Q205" s="11" t="s">
        <v>27</v>
      </c>
      <c r="R205" s="11"/>
      <c r="S205" s="11">
        <v>1</v>
      </c>
      <c r="T205" s="380">
        <v>46188</v>
      </c>
      <c r="U205" s="11" t="s">
        <v>28</v>
      </c>
      <c r="V205" s="16" t="s">
        <v>142</v>
      </c>
    </row>
    <row r="206" spans="1:22" hidden="1" x14ac:dyDescent="0.3">
      <c r="A206" s="10">
        <v>46188</v>
      </c>
      <c r="B206" s="11">
        <v>144483</v>
      </c>
      <c r="C206" s="11" t="s">
        <v>142</v>
      </c>
      <c r="D206" s="11" t="s">
        <v>143</v>
      </c>
      <c r="E206" s="11" t="s">
        <v>63</v>
      </c>
      <c r="F206" s="11" t="s">
        <v>30</v>
      </c>
      <c r="G206" s="12">
        <v>12</v>
      </c>
      <c r="H206" s="13">
        <v>115</v>
      </c>
      <c r="I206" s="14">
        <f>vendas2026[[#This Row],[Qtde]]*vendas2026[[#This Row],[VlrUnitário]]</f>
        <v>1380</v>
      </c>
      <c r="J206" s="390">
        <f>vendas2026[[#This Row],[VlrTotal]]</f>
        <v>1380</v>
      </c>
      <c r="K206" s="15">
        <v>1</v>
      </c>
      <c r="L206" s="15">
        <f>vendas2026[[#This Row],[%Comissão]]*0.25</f>
        <v>0.25</v>
      </c>
      <c r="M206" s="14" t="s">
        <v>46</v>
      </c>
      <c r="N206" s="23">
        <v>0</v>
      </c>
      <c r="O206" s="14">
        <f>vendas2026[[#This Row],[VlrTotal]]*vendas2026[[#This Row],[%ComissãoSupervisor]]</f>
        <v>345</v>
      </c>
      <c r="P206" s="11" t="s">
        <v>27</v>
      </c>
      <c r="Q206" s="11" t="s">
        <v>27</v>
      </c>
      <c r="R206" s="11"/>
      <c r="S206" s="11">
        <v>1</v>
      </c>
      <c r="T206" s="380">
        <v>46188</v>
      </c>
      <c r="U206" s="11" t="s">
        <v>28</v>
      </c>
      <c r="V206" s="16" t="s">
        <v>142</v>
      </c>
    </row>
    <row r="207" spans="1:22" hidden="1" x14ac:dyDescent="0.3">
      <c r="A207" s="10">
        <v>46188</v>
      </c>
      <c r="B207" s="11">
        <v>144483</v>
      </c>
      <c r="C207" s="11" t="s">
        <v>142</v>
      </c>
      <c r="D207" s="11" t="s">
        <v>143</v>
      </c>
      <c r="E207" s="11" t="s">
        <v>144</v>
      </c>
      <c r="F207" s="11" t="s">
        <v>30</v>
      </c>
      <c r="G207" s="12">
        <v>1</v>
      </c>
      <c r="H207" s="13">
        <v>712.8</v>
      </c>
      <c r="I207" s="14">
        <f>vendas2026[[#This Row],[Qtde]]*vendas2026[[#This Row],[VlrUnitário]]</f>
        <v>712.8</v>
      </c>
      <c r="J207" s="390">
        <f>vendas2026[[#This Row],[VlrTotal]]</f>
        <v>712.8</v>
      </c>
      <c r="K207" s="15">
        <v>1</v>
      </c>
      <c r="L207" s="15">
        <f>vendas2026[[#This Row],[%Comissão]]*0.25</f>
        <v>0.25</v>
      </c>
      <c r="M207" s="14" t="s">
        <v>46</v>
      </c>
      <c r="N207" s="23">
        <v>0</v>
      </c>
      <c r="O207" s="14">
        <f>vendas2026[[#This Row],[VlrTotal]]*vendas2026[[#This Row],[%ComissãoSupervisor]]</f>
        <v>178.2</v>
      </c>
      <c r="P207" s="11" t="s">
        <v>27</v>
      </c>
      <c r="Q207" s="11" t="s">
        <v>27</v>
      </c>
      <c r="R207" s="11"/>
      <c r="S207" s="11">
        <v>1</v>
      </c>
      <c r="T207" s="380">
        <v>46188</v>
      </c>
      <c r="U207" s="11" t="s">
        <v>28</v>
      </c>
      <c r="V207" s="16" t="s">
        <v>142</v>
      </c>
    </row>
    <row r="208" spans="1:22" hidden="1" x14ac:dyDescent="0.3">
      <c r="A208" s="10">
        <v>46188</v>
      </c>
      <c r="B208" s="11">
        <v>144483</v>
      </c>
      <c r="C208" s="11" t="s">
        <v>142</v>
      </c>
      <c r="D208" s="11" t="s">
        <v>143</v>
      </c>
      <c r="E208" s="11" t="s">
        <v>56</v>
      </c>
      <c r="F208" s="11" t="s">
        <v>30</v>
      </c>
      <c r="G208" s="12">
        <v>1</v>
      </c>
      <c r="H208" s="13">
        <v>356.4</v>
      </c>
      <c r="I208" s="14">
        <f>vendas2026[[#This Row],[Qtde]]*vendas2026[[#This Row],[VlrUnitário]]</f>
        <v>356.4</v>
      </c>
      <c r="J208" s="390">
        <f>vendas2026[[#This Row],[VlrTotal]]</f>
        <v>356.4</v>
      </c>
      <c r="K208" s="15">
        <v>1</v>
      </c>
      <c r="L208" s="15">
        <f>vendas2026[[#This Row],[%Comissão]]*0.25</f>
        <v>0.25</v>
      </c>
      <c r="M208" s="14" t="s">
        <v>46</v>
      </c>
      <c r="N208" s="23">
        <v>0</v>
      </c>
      <c r="O208" s="14">
        <f>vendas2026[[#This Row],[VlrTotal]]*vendas2026[[#This Row],[%ComissãoSupervisor]]</f>
        <v>89.1</v>
      </c>
      <c r="P208" s="11" t="s">
        <v>27</v>
      </c>
      <c r="Q208" s="11" t="s">
        <v>27</v>
      </c>
      <c r="R208" s="11"/>
      <c r="S208" s="11">
        <v>1</v>
      </c>
      <c r="T208" s="380">
        <v>46188</v>
      </c>
      <c r="U208" s="11" t="s">
        <v>28</v>
      </c>
      <c r="V208" s="16" t="s">
        <v>142</v>
      </c>
    </row>
    <row r="209" spans="1:22" hidden="1" x14ac:dyDescent="0.3">
      <c r="A209" s="10">
        <v>46188</v>
      </c>
      <c r="B209" s="11">
        <v>144483</v>
      </c>
      <c r="C209" s="11" t="s">
        <v>142</v>
      </c>
      <c r="D209" s="11" t="s">
        <v>143</v>
      </c>
      <c r="E209" s="11" t="s">
        <v>145</v>
      </c>
      <c r="F209" s="11" t="s">
        <v>30</v>
      </c>
      <c r="G209" s="12">
        <v>1</v>
      </c>
      <c r="H209" s="13">
        <v>356.4</v>
      </c>
      <c r="I209" s="14">
        <f>vendas2026[[#This Row],[Qtde]]*vendas2026[[#This Row],[VlrUnitário]]</f>
        <v>356.4</v>
      </c>
      <c r="J209" s="390">
        <f>vendas2026[[#This Row],[VlrTotal]]</f>
        <v>356.4</v>
      </c>
      <c r="K209" s="15">
        <v>1</v>
      </c>
      <c r="L209" s="15">
        <f>vendas2026[[#This Row],[%Comissão]]*0.25</f>
        <v>0.25</v>
      </c>
      <c r="M209" s="14" t="s">
        <v>46</v>
      </c>
      <c r="N209" s="23">
        <v>0</v>
      </c>
      <c r="O209" s="14">
        <f>vendas2026[[#This Row],[VlrTotal]]*vendas2026[[#This Row],[%ComissãoSupervisor]]</f>
        <v>89.1</v>
      </c>
      <c r="P209" s="11" t="s">
        <v>27</v>
      </c>
      <c r="Q209" s="11" t="s">
        <v>27</v>
      </c>
      <c r="R209" s="11"/>
      <c r="S209" s="11">
        <v>1</v>
      </c>
      <c r="T209" s="380">
        <v>46188</v>
      </c>
      <c r="U209" s="11" t="s">
        <v>28</v>
      </c>
      <c r="V209" s="16" t="s">
        <v>142</v>
      </c>
    </row>
    <row r="210" spans="1:22" hidden="1" x14ac:dyDescent="0.3">
      <c r="A210" s="10">
        <v>46188</v>
      </c>
      <c r="B210" s="11">
        <v>144483</v>
      </c>
      <c r="C210" s="11" t="s">
        <v>142</v>
      </c>
      <c r="D210" s="11" t="s">
        <v>143</v>
      </c>
      <c r="E210" s="11" t="s">
        <v>48</v>
      </c>
      <c r="F210" s="11" t="s">
        <v>30</v>
      </c>
      <c r="G210" s="12">
        <v>1</v>
      </c>
      <c r="H210" s="13">
        <v>356.4</v>
      </c>
      <c r="I210" s="14">
        <f>vendas2026[[#This Row],[Qtde]]*vendas2026[[#This Row],[VlrUnitário]]</f>
        <v>356.4</v>
      </c>
      <c r="J210" s="390">
        <f>vendas2026[[#This Row],[VlrTotal]]</f>
        <v>356.4</v>
      </c>
      <c r="K210" s="15">
        <v>1</v>
      </c>
      <c r="L210" s="15">
        <f>vendas2026[[#This Row],[%Comissão]]*0.25</f>
        <v>0.25</v>
      </c>
      <c r="M210" s="14" t="s">
        <v>46</v>
      </c>
      <c r="N210" s="23">
        <v>0</v>
      </c>
      <c r="O210" s="14">
        <f>vendas2026[[#This Row],[VlrTotal]]*vendas2026[[#This Row],[%ComissãoSupervisor]]</f>
        <v>89.1</v>
      </c>
      <c r="P210" s="11" t="s">
        <v>27</v>
      </c>
      <c r="Q210" s="11" t="s">
        <v>27</v>
      </c>
      <c r="R210" s="11"/>
      <c r="S210" s="11">
        <v>1</v>
      </c>
      <c r="T210" s="380">
        <v>46188</v>
      </c>
      <c r="U210" s="11" t="s">
        <v>28</v>
      </c>
      <c r="V210" s="16" t="s">
        <v>142</v>
      </c>
    </row>
    <row r="211" spans="1:22" hidden="1" x14ac:dyDescent="0.3">
      <c r="A211" s="10">
        <v>46188</v>
      </c>
      <c r="B211" s="11">
        <v>144484</v>
      </c>
      <c r="C211" s="11" t="s">
        <v>142</v>
      </c>
      <c r="D211" s="11" t="s">
        <v>143</v>
      </c>
      <c r="E211" s="11" t="s">
        <v>102</v>
      </c>
      <c r="F211" s="11" t="s">
        <v>30</v>
      </c>
      <c r="G211" s="12">
        <v>1</v>
      </c>
      <c r="H211" s="13">
        <v>2295.1999999999998</v>
      </c>
      <c r="I211" s="14">
        <f>vendas2026[[#This Row],[Qtde]]*vendas2026[[#This Row],[VlrUnitário]]</f>
        <v>2295.1999999999998</v>
      </c>
      <c r="J211" s="390">
        <f>vendas2026[[#This Row],[VlrTotal]]</f>
        <v>2295.1999999999998</v>
      </c>
      <c r="K211" s="15">
        <v>1</v>
      </c>
      <c r="L211" s="15">
        <f>vendas2026[[#This Row],[%Comissão]]*0.25</f>
        <v>0.25</v>
      </c>
      <c r="M211" s="14" t="s">
        <v>46</v>
      </c>
      <c r="N211" s="23">
        <v>0</v>
      </c>
      <c r="O211" s="14">
        <f>vendas2026[[#This Row],[VlrTotal]]*vendas2026[[#This Row],[%ComissãoSupervisor]]</f>
        <v>573.79999999999995</v>
      </c>
      <c r="P211" s="11" t="s">
        <v>27</v>
      </c>
      <c r="Q211" s="11" t="s">
        <v>27</v>
      </c>
      <c r="R211" s="11"/>
      <c r="S211" s="11">
        <v>1</v>
      </c>
      <c r="T211" s="380">
        <v>46188</v>
      </c>
      <c r="U211" s="11" t="s">
        <v>28</v>
      </c>
      <c r="V211" s="16" t="s">
        <v>142</v>
      </c>
    </row>
    <row r="212" spans="1:22" hidden="1" x14ac:dyDescent="0.3">
      <c r="A212" s="10">
        <v>46188</v>
      </c>
      <c r="B212" s="11">
        <v>134873</v>
      </c>
      <c r="C212" s="11" t="s">
        <v>31</v>
      </c>
      <c r="D212" s="11" t="s">
        <v>92</v>
      </c>
      <c r="E212" s="11" t="s">
        <v>24</v>
      </c>
      <c r="F212" s="11" t="s">
        <v>25</v>
      </c>
      <c r="G212" s="12">
        <v>15</v>
      </c>
      <c r="H212" s="13">
        <v>180</v>
      </c>
      <c r="I212" s="14">
        <f>vendas2026[[#This Row],[Qtde]]*vendas2026[[#This Row],[VlrUnitário]]</f>
        <v>2700</v>
      </c>
      <c r="J212" s="390">
        <f>(vendas2026[[#This Row],[VlrTotal]]*0.2)+vendas2026[[#This Row],[VlrTotal]]</f>
        <v>3240</v>
      </c>
      <c r="K212" s="15">
        <v>7.0000000000000007E-2</v>
      </c>
      <c r="L212" s="15">
        <f>vendas2026[[#This Row],[%Comissão]]*0.25</f>
        <v>1.7500000000000002E-2</v>
      </c>
      <c r="M212" s="14" t="s">
        <v>26</v>
      </c>
      <c r="N212" s="23">
        <f>vendas2026[[#This Row],[VlrTotal]]*vendas2026[[#This Row],[%Comissão]]</f>
        <v>189.00000000000003</v>
      </c>
      <c r="O212" s="14">
        <f>vendas2026[[#This Row],[VlrTotal]]*vendas2026[[#This Row],[%ComissãoSupervisor]]</f>
        <v>47.250000000000007</v>
      </c>
      <c r="P212" s="11" t="s">
        <v>36</v>
      </c>
      <c r="Q212" s="11" t="s">
        <v>37</v>
      </c>
      <c r="R212" s="11"/>
      <c r="S212" s="11">
        <v>1</v>
      </c>
      <c r="T212" s="380"/>
      <c r="U212" s="11" t="s">
        <v>38</v>
      </c>
      <c r="V212" s="16" t="s">
        <v>31</v>
      </c>
    </row>
    <row r="213" spans="1:22" hidden="1" x14ac:dyDescent="0.3">
      <c r="A213" s="10">
        <v>46188</v>
      </c>
      <c r="B213" s="11">
        <v>144460</v>
      </c>
      <c r="C213" s="11" t="s">
        <v>31</v>
      </c>
      <c r="D213" s="11" t="s">
        <v>146</v>
      </c>
      <c r="E213" s="11" t="s">
        <v>24</v>
      </c>
      <c r="F213" s="11" t="s">
        <v>25</v>
      </c>
      <c r="G213" s="12">
        <v>8</v>
      </c>
      <c r="H213" s="13">
        <v>180</v>
      </c>
      <c r="I213" s="14">
        <f>vendas2026[[#This Row],[Qtde]]*vendas2026[[#This Row],[VlrUnitário]]</f>
        <v>1440</v>
      </c>
      <c r="J213" s="390">
        <f>(vendas2026[[#This Row],[VlrTotal]]*0.2)+vendas2026[[#This Row],[VlrTotal]]</f>
        <v>1728</v>
      </c>
      <c r="K213" s="15">
        <v>7.0000000000000007E-2</v>
      </c>
      <c r="L213" s="15">
        <f>vendas2026[[#This Row],[%Comissão]]*0.25</f>
        <v>1.7500000000000002E-2</v>
      </c>
      <c r="M213" s="14" t="s">
        <v>26</v>
      </c>
      <c r="N213" s="23">
        <f>vendas2026[[#This Row],[VlrTotal]]*vendas2026[[#This Row],[%Comissão]]</f>
        <v>100.80000000000001</v>
      </c>
      <c r="O213" s="14">
        <f>vendas2026[[#This Row],[VlrTotal]]*vendas2026[[#This Row],[%ComissãoSupervisor]]</f>
        <v>25.200000000000003</v>
      </c>
      <c r="P213" s="11" t="s">
        <v>36</v>
      </c>
      <c r="Q213" s="11" t="s">
        <v>37</v>
      </c>
      <c r="R213" s="11"/>
      <c r="S213" s="11">
        <v>3</v>
      </c>
      <c r="T213" s="380"/>
      <c r="U213" s="11" t="s">
        <v>38</v>
      </c>
      <c r="V213" s="16" t="s">
        <v>31</v>
      </c>
    </row>
    <row r="214" spans="1:22" hidden="1" x14ac:dyDescent="0.3">
      <c r="A214" s="10">
        <v>46189</v>
      </c>
      <c r="B214" s="11">
        <v>142677</v>
      </c>
      <c r="C214" s="11" t="s">
        <v>31</v>
      </c>
      <c r="D214" s="11" t="s">
        <v>105</v>
      </c>
      <c r="E214" s="11" t="s">
        <v>52</v>
      </c>
      <c r="F214" s="11" t="s">
        <v>41</v>
      </c>
      <c r="G214" s="12">
        <v>1</v>
      </c>
      <c r="H214" s="13">
        <v>8100</v>
      </c>
      <c r="I214" s="14">
        <f>vendas2026[[#This Row],[Qtde]]*vendas2026[[#This Row],[VlrUnitário]]</f>
        <v>8100</v>
      </c>
      <c r="J214" s="390">
        <f>(vendas2026[[#This Row],[VlrTotal]]*0.2)+vendas2026[[#This Row],[VlrTotal]]</f>
        <v>9720</v>
      </c>
      <c r="K214" s="15">
        <v>7.0000000000000007E-2</v>
      </c>
      <c r="L214" s="15">
        <f>vendas2026[[#This Row],[%Comissão]]*0.25</f>
        <v>1.7500000000000002E-2</v>
      </c>
      <c r="M214" s="14" t="s">
        <v>26</v>
      </c>
      <c r="N214" s="23">
        <f>vendas2026[[#This Row],[VlrTotal]]*vendas2026[[#This Row],[%Comissão]]</f>
        <v>567</v>
      </c>
      <c r="O214" s="14">
        <f>vendas2026[[#This Row],[VlrTotal]]*vendas2026[[#This Row],[%ComissãoSupervisor]]</f>
        <v>141.75</v>
      </c>
      <c r="P214" s="11" t="s">
        <v>27</v>
      </c>
      <c r="Q214" s="11" t="s">
        <v>27</v>
      </c>
      <c r="R214" s="11"/>
      <c r="S214" s="11">
        <v>6</v>
      </c>
      <c r="T214" s="380">
        <v>46189</v>
      </c>
      <c r="U214" s="11" t="s">
        <v>28</v>
      </c>
      <c r="V214" s="16" t="s">
        <v>31</v>
      </c>
    </row>
    <row r="215" spans="1:22" hidden="1" x14ac:dyDescent="0.3">
      <c r="A215" s="10">
        <v>46189</v>
      </c>
      <c r="B215" s="11">
        <v>142677</v>
      </c>
      <c r="C215" s="11" t="s">
        <v>31</v>
      </c>
      <c r="D215" s="11" t="s">
        <v>105</v>
      </c>
      <c r="E215" s="11" t="s">
        <v>52</v>
      </c>
      <c r="F215" s="11" t="s">
        <v>30</v>
      </c>
      <c r="G215" s="12">
        <v>1</v>
      </c>
      <c r="H215" s="13">
        <v>1080</v>
      </c>
      <c r="I215" s="14">
        <f>vendas2026[[#This Row],[Qtde]]*vendas2026[[#This Row],[VlrUnitário]]</f>
        <v>1080</v>
      </c>
      <c r="J215" s="390">
        <f>(vendas2026[[#This Row],[VlrTotal]]*0.2)+vendas2026[[#This Row],[VlrTotal]]</f>
        <v>1296</v>
      </c>
      <c r="K215" s="15">
        <v>1</v>
      </c>
      <c r="L215" s="15">
        <f>vendas2026[[#This Row],[%Comissão]]*0.25</f>
        <v>0.25</v>
      </c>
      <c r="M215" s="14" t="s">
        <v>26</v>
      </c>
      <c r="N215" s="23">
        <f>vendas2026[[#This Row],[VlrTotal]]*vendas2026[[#This Row],[%Comissão]]</f>
        <v>1080</v>
      </c>
      <c r="O215" s="14">
        <f>vendas2026[[#This Row],[VlrTotal]]*vendas2026[[#This Row],[%ComissãoSupervisor]]</f>
        <v>270</v>
      </c>
      <c r="P215" s="11" t="s">
        <v>27</v>
      </c>
      <c r="Q215" s="11" t="s">
        <v>27</v>
      </c>
      <c r="R215" s="11"/>
      <c r="S215" s="11">
        <v>1</v>
      </c>
      <c r="T215" s="380">
        <v>46189</v>
      </c>
      <c r="U215" s="11" t="s">
        <v>28</v>
      </c>
      <c r="V215" s="16" t="s">
        <v>31</v>
      </c>
    </row>
    <row r="216" spans="1:22" hidden="1" x14ac:dyDescent="0.3">
      <c r="A216" s="10">
        <v>46192</v>
      </c>
      <c r="B216" s="11">
        <v>144800</v>
      </c>
      <c r="C216" s="11" t="s">
        <v>31</v>
      </c>
      <c r="D216" s="11" t="s">
        <v>108</v>
      </c>
      <c r="E216" s="11" t="s">
        <v>24</v>
      </c>
      <c r="F216" s="11" t="s">
        <v>25</v>
      </c>
      <c r="G216" s="12">
        <v>10</v>
      </c>
      <c r="H216" s="13">
        <v>180</v>
      </c>
      <c r="I216" s="14">
        <f>vendas2026[[#This Row],[Qtde]]*vendas2026[[#This Row],[VlrUnitário]]</f>
        <v>1800</v>
      </c>
      <c r="J216" s="390">
        <f>(vendas2026[[#This Row],[VlrTotal]]*0.2)+vendas2026[[#This Row],[VlrTotal]]</f>
        <v>2160</v>
      </c>
      <c r="K216" s="15">
        <v>7.0000000000000007E-2</v>
      </c>
      <c r="L216" s="15">
        <f>vendas2026[[#This Row],[%Comissão]]*0.25</f>
        <v>1.7500000000000002E-2</v>
      </c>
      <c r="M216" s="14" t="s">
        <v>26</v>
      </c>
      <c r="N216" s="23">
        <f>vendas2026[[#This Row],[VlrTotal]]*vendas2026[[#This Row],[%Comissão]]</f>
        <v>126.00000000000001</v>
      </c>
      <c r="O216" s="14">
        <f>vendas2026[[#This Row],[VlrTotal]]*vendas2026[[#This Row],[%ComissãoSupervisor]]</f>
        <v>31.500000000000004</v>
      </c>
      <c r="P216" s="11" t="s">
        <v>27</v>
      </c>
      <c r="Q216" s="11" t="s">
        <v>27</v>
      </c>
      <c r="R216" s="11"/>
      <c r="S216" s="11">
        <v>4</v>
      </c>
      <c r="T216" s="380"/>
      <c r="U216" s="11" t="s">
        <v>38</v>
      </c>
      <c r="V216" s="16" t="s">
        <v>31</v>
      </c>
    </row>
    <row r="217" spans="1:22" hidden="1" x14ac:dyDescent="0.3">
      <c r="A217" s="10">
        <v>46197</v>
      </c>
      <c r="B217" s="11">
        <v>144344</v>
      </c>
      <c r="C217" s="11" t="s">
        <v>44</v>
      </c>
      <c r="D217" s="11" t="s">
        <v>149</v>
      </c>
      <c r="E217" s="11" t="s">
        <v>63</v>
      </c>
      <c r="F217" s="11" t="s">
        <v>25</v>
      </c>
      <c r="G217" s="12">
        <v>80</v>
      </c>
      <c r="H217" s="13">
        <v>171.19</v>
      </c>
      <c r="I217" s="14">
        <f>vendas2026[[#This Row],[Qtde]]*vendas2026[[#This Row],[VlrUnitário]]</f>
        <v>13695.2</v>
      </c>
      <c r="J217" s="390">
        <f>vendas2026[[#This Row],[VlrTotal]]</f>
        <v>13695.2</v>
      </c>
      <c r="K217" s="15">
        <v>7.0000000000000007E-2</v>
      </c>
      <c r="L217" s="15">
        <f>vendas2026[[#This Row],[%Comissão]]*0.25</f>
        <v>1.7500000000000002E-2</v>
      </c>
      <c r="M217" s="14" t="s">
        <v>46</v>
      </c>
      <c r="N217" s="23">
        <f>vendas2026[[#This Row],[VlrTotal]]*vendas2026[[#This Row],[%Comissão]]</f>
        <v>958.6640000000001</v>
      </c>
      <c r="O217" s="14">
        <f>vendas2026[[#This Row],[VlrTotal]]*vendas2026[[#This Row],[%ComissãoSupervisor]]</f>
        <v>239.66600000000003</v>
      </c>
      <c r="P217" s="11" t="s">
        <v>27</v>
      </c>
      <c r="Q217" s="11" t="s">
        <v>27</v>
      </c>
      <c r="R217" s="11"/>
      <c r="S217" s="11">
        <v>1</v>
      </c>
      <c r="T217" s="380">
        <v>46197</v>
      </c>
      <c r="U217" s="11" t="s">
        <v>28</v>
      </c>
      <c r="V217" s="16" t="s">
        <v>44</v>
      </c>
    </row>
    <row r="218" spans="1:22" hidden="1" x14ac:dyDescent="0.3">
      <c r="A218" s="10">
        <v>46197</v>
      </c>
      <c r="B218" s="11">
        <v>144344</v>
      </c>
      <c r="C218" s="11" t="s">
        <v>44</v>
      </c>
      <c r="D218" s="11" t="s">
        <v>149</v>
      </c>
      <c r="E218" s="11" t="s">
        <v>63</v>
      </c>
      <c r="F218" s="11" t="s">
        <v>30</v>
      </c>
      <c r="G218" s="12">
        <v>200</v>
      </c>
      <c r="H218" s="13">
        <v>73.64</v>
      </c>
      <c r="I218" s="14">
        <f>vendas2026[[#This Row],[Qtde]]*vendas2026[[#This Row],[VlrUnitário]]</f>
        <v>14728</v>
      </c>
      <c r="J218" s="390">
        <f>vendas2026[[#This Row],[VlrTotal]]</f>
        <v>14728</v>
      </c>
      <c r="K218" s="15">
        <v>1</v>
      </c>
      <c r="L218" s="15">
        <f>vendas2026[[#This Row],[%Comissão]]*0.25</f>
        <v>0.25</v>
      </c>
      <c r="M218" s="14" t="s">
        <v>46</v>
      </c>
      <c r="N218" s="23">
        <f>vendas2026[[#This Row],[VlrTotal]]*vendas2026[[#This Row],[%Comissão]]</f>
        <v>14728</v>
      </c>
      <c r="O218" s="14">
        <f>vendas2026[[#This Row],[VlrTotal]]*vendas2026[[#This Row],[%ComissãoSupervisor]]</f>
        <v>3682</v>
      </c>
      <c r="P218" s="11" t="s">
        <v>27</v>
      </c>
      <c r="Q218" s="11" t="s">
        <v>27</v>
      </c>
      <c r="R218" s="11"/>
      <c r="S218" s="11">
        <v>1</v>
      </c>
      <c r="T218" s="380">
        <v>46197</v>
      </c>
      <c r="U218" s="11" t="s">
        <v>28</v>
      </c>
      <c r="V218" s="16" t="s">
        <v>44</v>
      </c>
    </row>
    <row r="219" spans="1:22" hidden="1" x14ac:dyDescent="0.3">
      <c r="A219" s="10">
        <v>46197</v>
      </c>
      <c r="B219" s="11">
        <v>143904</v>
      </c>
      <c r="C219" s="11" t="s">
        <v>31</v>
      </c>
      <c r="D219" s="11" t="s">
        <v>72</v>
      </c>
      <c r="E219" s="11" t="s">
        <v>35</v>
      </c>
      <c r="F219" s="11" t="s">
        <v>35</v>
      </c>
      <c r="G219" s="12">
        <v>40</v>
      </c>
      <c r="H219" s="13">
        <v>176</v>
      </c>
      <c r="I219" s="14">
        <f>vendas2026[[#This Row],[Qtde]]*vendas2026[[#This Row],[VlrUnitário]]</f>
        <v>7040</v>
      </c>
      <c r="J219" s="390">
        <f>vendas2026[[#This Row],[VlrTotal]]</f>
        <v>7040</v>
      </c>
      <c r="K219" s="15">
        <v>0.01</v>
      </c>
      <c r="L219" s="15">
        <f>vendas2026[[#This Row],[%Comissão]]*0.25</f>
        <v>2.5000000000000001E-3</v>
      </c>
      <c r="M219" s="14" t="s">
        <v>26</v>
      </c>
      <c r="N219" s="23">
        <f>vendas2026[[#This Row],[VlrTotal]]*vendas2026[[#This Row],[%Comissão]]</f>
        <v>70.400000000000006</v>
      </c>
      <c r="O219" s="14">
        <f>vendas2026[[#This Row],[VlrTotal]]*vendas2026[[#This Row],[%ComissãoSupervisor]]</f>
        <v>17.600000000000001</v>
      </c>
      <c r="P219" s="11" t="s">
        <v>36</v>
      </c>
      <c r="Q219" s="11" t="s">
        <v>37</v>
      </c>
      <c r="R219" s="11"/>
      <c r="S219" s="11">
        <v>3</v>
      </c>
      <c r="T219" s="380"/>
      <c r="U219" s="11" t="s">
        <v>38</v>
      </c>
      <c r="V219" s="16" t="s">
        <v>31</v>
      </c>
    </row>
    <row r="220" spans="1:22" hidden="1" x14ac:dyDescent="0.3">
      <c r="A220" s="10">
        <v>46203</v>
      </c>
      <c r="B220" s="11">
        <v>141269</v>
      </c>
      <c r="C220" s="11" t="s">
        <v>31</v>
      </c>
      <c r="D220" s="11" t="s">
        <v>604</v>
      </c>
      <c r="E220" s="11" t="s">
        <v>35</v>
      </c>
      <c r="F220" s="11" t="s">
        <v>35</v>
      </c>
      <c r="G220" s="12">
        <v>10</v>
      </c>
      <c r="H220" s="13">
        <v>176</v>
      </c>
      <c r="I220" s="14">
        <v>1760</v>
      </c>
      <c r="J220" s="23">
        <v>1760</v>
      </c>
      <c r="K220" s="15">
        <v>6.8999999999999999E-3</v>
      </c>
      <c r="L220" s="15">
        <v>1.725E-3</v>
      </c>
      <c r="M220" s="14" t="s">
        <v>26</v>
      </c>
      <c r="N220" s="23">
        <v>12.144</v>
      </c>
      <c r="O220" s="14">
        <v>3.036</v>
      </c>
      <c r="P220" s="11" t="s">
        <v>36</v>
      </c>
      <c r="Q220" s="11" t="s">
        <v>37</v>
      </c>
      <c r="R220" s="11"/>
      <c r="S220" s="11">
        <v>1</v>
      </c>
      <c r="T220" s="380"/>
      <c r="U220" s="11" t="s">
        <v>38</v>
      </c>
      <c r="V220" s="16" t="s">
        <v>31</v>
      </c>
    </row>
    <row r="221" spans="1:22" hidden="1" x14ac:dyDescent="0.3">
      <c r="A221" s="10">
        <v>46203</v>
      </c>
      <c r="B221" s="11">
        <v>145143</v>
      </c>
      <c r="C221" s="11" t="s">
        <v>31</v>
      </c>
      <c r="D221" s="11" t="s">
        <v>93</v>
      </c>
      <c r="E221" s="11" t="s">
        <v>24</v>
      </c>
      <c r="F221" s="11" t="s">
        <v>25</v>
      </c>
      <c r="G221" s="12">
        <v>8</v>
      </c>
      <c r="H221" s="13">
        <v>177.5</v>
      </c>
      <c r="I221" s="14">
        <v>1420</v>
      </c>
      <c r="J221" s="23">
        <v>1704</v>
      </c>
      <c r="K221" s="15">
        <v>7.0000000000000007E-2</v>
      </c>
      <c r="L221" s="15">
        <v>1.7500000000000002E-2</v>
      </c>
      <c r="M221" s="14" t="s">
        <v>26</v>
      </c>
      <c r="N221" s="23">
        <v>99.4</v>
      </c>
      <c r="O221" s="14">
        <v>24.85</v>
      </c>
      <c r="P221" s="11" t="s">
        <v>36</v>
      </c>
      <c r="Q221" s="11" t="s">
        <v>37</v>
      </c>
      <c r="R221" s="11"/>
      <c r="S221" s="11">
        <v>1</v>
      </c>
      <c r="T221" s="380"/>
      <c r="U221" s="11" t="s">
        <v>38</v>
      </c>
      <c r="V221" s="16" t="s">
        <v>31</v>
      </c>
    </row>
    <row r="222" spans="1:22" hidden="1" x14ac:dyDescent="0.3">
      <c r="A222" s="10">
        <v>46203</v>
      </c>
      <c r="B222" s="11">
        <v>144215</v>
      </c>
      <c r="C222" s="11" t="s">
        <v>31</v>
      </c>
      <c r="D222" s="11" t="s">
        <v>87</v>
      </c>
      <c r="E222" s="11" t="s">
        <v>35</v>
      </c>
      <c r="F222" s="11" t="s">
        <v>35</v>
      </c>
      <c r="G222" s="12">
        <v>8</v>
      </c>
      <c r="H222" s="13">
        <v>176</v>
      </c>
      <c r="I222" s="14">
        <v>1408</v>
      </c>
      <c r="J222" s="23">
        <v>1408</v>
      </c>
      <c r="K222" s="15">
        <v>0.01</v>
      </c>
      <c r="L222" s="15">
        <v>2.5000000000000001E-3</v>
      </c>
      <c r="M222" s="14" t="s">
        <v>26</v>
      </c>
      <c r="N222" s="23">
        <v>14.08</v>
      </c>
      <c r="O222" s="14">
        <v>3.52</v>
      </c>
      <c r="P222" s="11" t="s">
        <v>36</v>
      </c>
      <c r="Q222" s="11" t="s">
        <v>37</v>
      </c>
      <c r="R222" s="11"/>
      <c r="S222" s="11">
        <v>1</v>
      </c>
      <c r="T222" s="380"/>
      <c r="U222" s="11" t="s">
        <v>38</v>
      </c>
      <c r="V222" s="16" t="s">
        <v>31</v>
      </c>
    </row>
    <row r="223" spans="1:22" hidden="1" x14ac:dyDescent="0.3">
      <c r="A223" s="10">
        <v>46204</v>
      </c>
      <c r="B223" s="11">
        <v>72582</v>
      </c>
      <c r="C223" s="11" t="s">
        <v>44</v>
      </c>
      <c r="D223" s="11" t="s">
        <v>148</v>
      </c>
      <c r="E223" s="11" t="s">
        <v>40</v>
      </c>
      <c r="F223" s="11" t="s">
        <v>41</v>
      </c>
      <c r="G223" s="12">
        <v>1</v>
      </c>
      <c r="H223" s="13">
        <v>3583.06</v>
      </c>
      <c r="I223" s="14">
        <f>vendas2026[[#This Row],[Qtde]]*vendas2026[[#This Row],[VlrUnitário]]</f>
        <v>3583.06</v>
      </c>
      <c r="J223" s="390">
        <f>vendas2026[[#This Row],[VlrTotal]]</f>
        <v>3583.06</v>
      </c>
      <c r="K223" s="15">
        <v>7.0000000000000007E-2</v>
      </c>
      <c r="L223" s="15">
        <f>vendas2026[[#This Row],[%Comissão]]*0.25</f>
        <v>1.7500000000000002E-2</v>
      </c>
      <c r="M223" s="14" t="s">
        <v>26</v>
      </c>
      <c r="N223" s="23">
        <f>vendas2026[[#This Row],[VlrTotal]]*vendas2026[[#This Row],[%Comissão]]</f>
        <v>250.81420000000003</v>
      </c>
      <c r="O223" s="14">
        <f>vendas2026[[#This Row],[VlrTotal]]*vendas2026[[#This Row],[%ComissãoSupervisor]]</f>
        <v>62.703550000000007</v>
      </c>
      <c r="P223" s="11" t="s">
        <v>27</v>
      </c>
      <c r="Q223" s="11" t="s">
        <v>27</v>
      </c>
      <c r="R223" s="11"/>
      <c r="S223" s="11">
        <v>3</v>
      </c>
      <c r="T223" s="380">
        <v>46192</v>
      </c>
      <c r="U223" s="11" t="s">
        <v>28</v>
      </c>
      <c r="V223" s="16" t="s">
        <v>44</v>
      </c>
    </row>
    <row r="224" spans="1:22" hidden="1" x14ac:dyDescent="0.3">
      <c r="A224" s="10">
        <v>46205</v>
      </c>
      <c r="B224" s="11">
        <v>135455</v>
      </c>
      <c r="C224" s="11" t="s">
        <v>31</v>
      </c>
      <c r="D224" s="11" t="s">
        <v>65</v>
      </c>
      <c r="E224" s="11" t="s">
        <v>6559</v>
      </c>
      <c r="F224" s="11" t="s">
        <v>25</v>
      </c>
      <c r="G224" s="12">
        <v>16</v>
      </c>
      <c r="H224" s="13">
        <v>210</v>
      </c>
      <c r="I224" s="14">
        <f>vendas2026[[#This Row],[Qtde]]*vendas2026[[#This Row],[VlrUnitário]]</f>
        <v>3360</v>
      </c>
      <c r="J224" s="390">
        <f>(vendas2026[[#This Row],[VlrTotal]]*0.2)+vendas2026[[#This Row],[VlrTotal]]</f>
        <v>4032</v>
      </c>
      <c r="K224" s="15">
        <v>7.0000000000000007E-2</v>
      </c>
      <c r="L224" s="15">
        <f>vendas2026[[#This Row],[%Comissão]]*0.25</f>
        <v>1.7500000000000002E-2</v>
      </c>
      <c r="M224" s="14" t="s">
        <v>26</v>
      </c>
      <c r="N224" s="23">
        <f>vendas2026[[#This Row],[VlrTotal]]*vendas2026[[#This Row],[%Comissão]]</f>
        <v>235.20000000000002</v>
      </c>
      <c r="O224" s="14">
        <f>vendas2026[[#This Row],[VlrTotal]]*vendas2026[[#This Row],[%ComissãoSupervisor]]</f>
        <v>58.800000000000004</v>
      </c>
      <c r="P224" s="11" t="s">
        <v>27</v>
      </c>
      <c r="Q224" s="11" t="s">
        <v>27</v>
      </c>
      <c r="R224" s="11"/>
      <c r="S224" s="11">
        <v>1</v>
      </c>
      <c r="T224" s="380">
        <v>46205</v>
      </c>
      <c r="U224" s="11" t="s">
        <v>28</v>
      </c>
      <c r="V224" s="16" t="s">
        <v>31</v>
      </c>
    </row>
    <row r="225" spans="1:22" hidden="1" x14ac:dyDescent="0.3">
      <c r="A225" s="10">
        <v>46205</v>
      </c>
      <c r="B225" s="11">
        <v>135455</v>
      </c>
      <c r="C225" s="11" t="s">
        <v>31</v>
      </c>
      <c r="D225" s="11" t="s">
        <v>65</v>
      </c>
      <c r="E225" s="11" t="s">
        <v>6559</v>
      </c>
      <c r="F225" s="11" t="s">
        <v>30</v>
      </c>
      <c r="G225" s="12">
        <v>1</v>
      </c>
      <c r="H225" s="13">
        <v>600</v>
      </c>
      <c r="I225" s="14">
        <f>vendas2026[[#This Row],[Qtde]]*vendas2026[[#This Row],[VlrUnitário]]</f>
        <v>600</v>
      </c>
      <c r="J225" s="390">
        <f>(vendas2026[[#This Row],[VlrTotal]]*0.2)+vendas2026[[#This Row],[VlrTotal]]</f>
        <v>720</v>
      </c>
      <c r="K225" s="15">
        <v>1</v>
      </c>
      <c r="L225" s="15">
        <f>vendas2026[[#This Row],[%Comissão]]*0.25</f>
        <v>0.25</v>
      </c>
      <c r="M225" s="14" t="s">
        <v>26</v>
      </c>
      <c r="N225" s="23">
        <f>vendas2026[[#This Row],[VlrTotal]]*vendas2026[[#This Row],[%Comissão]]</f>
        <v>600</v>
      </c>
      <c r="O225" s="14">
        <f>vendas2026[[#This Row],[VlrTotal]]*vendas2026[[#This Row],[%ComissãoSupervisor]]</f>
        <v>150</v>
      </c>
      <c r="P225" s="11" t="s">
        <v>27</v>
      </c>
      <c r="Q225" s="11" t="s">
        <v>27</v>
      </c>
      <c r="R225" s="11"/>
      <c r="S225" s="11">
        <v>1</v>
      </c>
      <c r="T225" s="380">
        <v>46205</v>
      </c>
      <c r="U225" s="11" t="s">
        <v>28</v>
      </c>
      <c r="V225" s="16" t="s">
        <v>31</v>
      </c>
    </row>
    <row r="226" spans="1:22" hidden="1" x14ac:dyDescent="0.3">
      <c r="A226" s="10">
        <v>46205</v>
      </c>
      <c r="B226" s="11">
        <v>138575</v>
      </c>
      <c r="C226" s="11" t="s">
        <v>22</v>
      </c>
      <c r="D226" s="11" t="s">
        <v>86</v>
      </c>
      <c r="E226" s="11" t="s">
        <v>138</v>
      </c>
      <c r="F226" s="11" t="s">
        <v>30</v>
      </c>
      <c r="G226" s="12">
        <v>5</v>
      </c>
      <c r="H226" s="13">
        <v>57.5</v>
      </c>
      <c r="I226" s="14">
        <f>vendas2026[[#This Row],[Qtde]]*vendas2026[[#This Row],[VlrUnitário]]</f>
        <v>287.5</v>
      </c>
      <c r="J226" s="390">
        <f>vendas2026[[#This Row],[VlrTotal]]</f>
        <v>287.5</v>
      </c>
      <c r="K226" s="15">
        <v>1</v>
      </c>
      <c r="L226" s="392">
        <v>0</v>
      </c>
      <c r="M226" s="14" t="s">
        <v>26</v>
      </c>
      <c r="N226" s="23">
        <f>vendas2026[[#This Row],[VlrTotal]]*vendas2026[[#This Row],[%Comissão]]</f>
        <v>287.5</v>
      </c>
      <c r="O226" s="14">
        <f>vendas2026[[#This Row],[VlrTotal]]*vendas2026[[#This Row],[%ComissãoSupervisor]]</f>
        <v>0</v>
      </c>
      <c r="P226" s="11" t="s">
        <v>36</v>
      </c>
      <c r="Q226" s="11" t="s">
        <v>37</v>
      </c>
      <c r="R226" s="11"/>
      <c r="S226" s="11">
        <v>1</v>
      </c>
      <c r="T226" s="380"/>
      <c r="U226" s="11" t="s">
        <v>38</v>
      </c>
      <c r="V226" s="16" t="s">
        <v>22</v>
      </c>
    </row>
    <row r="227" spans="1:22" hidden="1" x14ac:dyDescent="0.3">
      <c r="A227" s="10">
        <v>46205</v>
      </c>
      <c r="B227" s="11">
        <v>134873</v>
      </c>
      <c r="C227" s="11" t="s">
        <v>31</v>
      </c>
      <c r="D227" s="11" t="s">
        <v>6560</v>
      </c>
      <c r="E227" s="11" t="s">
        <v>24</v>
      </c>
      <c r="F227" s="11" t="s">
        <v>25</v>
      </c>
      <c r="G227" s="12">
        <v>2</v>
      </c>
      <c r="H227" s="13">
        <v>180</v>
      </c>
      <c r="I227" s="14">
        <f>vendas2026[[#This Row],[Qtde]]*vendas2026[[#This Row],[VlrUnitário]]</f>
        <v>360</v>
      </c>
      <c r="J227" s="390">
        <f>vendas2026[[#This Row],[VlrTotal]]</f>
        <v>360</v>
      </c>
      <c r="K227" s="15">
        <v>7.0000000000000007E-2</v>
      </c>
      <c r="L227" s="15">
        <f>vendas2026[[#This Row],[%Comissão]]*0.25</f>
        <v>1.7500000000000002E-2</v>
      </c>
      <c r="M227" s="14" t="s">
        <v>26</v>
      </c>
      <c r="N227" s="23">
        <f>vendas2026[[#This Row],[VlrTotal]]*vendas2026[[#This Row],[%Comissão]]</f>
        <v>25.200000000000003</v>
      </c>
      <c r="O227" s="14">
        <f>vendas2026[[#This Row],[VlrTotal]]*vendas2026[[#This Row],[%ComissãoSupervisor]]</f>
        <v>6.3000000000000007</v>
      </c>
      <c r="P227" s="11" t="s">
        <v>36</v>
      </c>
      <c r="Q227" s="11" t="s">
        <v>37</v>
      </c>
      <c r="R227" s="11"/>
      <c r="S227" s="11">
        <v>1</v>
      </c>
      <c r="T227" s="380"/>
      <c r="U227" s="11" t="s">
        <v>38</v>
      </c>
      <c r="V227" s="16" t="s">
        <v>31</v>
      </c>
    </row>
    <row r="228" spans="1:22" hidden="1" x14ac:dyDescent="0.3">
      <c r="A228" s="10">
        <v>46205</v>
      </c>
      <c r="B228" s="11">
        <v>141602</v>
      </c>
      <c r="C228" s="11" t="s">
        <v>31</v>
      </c>
      <c r="D228" s="11" t="s">
        <v>610</v>
      </c>
      <c r="E228" s="11" t="s">
        <v>35</v>
      </c>
      <c r="F228" s="11" t="s">
        <v>35</v>
      </c>
      <c r="G228" s="12">
        <v>52</v>
      </c>
      <c r="H228" s="13">
        <v>176</v>
      </c>
      <c r="I228" s="14">
        <f>vendas2026[[#This Row],[Qtde]]*vendas2026[[#This Row],[VlrUnitário]]</f>
        <v>9152</v>
      </c>
      <c r="J228" s="390">
        <f>vendas2026[[#This Row],[VlrTotal]]</f>
        <v>9152</v>
      </c>
      <c r="K228" s="15">
        <v>0.01</v>
      </c>
      <c r="L228" s="15">
        <f>vendas2026[[#This Row],[%Comissão]]*0.25</f>
        <v>2.5000000000000001E-3</v>
      </c>
      <c r="M228" s="14" t="s">
        <v>26</v>
      </c>
      <c r="N228" s="23">
        <f>vendas2026[[#This Row],[VlrTotal]]*vendas2026[[#This Row],[%Comissão]]</f>
        <v>91.52</v>
      </c>
      <c r="O228" s="14">
        <f>vendas2026[[#This Row],[VlrTotal]]*vendas2026[[#This Row],[%ComissãoSupervisor]]</f>
        <v>22.88</v>
      </c>
      <c r="P228" s="11" t="s">
        <v>36</v>
      </c>
      <c r="Q228" s="11" t="s">
        <v>37</v>
      </c>
      <c r="R228" s="11"/>
      <c r="S228" s="11">
        <v>1</v>
      </c>
      <c r="T228" s="380"/>
      <c r="U228" s="11" t="s">
        <v>38</v>
      </c>
      <c r="V228" s="16" t="s">
        <v>31</v>
      </c>
    </row>
    <row r="229" spans="1:22" hidden="1" x14ac:dyDescent="0.3">
      <c r="A229" s="10">
        <v>46205</v>
      </c>
      <c r="B229" s="11">
        <v>138575</v>
      </c>
      <c r="C229" s="11" t="s">
        <v>22</v>
      </c>
      <c r="D229" s="11" t="s">
        <v>86</v>
      </c>
      <c r="E229" s="11" t="s">
        <v>138</v>
      </c>
      <c r="F229" s="11" t="s">
        <v>30</v>
      </c>
      <c r="G229" s="12">
        <v>3</v>
      </c>
      <c r="H229" s="13">
        <v>57.5</v>
      </c>
      <c r="I229" s="14">
        <f>vendas2026[[#This Row],[Qtde]]*vendas2026[[#This Row],[VlrUnitário]]</f>
        <v>172.5</v>
      </c>
      <c r="J229" s="390">
        <f>vendas2026[[#This Row],[VlrTotal]]</f>
        <v>172.5</v>
      </c>
      <c r="K229" s="392">
        <v>1</v>
      </c>
      <c r="L229" s="15">
        <v>0</v>
      </c>
      <c r="M229" s="14" t="s">
        <v>26</v>
      </c>
      <c r="N229" s="23">
        <f>vendas2026[[#This Row],[VlrTotal]]*vendas2026[[#This Row],[%Comissão]]</f>
        <v>172.5</v>
      </c>
      <c r="O229" s="14">
        <f>vendas2026[[#This Row],[VlrTotal]]*vendas2026[[#This Row],[%ComissãoSupervisor]]</f>
        <v>0</v>
      </c>
      <c r="P229" s="11" t="s">
        <v>27</v>
      </c>
      <c r="Q229" s="11" t="s">
        <v>27</v>
      </c>
      <c r="R229" s="11"/>
      <c r="S229" s="11">
        <v>1</v>
      </c>
      <c r="T229" s="380"/>
      <c r="U229" s="11" t="s">
        <v>38</v>
      </c>
      <c r="V229" s="16" t="s">
        <v>22</v>
      </c>
    </row>
    <row r="230" spans="1:22" hidden="1" x14ac:dyDescent="0.3">
      <c r="A230" s="10">
        <v>46213</v>
      </c>
      <c r="B230" s="11">
        <v>143152</v>
      </c>
      <c r="C230" s="11" t="s">
        <v>31</v>
      </c>
      <c r="D230" s="11" t="s">
        <v>126</v>
      </c>
      <c r="E230" s="11" t="s">
        <v>35</v>
      </c>
      <c r="F230" s="11" t="s">
        <v>35</v>
      </c>
      <c r="G230" s="12">
        <v>8</v>
      </c>
      <c r="H230" s="13">
        <v>176</v>
      </c>
      <c r="I230" s="14">
        <f>vendas2026[[#This Row],[Qtde]]*vendas2026[[#This Row],[VlrUnitário]]</f>
        <v>1408</v>
      </c>
      <c r="J230" s="390">
        <f>vendas2026[[#This Row],[VlrTotal]]</f>
        <v>1408</v>
      </c>
      <c r="K230" s="392">
        <v>0.01</v>
      </c>
      <c r="L230" s="15">
        <f>vendas2026[[#This Row],[%Comissão]]*0.25</f>
        <v>2.5000000000000001E-3</v>
      </c>
      <c r="M230" s="14" t="s">
        <v>26</v>
      </c>
      <c r="N230" s="23">
        <f>vendas2026[[#This Row],[VlrTotal]]*vendas2026[[#This Row],[%Comissão]]</f>
        <v>14.08</v>
      </c>
      <c r="O230" s="14">
        <f>vendas2026[[#This Row],[VlrTotal]]*vendas2026[[#This Row],[%ComissãoSupervisor]]</f>
        <v>3.52</v>
      </c>
      <c r="P230" s="11" t="s">
        <v>36</v>
      </c>
      <c r="Q230" s="11" t="s">
        <v>37</v>
      </c>
      <c r="R230" s="11"/>
      <c r="S230" s="11">
        <v>1</v>
      </c>
      <c r="T230" s="380"/>
      <c r="U230" s="11" t="s">
        <v>38</v>
      </c>
      <c r="V230" s="16" t="s">
        <v>31</v>
      </c>
    </row>
    <row r="231" spans="1:22" hidden="1" x14ac:dyDescent="0.3">
      <c r="A231" s="10">
        <v>46213</v>
      </c>
      <c r="B231" s="11">
        <v>145196</v>
      </c>
      <c r="C231" s="11" t="s">
        <v>31</v>
      </c>
      <c r="D231" s="11" t="s">
        <v>87</v>
      </c>
      <c r="E231" s="11" t="s">
        <v>35</v>
      </c>
      <c r="F231" s="11" t="s">
        <v>35</v>
      </c>
      <c r="G231" s="12">
        <v>27</v>
      </c>
      <c r="H231" s="13">
        <v>176</v>
      </c>
      <c r="I231" s="14">
        <f>vendas2026[[#This Row],[Qtde]]*vendas2026[[#This Row],[VlrUnitário]]</f>
        <v>4752</v>
      </c>
      <c r="J231" s="390">
        <f>vendas2026[[#This Row],[VlrTotal]]</f>
        <v>4752</v>
      </c>
      <c r="K231" s="392">
        <v>0.01</v>
      </c>
      <c r="L231" s="15">
        <f>vendas2026[[#This Row],[%Comissão]]*0.25</f>
        <v>2.5000000000000001E-3</v>
      </c>
      <c r="M231" s="14" t="s">
        <v>26</v>
      </c>
      <c r="N231" s="23">
        <f>vendas2026[[#This Row],[VlrTotal]]*vendas2026[[#This Row],[%Comissão]]</f>
        <v>47.52</v>
      </c>
      <c r="O231" s="14">
        <f>vendas2026[[#This Row],[VlrTotal]]*vendas2026[[#This Row],[%ComissãoSupervisor]]</f>
        <v>11.88</v>
      </c>
      <c r="P231" s="11" t="s">
        <v>36</v>
      </c>
      <c r="Q231" s="11" t="s">
        <v>37</v>
      </c>
      <c r="R231" s="11"/>
      <c r="S231" s="11">
        <v>1</v>
      </c>
      <c r="T231" s="380"/>
      <c r="U231" s="11" t="s">
        <v>38</v>
      </c>
      <c r="V231" s="16" t="s">
        <v>31</v>
      </c>
    </row>
    <row r="232" spans="1:22" hidden="1" x14ac:dyDescent="0.3">
      <c r="A232" s="10">
        <v>46213</v>
      </c>
      <c r="B232" s="11">
        <v>144248</v>
      </c>
      <c r="C232" s="11" t="s">
        <v>31</v>
      </c>
      <c r="D232" s="11" t="s">
        <v>79</v>
      </c>
      <c r="E232" s="11" t="s">
        <v>35</v>
      </c>
      <c r="F232" s="11" t="s">
        <v>35</v>
      </c>
      <c r="G232" s="12">
        <v>400</v>
      </c>
      <c r="H232" s="13">
        <v>125</v>
      </c>
      <c r="I232" s="14">
        <f>vendas2026[[#This Row],[Qtde]]*vendas2026[[#This Row],[VlrUnitário]]</f>
        <v>50000</v>
      </c>
      <c r="J232" s="390">
        <f>vendas2026[[#This Row],[VlrTotal]]</f>
        <v>50000</v>
      </c>
      <c r="K232" s="392">
        <v>2.8E-3</v>
      </c>
      <c r="L232" s="15">
        <f>vendas2026[[#This Row],[%Comissão]]*0.25</f>
        <v>6.9999999999999999E-4</v>
      </c>
      <c r="M232" s="14" t="s">
        <v>26</v>
      </c>
      <c r="N232" s="23">
        <f>vendas2026[[#This Row],[VlrTotal]]*vendas2026[[#This Row],[%Comissão]]</f>
        <v>140</v>
      </c>
      <c r="O232" s="14">
        <f>vendas2026[[#This Row],[VlrTotal]]*vendas2026[[#This Row],[%ComissãoSupervisor]]</f>
        <v>35</v>
      </c>
      <c r="P232" s="11" t="s">
        <v>36</v>
      </c>
      <c r="Q232" s="11" t="s">
        <v>37</v>
      </c>
      <c r="R232" s="11"/>
      <c r="S232" s="11">
        <v>6</v>
      </c>
      <c r="T232" s="380"/>
      <c r="U232" s="11" t="s">
        <v>38</v>
      </c>
      <c r="V232" s="16" t="s">
        <v>31</v>
      </c>
    </row>
    <row r="233" spans="1:22" hidden="1" x14ac:dyDescent="0.3">
      <c r="A233" s="10">
        <v>46213</v>
      </c>
      <c r="B233" s="11">
        <v>144524</v>
      </c>
      <c r="C233" s="11" t="s">
        <v>31</v>
      </c>
      <c r="D233" s="11" t="s">
        <v>79</v>
      </c>
      <c r="E233" s="11" t="s">
        <v>35</v>
      </c>
      <c r="F233" s="11" t="s">
        <v>35</v>
      </c>
      <c r="G233" s="12">
        <v>8</v>
      </c>
      <c r="H233" s="13">
        <v>176</v>
      </c>
      <c r="I233" s="14">
        <f>vendas2026[[#This Row],[Qtde]]*vendas2026[[#This Row],[VlrUnitário]]</f>
        <v>1408</v>
      </c>
      <c r="J233" s="390">
        <f>vendas2026[[#This Row],[VlrTotal]]</f>
        <v>1408</v>
      </c>
      <c r="K233" s="392">
        <v>0.01</v>
      </c>
      <c r="L233" s="15">
        <f>vendas2026[[#This Row],[%Comissão]]*0.25</f>
        <v>2.5000000000000001E-3</v>
      </c>
      <c r="M233" s="14" t="s">
        <v>26</v>
      </c>
      <c r="N233" s="23">
        <f>vendas2026[[#This Row],[VlrTotal]]*vendas2026[[#This Row],[%Comissão]]</f>
        <v>14.08</v>
      </c>
      <c r="O233" s="14">
        <f>vendas2026[[#This Row],[VlrTotal]]*vendas2026[[#This Row],[%ComissãoSupervisor]]</f>
        <v>3.52</v>
      </c>
      <c r="P233" s="11" t="s">
        <v>36</v>
      </c>
      <c r="Q233" s="11" t="s">
        <v>37</v>
      </c>
      <c r="R233" s="11"/>
      <c r="S233" s="11">
        <v>1</v>
      </c>
      <c r="T233" s="380"/>
      <c r="U233" s="11" t="s">
        <v>38</v>
      </c>
      <c r="V233" s="16" t="s">
        <v>31</v>
      </c>
    </row>
    <row r="234" spans="1:22" hidden="1" x14ac:dyDescent="0.3">
      <c r="A234" s="10">
        <v>46213</v>
      </c>
      <c r="B234" s="11">
        <v>145782</v>
      </c>
      <c r="C234" s="11" t="s">
        <v>31</v>
      </c>
      <c r="D234" s="11" t="s">
        <v>65</v>
      </c>
      <c r="E234" s="11" t="s">
        <v>35</v>
      </c>
      <c r="F234" s="11" t="s">
        <v>35</v>
      </c>
      <c r="G234" s="12">
        <v>2</v>
      </c>
      <c r="H234" s="13">
        <v>176</v>
      </c>
      <c r="I234" s="14">
        <f>vendas2026[[#This Row],[Qtde]]*vendas2026[[#This Row],[VlrUnitário]]</f>
        <v>352</v>
      </c>
      <c r="J234" s="390">
        <f>vendas2026[[#This Row],[VlrTotal]]</f>
        <v>352</v>
      </c>
      <c r="K234" s="392">
        <v>0.01</v>
      </c>
      <c r="L234" s="15">
        <f>vendas2026[[#This Row],[%Comissão]]*0.25</f>
        <v>2.5000000000000001E-3</v>
      </c>
      <c r="M234" s="14" t="s">
        <v>26</v>
      </c>
      <c r="N234" s="23">
        <f>vendas2026[[#This Row],[VlrTotal]]*vendas2026[[#This Row],[%Comissão]]</f>
        <v>3.52</v>
      </c>
      <c r="O234" s="14">
        <f>vendas2026[[#This Row],[VlrTotal]]*vendas2026[[#This Row],[%ComissãoSupervisor]]</f>
        <v>0.88</v>
      </c>
      <c r="P234" s="11" t="s">
        <v>36</v>
      </c>
      <c r="Q234" s="11" t="s">
        <v>37</v>
      </c>
      <c r="R234" s="11"/>
      <c r="S234" s="11">
        <v>1</v>
      </c>
      <c r="T234" s="380"/>
      <c r="U234" s="11" t="s">
        <v>38</v>
      </c>
      <c r="V234" s="16" t="s">
        <v>31</v>
      </c>
    </row>
    <row r="235" spans="1:22" hidden="1" x14ac:dyDescent="0.3">
      <c r="A235" s="10">
        <v>46213</v>
      </c>
      <c r="B235" s="11">
        <v>143483</v>
      </c>
      <c r="C235" s="11" t="s">
        <v>31</v>
      </c>
      <c r="D235" s="11" t="s">
        <v>661</v>
      </c>
      <c r="E235" s="11" t="s">
        <v>35</v>
      </c>
      <c r="F235" s="11" t="s">
        <v>35</v>
      </c>
      <c r="G235" s="12">
        <v>4</v>
      </c>
      <c r="H235" s="13">
        <v>176</v>
      </c>
      <c r="I235" s="14">
        <f>vendas2026[[#This Row],[Qtde]]*vendas2026[[#This Row],[VlrUnitário]]</f>
        <v>704</v>
      </c>
      <c r="J235" s="390">
        <f>vendas2026[[#This Row],[VlrTotal]]</f>
        <v>704</v>
      </c>
      <c r="K235" s="392">
        <v>0.01</v>
      </c>
      <c r="L235" s="15">
        <f>vendas2026[[#This Row],[%Comissão]]*0.25</f>
        <v>2.5000000000000001E-3</v>
      </c>
      <c r="M235" s="14" t="s">
        <v>26</v>
      </c>
      <c r="N235" s="23">
        <f>vendas2026[[#This Row],[VlrTotal]]*vendas2026[[#This Row],[%Comissão]]</f>
        <v>7.04</v>
      </c>
      <c r="O235" s="14">
        <f>vendas2026[[#This Row],[VlrTotal]]*vendas2026[[#This Row],[%ComissãoSupervisor]]</f>
        <v>1.76</v>
      </c>
      <c r="P235" s="11" t="s">
        <v>36</v>
      </c>
      <c r="Q235" s="11" t="s">
        <v>37</v>
      </c>
      <c r="R235" s="11"/>
      <c r="S235" s="11">
        <v>1</v>
      </c>
      <c r="T235" s="380"/>
      <c r="U235" s="11" t="s">
        <v>38</v>
      </c>
      <c r="V235" s="16" t="s">
        <v>31</v>
      </c>
    </row>
    <row r="236" spans="1:22" hidden="1" x14ac:dyDescent="0.3">
      <c r="A236" s="10">
        <v>46213</v>
      </c>
      <c r="B236" s="11">
        <v>146299</v>
      </c>
      <c r="C236" s="11" t="s">
        <v>31</v>
      </c>
      <c r="D236" s="11" t="s">
        <v>661</v>
      </c>
      <c r="E236" s="11" t="s">
        <v>35</v>
      </c>
      <c r="F236" s="11" t="s">
        <v>35</v>
      </c>
      <c r="G236" s="12">
        <v>14</v>
      </c>
      <c r="H236" s="13">
        <v>176</v>
      </c>
      <c r="I236" s="14">
        <f>vendas2026[[#This Row],[Qtde]]*vendas2026[[#This Row],[VlrUnitário]]</f>
        <v>2464</v>
      </c>
      <c r="J236" s="390">
        <f>vendas2026[[#This Row],[VlrTotal]]</f>
        <v>2464</v>
      </c>
      <c r="K236" s="392">
        <v>0.01</v>
      </c>
      <c r="L236" s="15">
        <f>vendas2026[[#This Row],[%Comissão]]*0.25</f>
        <v>2.5000000000000001E-3</v>
      </c>
      <c r="M236" s="14" t="s">
        <v>26</v>
      </c>
      <c r="N236" s="23">
        <f>vendas2026[[#This Row],[VlrTotal]]*vendas2026[[#This Row],[%Comissão]]</f>
        <v>24.64</v>
      </c>
      <c r="O236" s="14">
        <f>vendas2026[[#This Row],[VlrTotal]]*vendas2026[[#This Row],[%ComissãoSupervisor]]</f>
        <v>6.16</v>
      </c>
      <c r="P236" s="11" t="s">
        <v>36</v>
      </c>
      <c r="Q236" s="11" t="s">
        <v>37</v>
      </c>
      <c r="R236" s="11"/>
      <c r="S236" s="11">
        <v>3</v>
      </c>
      <c r="T236" s="380"/>
      <c r="U236" s="11" t="s">
        <v>38</v>
      </c>
      <c r="V236" s="16" t="s">
        <v>31</v>
      </c>
    </row>
    <row r="237" spans="1:22" hidden="1" x14ac:dyDescent="0.3">
      <c r="A237" s="10">
        <v>46213</v>
      </c>
      <c r="B237" s="11">
        <v>141602</v>
      </c>
      <c r="C237" s="11" t="s">
        <v>31</v>
      </c>
      <c r="D237" s="11" t="s">
        <v>610</v>
      </c>
      <c r="E237" s="11" t="s">
        <v>35</v>
      </c>
      <c r="F237" s="11" t="s">
        <v>35</v>
      </c>
      <c r="G237" s="12">
        <v>52</v>
      </c>
      <c r="H237" s="13">
        <v>176</v>
      </c>
      <c r="I237" s="14">
        <f>vendas2026[[#This Row],[Qtde]]*vendas2026[[#This Row],[VlrUnitário]]</f>
        <v>9152</v>
      </c>
      <c r="J237" s="390">
        <f>vendas2026[[#This Row],[VlrTotal]]</f>
        <v>9152</v>
      </c>
      <c r="K237" s="392">
        <v>0.01</v>
      </c>
      <c r="L237" s="15">
        <f>vendas2026[[#This Row],[%Comissão]]*0.25</f>
        <v>2.5000000000000001E-3</v>
      </c>
      <c r="M237" s="14" t="s">
        <v>26</v>
      </c>
      <c r="N237" s="23">
        <f>vendas2026[[#This Row],[VlrTotal]]*vendas2026[[#This Row],[%Comissão]]</f>
        <v>91.52</v>
      </c>
      <c r="O237" s="14">
        <f>vendas2026[[#This Row],[VlrTotal]]*vendas2026[[#This Row],[%ComissãoSupervisor]]</f>
        <v>22.88</v>
      </c>
      <c r="P237" s="11" t="s">
        <v>36</v>
      </c>
      <c r="Q237" s="11" t="s">
        <v>37</v>
      </c>
      <c r="R237" s="11"/>
      <c r="S237" s="11">
        <v>3</v>
      </c>
      <c r="T237" s="380"/>
      <c r="U237" s="11" t="s">
        <v>38</v>
      </c>
      <c r="V237" s="16" t="s">
        <v>31</v>
      </c>
    </row>
    <row r="238" spans="1:22" hidden="1" x14ac:dyDescent="0.3">
      <c r="A238" s="10">
        <v>46213</v>
      </c>
      <c r="B238" s="11">
        <v>145581</v>
      </c>
      <c r="C238" s="11" t="s">
        <v>31</v>
      </c>
      <c r="D238" s="11" t="s">
        <v>610</v>
      </c>
      <c r="E238" s="11" t="s">
        <v>35</v>
      </c>
      <c r="F238" s="11" t="s">
        <v>35</v>
      </c>
      <c r="G238" s="12">
        <v>6</v>
      </c>
      <c r="H238" s="13">
        <v>176</v>
      </c>
      <c r="I238" s="14">
        <f>vendas2026[[#This Row],[Qtde]]*vendas2026[[#This Row],[VlrUnitário]]</f>
        <v>1056</v>
      </c>
      <c r="J238" s="390">
        <f>vendas2026[[#This Row],[VlrTotal]]</f>
        <v>1056</v>
      </c>
      <c r="K238" s="392">
        <v>0.01</v>
      </c>
      <c r="L238" s="15">
        <f>vendas2026[[#This Row],[%Comissão]]*0.25</f>
        <v>2.5000000000000001E-3</v>
      </c>
      <c r="M238" s="14" t="s">
        <v>26</v>
      </c>
      <c r="N238" s="23">
        <f>vendas2026[[#This Row],[VlrTotal]]*vendas2026[[#This Row],[%Comissão]]</f>
        <v>10.56</v>
      </c>
      <c r="O238" s="14">
        <f>vendas2026[[#This Row],[VlrTotal]]*vendas2026[[#This Row],[%ComissãoSupervisor]]</f>
        <v>2.64</v>
      </c>
      <c r="P238" s="11" t="s">
        <v>36</v>
      </c>
      <c r="Q238" s="11" t="s">
        <v>37</v>
      </c>
      <c r="R238" s="11"/>
      <c r="S238" s="11">
        <v>3</v>
      </c>
      <c r="T238" s="380"/>
      <c r="U238" s="11" t="s">
        <v>38</v>
      </c>
      <c r="V238" s="16" t="s">
        <v>31</v>
      </c>
    </row>
    <row r="239" spans="1:22" hidden="1" x14ac:dyDescent="0.3">
      <c r="A239" s="10">
        <v>46213</v>
      </c>
      <c r="B239" s="11">
        <v>146363</v>
      </c>
      <c r="C239" s="11" t="s">
        <v>31</v>
      </c>
      <c r="D239" s="11" t="s">
        <v>610</v>
      </c>
      <c r="E239" s="11" t="s">
        <v>35</v>
      </c>
      <c r="F239" s="11" t="s">
        <v>35</v>
      </c>
      <c r="G239" s="12">
        <v>28</v>
      </c>
      <c r="H239" s="13">
        <v>176</v>
      </c>
      <c r="I239" s="14">
        <f>vendas2026[[#This Row],[Qtde]]*vendas2026[[#This Row],[VlrUnitário]]</f>
        <v>4928</v>
      </c>
      <c r="J239" s="390">
        <f>vendas2026[[#This Row],[VlrTotal]]</f>
        <v>4928</v>
      </c>
      <c r="K239" s="392">
        <v>0.01</v>
      </c>
      <c r="L239" s="15">
        <f>vendas2026[[#This Row],[%Comissão]]*0.25</f>
        <v>2.5000000000000001E-3</v>
      </c>
      <c r="M239" s="14" t="s">
        <v>26</v>
      </c>
      <c r="N239" s="23">
        <f>vendas2026[[#This Row],[VlrTotal]]*vendas2026[[#This Row],[%Comissão]]</f>
        <v>49.28</v>
      </c>
      <c r="O239" s="14">
        <f>vendas2026[[#This Row],[VlrTotal]]*vendas2026[[#This Row],[%ComissãoSupervisor]]</f>
        <v>12.32</v>
      </c>
      <c r="P239" s="11" t="s">
        <v>36</v>
      </c>
      <c r="Q239" s="11" t="s">
        <v>37</v>
      </c>
      <c r="R239" s="11"/>
      <c r="S239" s="11">
        <v>3</v>
      </c>
      <c r="T239" s="380"/>
      <c r="U239" s="11" t="s">
        <v>38</v>
      </c>
      <c r="V239" s="16" t="s">
        <v>31</v>
      </c>
    </row>
    <row r="240" spans="1:22" hidden="1" x14ac:dyDescent="0.3">
      <c r="A240" s="10">
        <v>46213</v>
      </c>
      <c r="B240" s="11">
        <v>144564</v>
      </c>
      <c r="C240" s="11" t="s">
        <v>31</v>
      </c>
      <c r="D240" s="11" t="s">
        <v>76</v>
      </c>
      <c r="E240" s="11" t="s">
        <v>35</v>
      </c>
      <c r="F240" s="11" t="s">
        <v>35</v>
      </c>
      <c r="G240" s="12">
        <v>32</v>
      </c>
      <c r="H240" s="13">
        <v>176</v>
      </c>
      <c r="I240" s="14">
        <f>vendas2026[[#This Row],[Qtde]]*vendas2026[[#This Row],[VlrUnitário]]</f>
        <v>5632</v>
      </c>
      <c r="J240" s="390">
        <f>vendas2026[[#This Row],[VlrTotal]]</f>
        <v>5632</v>
      </c>
      <c r="K240" s="392">
        <v>0.01</v>
      </c>
      <c r="L240" s="15">
        <f>vendas2026[[#This Row],[%Comissão]]*0.25</f>
        <v>2.5000000000000001E-3</v>
      </c>
      <c r="M240" s="14" t="s">
        <v>26</v>
      </c>
      <c r="N240" s="23">
        <f>vendas2026[[#This Row],[VlrTotal]]*vendas2026[[#This Row],[%Comissão]]</f>
        <v>56.32</v>
      </c>
      <c r="O240" s="14">
        <f>vendas2026[[#This Row],[VlrTotal]]*vendas2026[[#This Row],[%ComissãoSupervisor]]</f>
        <v>14.08</v>
      </c>
      <c r="P240" s="11" t="s">
        <v>36</v>
      </c>
      <c r="Q240" s="11" t="s">
        <v>37</v>
      </c>
      <c r="R240" s="11"/>
      <c r="S240" s="11">
        <v>3</v>
      </c>
      <c r="T240" s="380"/>
      <c r="U240" s="11" t="s">
        <v>38</v>
      </c>
      <c r="V240" s="16" t="s">
        <v>31</v>
      </c>
    </row>
    <row r="241" spans="1:22" hidden="1" x14ac:dyDescent="0.3">
      <c r="A241" s="10">
        <v>46213</v>
      </c>
      <c r="B241" s="11">
        <v>145049</v>
      </c>
      <c r="C241" s="11" t="s">
        <v>31</v>
      </c>
      <c r="D241" s="11" t="s">
        <v>635</v>
      </c>
      <c r="E241" s="11" t="s">
        <v>35</v>
      </c>
      <c r="F241" s="11" t="s">
        <v>35</v>
      </c>
      <c r="G241" s="12">
        <v>4</v>
      </c>
      <c r="H241" s="13">
        <v>176</v>
      </c>
      <c r="I241" s="14">
        <f>vendas2026[[#This Row],[Qtde]]*vendas2026[[#This Row],[VlrUnitário]]</f>
        <v>704</v>
      </c>
      <c r="J241" s="390">
        <f>vendas2026[[#This Row],[VlrTotal]]</f>
        <v>704</v>
      </c>
      <c r="K241" s="392">
        <v>0.01</v>
      </c>
      <c r="L241" s="15">
        <f>vendas2026[[#This Row],[%Comissão]]*0.25</f>
        <v>2.5000000000000001E-3</v>
      </c>
      <c r="M241" s="14" t="s">
        <v>26</v>
      </c>
      <c r="N241" s="23">
        <f>vendas2026[[#This Row],[VlrTotal]]*vendas2026[[#This Row],[%Comissão]]</f>
        <v>7.04</v>
      </c>
      <c r="O241" s="14">
        <f>vendas2026[[#This Row],[VlrTotal]]*vendas2026[[#This Row],[%ComissãoSupervisor]]</f>
        <v>1.76</v>
      </c>
      <c r="P241" s="11" t="s">
        <v>36</v>
      </c>
      <c r="Q241" s="11" t="s">
        <v>37</v>
      </c>
      <c r="R241" s="11"/>
      <c r="S241" s="11">
        <v>1</v>
      </c>
      <c r="T241" s="380"/>
      <c r="U241" s="11" t="s">
        <v>38</v>
      </c>
      <c r="V241" s="16" t="s">
        <v>31</v>
      </c>
    </row>
    <row r="242" spans="1:22" hidden="1" x14ac:dyDescent="0.3">
      <c r="A242" s="10">
        <v>46219</v>
      </c>
      <c r="B242" s="11">
        <v>145337</v>
      </c>
      <c r="C242" s="11" t="s">
        <v>31</v>
      </c>
      <c r="D242" s="11" t="s">
        <v>93</v>
      </c>
      <c r="E242" s="11" t="s">
        <v>24</v>
      </c>
      <c r="F242" s="11" t="s">
        <v>25</v>
      </c>
      <c r="G242" s="12">
        <v>80</v>
      </c>
      <c r="H242" s="13">
        <v>175</v>
      </c>
      <c r="I242" s="14">
        <f>vendas2026[[#This Row],[Qtde]]*vendas2026[[#This Row],[VlrUnitário]]</f>
        <v>14000</v>
      </c>
      <c r="J242" s="390">
        <f>(vendas2026[[#This Row],[VlrTotal]]*0.2)+vendas2026[[#This Row],[VlrTotal]]</f>
        <v>16800</v>
      </c>
      <c r="K242" s="392">
        <v>5.8900000000000001E-2</v>
      </c>
      <c r="L242" s="15">
        <f>vendas2026[[#This Row],[%Comissão]]*0.25</f>
        <v>1.4725E-2</v>
      </c>
      <c r="M242" s="14" t="s">
        <v>26</v>
      </c>
      <c r="N242" s="23">
        <f>vendas2026[[#This Row],[VlrTotal]]*vendas2026[[#This Row],[%Comissão]]</f>
        <v>824.6</v>
      </c>
      <c r="O242" s="14">
        <f>vendas2026[[#This Row],[VlrTotal]]*vendas2026[[#This Row],[%ComissãoSupervisor]]</f>
        <v>206.15</v>
      </c>
      <c r="P242" s="11" t="s">
        <v>36</v>
      </c>
      <c r="Q242" s="11" t="s">
        <v>37</v>
      </c>
      <c r="R242" s="11"/>
      <c r="S242" s="11">
        <v>6</v>
      </c>
      <c r="T242" s="380"/>
      <c r="U242" s="11" t="s">
        <v>38</v>
      </c>
      <c r="V242" s="16" t="s">
        <v>31</v>
      </c>
    </row>
    <row r="243" spans="1:22" hidden="1" x14ac:dyDescent="0.3">
      <c r="A243" s="10">
        <v>46219</v>
      </c>
      <c r="B243" s="11">
        <v>146167</v>
      </c>
      <c r="C243" s="11" t="s">
        <v>44</v>
      </c>
      <c r="D243" s="11" t="s">
        <v>649</v>
      </c>
      <c r="E243" s="11" t="s">
        <v>24</v>
      </c>
      <c r="F243" s="11" t="s">
        <v>25</v>
      </c>
      <c r="G243" s="12">
        <v>16</v>
      </c>
      <c r="H243" s="13">
        <v>180.2</v>
      </c>
      <c r="I243" s="14">
        <f>vendas2026[[#This Row],[Qtde]]*vendas2026[[#This Row],[VlrUnitário]]</f>
        <v>2883.2</v>
      </c>
      <c r="J243" s="390">
        <f>(vendas2026[[#This Row],[VlrTotal]]*0.2)+vendas2026[[#This Row],[VlrTotal]]</f>
        <v>3459.8399999999997</v>
      </c>
      <c r="K243" s="392">
        <v>7.0000000000000007E-2</v>
      </c>
      <c r="L243" s="15">
        <f>vendas2026[[#This Row],[%Comissão]]*0.25</f>
        <v>1.7500000000000002E-2</v>
      </c>
      <c r="M243" s="14" t="s">
        <v>26</v>
      </c>
      <c r="N243" s="23">
        <f>vendas2026[[#This Row],[VlrTotal]]*vendas2026[[#This Row],[%Comissão]]</f>
        <v>201.82400000000001</v>
      </c>
      <c r="O243" s="14">
        <f>vendas2026[[#This Row],[VlrTotal]]*vendas2026[[#This Row],[%ComissãoSupervisor]]</f>
        <v>50.456000000000003</v>
      </c>
      <c r="P243" s="11" t="s">
        <v>36</v>
      </c>
      <c r="Q243" s="11" t="s">
        <v>37</v>
      </c>
      <c r="R243" s="11"/>
      <c r="S243" s="11">
        <v>3</v>
      </c>
      <c r="T243" s="380"/>
      <c r="U243" s="11" t="s">
        <v>38</v>
      </c>
      <c r="V243" s="16" t="s">
        <v>44</v>
      </c>
    </row>
    <row r="244" spans="1:22" hidden="1" x14ac:dyDescent="0.3">
      <c r="A244" s="10">
        <v>46223</v>
      </c>
      <c r="B244" s="11">
        <v>146831</v>
      </c>
      <c r="C244" s="11" t="s">
        <v>22</v>
      </c>
      <c r="D244" s="11" t="s">
        <v>6561</v>
      </c>
      <c r="E244" s="11" t="s">
        <v>69</v>
      </c>
      <c r="F244" s="11" t="s">
        <v>41</v>
      </c>
      <c r="G244" s="12">
        <v>1</v>
      </c>
      <c r="H244" s="13">
        <v>12000</v>
      </c>
      <c r="I244" s="14">
        <f>vendas2026[[#This Row],[Qtde]]*vendas2026[[#This Row],[VlrUnitário]]</f>
        <v>12000</v>
      </c>
      <c r="J244" s="390">
        <f>vendas2026[[#This Row],[VlrTotal]]</f>
        <v>12000</v>
      </c>
      <c r="K244" s="392">
        <v>7.0000000000000007E-2</v>
      </c>
      <c r="L244" s="15">
        <v>0</v>
      </c>
      <c r="M244" s="14" t="s">
        <v>26</v>
      </c>
      <c r="N244" s="23">
        <f>vendas2026[[#This Row],[VlrTotal]]*vendas2026[[#This Row],[%Comissão]]</f>
        <v>840.00000000000011</v>
      </c>
      <c r="O244" s="14">
        <f>vendas2026[[#This Row],[VlrTotal]]*vendas2026[[#This Row],[%ComissãoSupervisor]]</f>
        <v>0</v>
      </c>
      <c r="P244" s="11" t="s">
        <v>27</v>
      </c>
      <c r="Q244" s="11" t="s">
        <v>27</v>
      </c>
      <c r="R244" s="11"/>
      <c r="S244" s="11">
        <v>6</v>
      </c>
      <c r="T244" s="380">
        <v>46223</v>
      </c>
      <c r="U244" s="11" t="s">
        <v>28</v>
      </c>
      <c r="V244" s="16" t="s">
        <v>22</v>
      </c>
    </row>
    <row r="245" spans="1:22" hidden="1" x14ac:dyDescent="0.3">
      <c r="A245" s="10">
        <v>46223</v>
      </c>
      <c r="B245" s="11">
        <v>146831</v>
      </c>
      <c r="C245" s="11" t="s">
        <v>22</v>
      </c>
      <c r="D245" s="11" t="s">
        <v>6561</v>
      </c>
      <c r="E245" s="11" t="s">
        <v>69</v>
      </c>
      <c r="F245" s="11" t="s">
        <v>30</v>
      </c>
      <c r="G245" s="12">
        <v>1</v>
      </c>
      <c r="H245" s="13">
        <v>1700</v>
      </c>
      <c r="I245" s="14">
        <f>vendas2026[[#This Row],[Qtde]]*vendas2026[[#This Row],[VlrUnitário]]</f>
        <v>1700</v>
      </c>
      <c r="J245" s="390">
        <f>vendas2026[[#This Row],[VlrTotal]]</f>
        <v>1700</v>
      </c>
      <c r="K245" s="392">
        <v>1</v>
      </c>
      <c r="L245" s="15">
        <v>0</v>
      </c>
      <c r="M245" s="14" t="s">
        <v>26</v>
      </c>
      <c r="N245" s="23">
        <f>vendas2026[[#This Row],[VlrTotal]]*vendas2026[[#This Row],[%Comissão]]</f>
        <v>1700</v>
      </c>
      <c r="O245" s="14">
        <f>vendas2026[[#This Row],[VlrTotal]]*vendas2026[[#This Row],[%ComissãoSupervisor]]</f>
        <v>0</v>
      </c>
      <c r="P245" s="11" t="s">
        <v>27</v>
      </c>
      <c r="Q245" s="11" t="s">
        <v>27</v>
      </c>
      <c r="R245" s="11"/>
      <c r="S245" s="11">
        <v>1</v>
      </c>
      <c r="T245" s="380">
        <v>46223</v>
      </c>
      <c r="U245" s="11" t="s">
        <v>28</v>
      </c>
      <c r="V245" s="16" t="s">
        <v>22</v>
      </c>
    </row>
    <row r="246" spans="1:22" hidden="1" x14ac:dyDescent="0.3">
      <c r="A246" s="10">
        <v>46223</v>
      </c>
      <c r="B246" s="11">
        <v>146558</v>
      </c>
      <c r="C246" s="11" t="s">
        <v>22</v>
      </c>
      <c r="D246" s="11" t="s">
        <v>6562</v>
      </c>
      <c r="E246" s="11" t="s">
        <v>24</v>
      </c>
      <c r="F246" s="11" t="s">
        <v>25</v>
      </c>
      <c r="G246" s="12">
        <v>4</v>
      </c>
      <c r="H246" s="13">
        <v>170</v>
      </c>
      <c r="I246" s="14">
        <f>vendas2026[[#This Row],[Qtde]]*vendas2026[[#This Row],[VlrUnitário]]</f>
        <v>680</v>
      </c>
      <c r="J246" s="390">
        <f>vendas2026[[#This Row],[VlrTotal]]</f>
        <v>680</v>
      </c>
      <c r="K246" s="392">
        <v>7.0000000000000007E-2</v>
      </c>
      <c r="L246" s="15">
        <v>0</v>
      </c>
      <c r="M246" s="14" t="s">
        <v>26</v>
      </c>
      <c r="N246" s="23">
        <f>vendas2026[[#This Row],[VlrTotal]]*vendas2026[[#This Row],[%Comissão]]</f>
        <v>47.6</v>
      </c>
      <c r="O246" s="14">
        <f>vendas2026[[#This Row],[VlrTotal]]*vendas2026[[#This Row],[%ComissãoSupervisor]]</f>
        <v>0</v>
      </c>
      <c r="P246" s="11" t="s">
        <v>36</v>
      </c>
      <c r="Q246" s="11" t="s">
        <v>37</v>
      </c>
      <c r="R246" s="11"/>
      <c r="S246" s="11">
        <v>2</v>
      </c>
      <c r="T246" s="380"/>
      <c r="U246" s="11" t="s">
        <v>38</v>
      </c>
      <c r="V246" s="16" t="s">
        <v>22</v>
      </c>
    </row>
    <row r="247" spans="1:22" x14ac:dyDescent="0.3">
      <c r="A247" s="10">
        <v>46240</v>
      </c>
      <c r="B247" s="11">
        <v>147158</v>
      </c>
      <c r="C247" s="11" t="s">
        <v>31</v>
      </c>
      <c r="D247" s="11" t="s">
        <v>6563</v>
      </c>
      <c r="E247" s="11" t="s">
        <v>63</v>
      </c>
      <c r="F247" s="11" t="s">
        <v>30</v>
      </c>
      <c r="G247" s="12">
        <v>1</v>
      </c>
      <c r="H247" s="13">
        <v>10143</v>
      </c>
      <c r="I247" s="14">
        <f>vendas2026[[#This Row],[Qtde]]*vendas2026[[#This Row],[VlrUnitário]]</f>
        <v>10143</v>
      </c>
      <c r="J247" s="390">
        <f>vendas2026[[#This Row],[VlrTotal]]</f>
        <v>10143</v>
      </c>
      <c r="K247" s="392">
        <v>1</v>
      </c>
      <c r="L247" s="15">
        <f>vendas2026[[#This Row],[%Comissão]]*0.25</f>
        <v>0.25</v>
      </c>
      <c r="M247" s="14" t="s">
        <v>46</v>
      </c>
      <c r="N247" s="23">
        <f>vendas2026[[#This Row],[VlrTotal]]*vendas2026[[#This Row],[%Comissão]]</f>
        <v>10143</v>
      </c>
      <c r="O247" s="14">
        <f>vendas2026[[#This Row],[VlrTotal]]*vendas2026[[#This Row],[%ComissãoSupervisor]]</f>
        <v>2535.75</v>
      </c>
      <c r="P247" s="11" t="s">
        <v>27</v>
      </c>
      <c r="Q247" s="11" t="s">
        <v>27</v>
      </c>
      <c r="R247" s="11"/>
      <c r="S247" s="11">
        <v>1</v>
      </c>
      <c r="T247" s="380"/>
      <c r="U247" s="11" t="s">
        <v>147</v>
      </c>
      <c r="V247" s="16" t="s">
        <v>31</v>
      </c>
    </row>
    <row r="248" spans="1:22" x14ac:dyDescent="0.3">
      <c r="A248" s="10">
        <v>46240</v>
      </c>
      <c r="B248" s="11">
        <v>143255</v>
      </c>
      <c r="C248" s="11" t="s">
        <v>44</v>
      </c>
      <c r="D248" s="11" t="s">
        <v>137</v>
      </c>
      <c r="E248" s="11" t="s">
        <v>56</v>
      </c>
      <c r="F248" s="11" t="s">
        <v>30</v>
      </c>
      <c r="G248" s="12">
        <v>1</v>
      </c>
      <c r="H248" s="13">
        <v>250</v>
      </c>
      <c r="I248" s="14">
        <f>vendas2026[[#This Row],[Qtde]]*vendas2026[[#This Row],[VlrUnitário]]</f>
        <v>250</v>
      </c>
      <c r="J248" s="390">
        <f>(vendas2026[[#This Row],[VlrTotal]]*0.2)+vendas2026[[#This Row],[VlrTotal]]</f>
        <v>300</v>
      </c>
      <c r="K248" s="392">
        <v>1</v>
      </c>
      <c r="L248" s="15">
        <f>vendas2026[[#This Row],[%Comissão]]*0.25</f>
        <v>0.25</v>
      </c>
      <c r="M248" s="14" t="s">
        <v>26</v>
      </c>
      <c r="N248" s="23">
        <f>vendas2026[[#This Row],[VlrTotal]]*vendas2026[[#This Row],[%Comissão]]</f>
        <v>250</v>
      </c>
      <c r="O248" s="14">
        <f>vendas2026[[#This Row],[VlrTotal]]*vendas2026[[#This Row],[%ComissãoSupervisor]]</f>
        <v>62.5</v>
      </c>
      <c r="P248" s="11" t="s">
        <v>27</v>
      </c>
      <c r="Q248" s="11" t="s">
        <v>27</v>
      </c>
      <c r="R248" s="11"/>
      <c r="S248" s="11">
        <v>1</v>
      </c>
      <c r="T248" s="380"/>
      <c r="U248" s="11" t="s">
        <v>28</v>
      </c>
      <c r="V248" s="16" t="s">
        <v>44</v>
      </c>
    </row>
    <row r="249" spans="1:22" x14ac:dyDescent="0.3">
      <c r="A249" s="10">
        <v>46240</v>
      </c>
      <c r="B249" s="11">
        <v>118061</v>
      </c>
      <c r="C249" s="11" t="s">
        <v>44</v>
      </c>
      <c r="D249" s="11" t="s">
        <v>140</v>
      </c>
      <c r="E249" s="11" t="s">
        <v>24</v>
      </c>
      <c r="F249" s="11" t="s">
        <v>25</v>
      </c>
      <c r="G249" s="12">
        <v>278</v>
      </c>
      <c r="H249" s="13">
        <v>180.04</v>
      </c>
      <c r="I249" s="14">
        <f>vendas2026[[#This Row],[Qtde]]*vendas2026[[#This Row],[VlrUnitário]]</f>
        <v>50051.119999999995</v>
      </c>
      <c r="J249" s="390">
        <f>vendas2026[[#This Row],[VlrTotal]]</f>
        <v>50051.119999999995</v>
      </c>
      <c r="K249" s="392">
        <v>7.0000000000000007E-2</v>
      </c>
      <c r="L249" s="15">
        <f>vendas2026[[#This Row],[%Comissão]]*0.25</f>
        <v>1.7500000000000002E-2</v>
      </c>
      <c r="M249" s="14" t="s">
        <v>46</v>
      </c>
      <c r="N249" s="23">
        <f>vendas2026[[#This Row],[VlrTotal]]*vendas2026[[#This Row],[%Comissão]]</f>
        <v>3503.5783999999999</v>
      </c>
      <c r="O249" s="14">
        <f>vendas2026[[#This Row],[VlrTotal]]*vendas2026[[#This Row],[%ComissãoSupervisor]]</f>
        <v>875.89459999999997</v>
      </c>
      <c r="P249" s="11" t="s">
        <v>36</v>
      </c>
      <c r="Q249" s="11" t="s">
        <v>37</v>
      </c>
      <c r="R249" s="11"/>
      <c r="S249" s="11">
        <v>1</v>
      </c>
      <c r="T249" s="380"/>
      <c r="U249" s="11" t="s">
        <v>38</v>
      </c>
      <c r="V249" s="16" t="s">
        <v>44</v>
      </c>
    </row>
    <row r="250" spans="1:22" x14ac:dyDescent="0.3">
      <c r="A250" s="10">
        <v>46240</v>
      </c>
      <c r="B250" s="11">
        <v>147022</v>
      </c>
      <c r="C250" s="11" t="s">
        <v>44</v>
      </c>
      <c r="D250" s="11" t="s">
        <v>140</v>
      </c>
      <c r="E250" s="11" t="s">
        <v>54</v>
      </c>
      <c r="F250" s="11" t="s">
        <v>30</v>
      </c>
      <c r="G250" s="12">
        <v>1</v>
      </c>
      <c r="H250" s="13">
        <v>148</v>
      </c>
      <c r="I250" s="14">
        <f>vendas2026[[#This Row],[Qtde]]*vendas2026[[#This Row],[VlrUnitário]]</f>
        <v>148</v>
      </c>
      <c r="J250" s="390">
        <f>vendas2026[[#This Row],[VlrTotal]]</f>
        <v>148</v>
      </c>
      <c r="K250" s="392">
        <v>1</v>
      </c>
      <c r="L250" s="15">
        <f>vendas2026[[#This Row],[%Comissão]]*0.25</f>
        <v>0.25</v>
      </c>
      <c r="M250" s="14" t="s">
        <v>46</v>
      </c>
      <c r="N250" s="23">
        <f>vendas2026[[#This Row],[VlrTotal]]*vendas2026[[#This Row],[%Comissão]]</f>
        <v>148</v>
      </c>
      <c r="O250" s="14">
        <f>vendas2026[[#This Row],[VlrTotal]]*vendas2026[[#This Row],[%ComissãoSupervisor]]</f>
        <v>37</v>
      </c>
      <c r="P250" s="11" t="s">
        <v>27</v>
      </c>
      <c r="Q250" s="11" t="s">
        <v>27</v>
      </c>
      <c r="R250" s="11"/>
      <c r="S250" s="11">
        <v>1</v>
      </c>
      <c r="T250" s="380"/>
      <c r="U250" s="11" t="s">
        <v>28</v>
      </c>
      <c r="V250" s="16" t="s">
        <v>44</v>
      </c>
    </row>
    <row r="251" spans="1:22" x14ac:dyDescent="0.3">
      <c r="A251" s="10">
        <v>46240</v>
      </c>
      <c r="B251" s="11">
        <v>120505</v>
      </c>
      <c r="C251" s="11" t="s">
        <v>44</v>
      </c>
      <c r="D251" s="11" t="s">
        <v>627</v>
      </c>
      <c r="E251" s="11" t="s">
        <v>24</v>
      </c>
      <c r="F251" s="11" t="s">
        <v>25</v>
      </c>
      <c r="G251" s="12">
        <v>212</v>
      </c>
      <c r="H251" s="13">
        <v>171.72</v>
      </c>
      <c r="I251" s="14">
        <f>vendas2026[[#This Row],[Qtde]]*vendas2026[[#This Row],[VlrUnitário]]</f>
        <v>36404.639999999999</v>
      </c>
      <c r="J251" s="390">
        <f>vendas2026[[#This Row],[VlrTotal]]</f>
        <v>36404.639999999999</v>
      </c>
      <c r="K251" s="392">
        <v>7.0000000000000007E-2</v>
      </c>
      <c r="L251" s="15">
        <f>vendas2026[[#This Row],[%Comissão]]*0.25</f>
        <v>1.7500000000000002E-2</v>
      </c>
      <c r="M251" s="14" t="s">
        <v>46</v>
      </c>
      <c r="N251" s="23">
        <f>vendas2026[[#This Row],[VlrTotal]]*vendas2026[[#This Row],[%Comissão]]</f>
        <v>2548.3248000000003</v>
      </c>
      <c r="O251" s="14">
        <f>vendas2026[[#This Row],[VlrTotal]]*vendas2026[[#This Row],[%ComissãoSupervisor]]</f>
        <v>637.08120000000008</v>
      </c>
      <c r="P251" s="11" t="s">
        <v>36</v>
      </c>
      <c r="Q251" s="11" t="s">
        <v>37</v>
      </c>
      <c r="R251" s="11"/>
      <c r="S251" s="11">
        <v>12</v>
      </c>
      <c r="T251" s="380"/>
      <c r="U251" s="11" t="s">
        <v>38</v>
      </c>
      <c r="V251" s="16" t="s">
        <v>44</v>
      </c>
    </row>
    <row r="252" spans="1:22" x14ac:dyDescent="0.3">
      <c r="A252" s="10">
        <v>46245</v>
      </c>
      <c r="B252" s="11">
        <v>130175</v>
      </c>
      <c r="C252" s="11" t="s">
        <v>31</v>
      </c>
      <c r="D252" s="11" t="s">
        <v>141</v>
      </c>
      <c r="E252" s="11" t="s">
        <v>24</v>
      </c>
      <c r="F252" s="11" t="s">
        <v>25</v>
      </c>
      <c r="G252" s="12">
        <v>5</v>
      </c>
      <c r="H252" s="13">
        <v>180</v>
      </c>
      <c r="I252" s="14">
        <f>vendas2026[[#This Row],[Qtde]]*vendas2026[[#This Row],[VlrUnitário]]</f>
        <v>900</v>
      </c>
      <c r="J252" s="390">
        <f>vendas2026[[#This Row],[VlrTotal]]</f>
        <v>900</v>
      </c>
      <c r="K252" s="392">
        <v>7.0000000000000007E-2</v>
      </c>
      <c r="L252" s="15">
        <f>vendas2026[[#This Row],[%Comissão]]*0.25</f>
        <v>1.7500000000000002E-2</v>
      </c>
      <c r="M252" s="14" t="s">
        <v>26</v>
      </c>
      <c r="N252" s="23">
        <f>vendas2026[[#This Row],[VlrTotal]]*vendas2026[[#This Row],[%Comissão]]</f>
        <v>63.000000000000007</v>
      </c>
      <c r="O252" s="14">
        <f>vendas2026[[#This Row],[VlrTotal]]*vendas2026[[#This Row],[%ComissãoSupervisor]]</f>
        <v>15.750000000000002</v>
      </c>
      <c r="P252" s="11" t="s">
        <v>36</v>
      </c>
      <c r="Q252" s="11" t="s">
        <v>37</v>
      </c>
      <c r="R252" s="11"/>
      <c r="S252" s="11">
        <v>1</v>
      </c>
      <c r="T252" s="380"/>
      <c r="U252" s="11" t="s">
        <v>38</v>
      </c>
      <c r="V252" s="16" t="s">
        <v>31</v>
      </c>
    </row>
    <row r="253" spans="1:22" x14ac:dyDescent="0.3">
      <c r="A253" s="10">
        <v>46245</v>
      </c>
      <c r="B253" s="11">
        <v>147239</v>
      </c>
      <c r="C253" s="11" t="s">
        <v>31</v>
      </c>
      <c r="D253" s="11" t="s">
        <v>136</v>
      </c>
      <c r="E253" s="11" t="s">
        <v>24</v>
      </c>
      <c r="F253" s="11" t="s">
        <v>25</v>
      </c>
      <c r="G253" s="12">
        <v>20</v>
      </c>
      <c r="H253" s="13">
        <v>210</v>
      </c>
      <c r="I253" s="14">
        <f>vendas2026[[#This Row],[Qtde]]*vendas2026[[#This Row],[VlrUnitário]]</f>
        <v>4200</v>
      </c>
      <c r="J253" s="390">
        <f>(vendas2026[[#This Row],[VlrTotal]]*0.2)+vendas2026[[#This Row],[VlrTotal]]</f>
        <v>5040</v>
      </c>
      <c r="K253" s="392">
        <v>7.0000000000000007E-2</v>
      </c>
      <c r="L253" s="15">
        <f>vendas2026[[#This Row],[%Comissão]]*0.25</f>
        <v>1.7500000000000002E-2</v>
      </c>
      <c r="M253" s="14" t="s">
        <v>26</v>
      </c>
      <c r="N253" s="23">
        <f>vendas2026[[#This Row],[VlrTotal]]*vendas2026[[#This Row],[%Comissão]]</f>
        <v>294</v>
      </c>
      <c r="O253" s="14">
        <f>vendas2026[[#This Row],[VlrTotal]]*vendas2026[[#This Row],[%ComissãoSupervisor]]</f>
        <v>73.5</v>
      </c>
      <c r="P253" s="11" t="s">
        <v>36</v>
      </c>
      <c r="Q253" s="11" t="s">
        <v>37</v>
      </c>
      <c r="R253" s="11"/>
      <c r="S253" s="11">
        <v>3</v>
      </c>
      <c r="T253" s="380"/>
      <c r="U253" s="11" t="s">
        <v>38</v>
      </c>
      <c r="V253" s="16" t="s">
        <v>31</v>
      </c>
    </row>
    <row r="254" spans="1:22" x14ac:dyDescent="0.3">
      <c r="A254" s="10">
        <v>46245</v>
      </c>
      <c r="B254" s="11">
        <v>140964</v>
      </c>
      <c r="C254" s="11" t="s">
        <v>31</v>
      </c>
      <c r="D254" s="11" t="s">
        <v>120</v>
      </c>
      <c r="E254" s="11" t="s">
        <v>24</v>
      </c>
      <c r="F254" s="11" t="s">
        <v>25</v>
      </c>
      <c r="G254" s="12">
        <v>2</v>
      </c>
      <c r="H254" s="13">
        <v>210</v>
      </c>
      <c r="I254" s="14">
        <f>vendas2026[[#This Row],[Qtde]]*vendas2026[[#This Row],[VlrUnitário]]</f>
        <v>420</v>
      </c>
      <c r="J254" s="390">
        <f>(vendas2026[[#This Row],[VlrTotal]]*0.2)+vendas2026[[#This Row],[VlrTotal]]</f>
        <v>504</v>
      </c>
      <c r="K254" s="392">
        <v>7.0000000000000007E-2</v>
      </c>
      <c r="L254" s="15">
        <f>vendas2026[[#This Row],[%Comissão]]*0.25</f>
        <v>1.7500000000000002E-2</v>
      </c>
      <c r="M254" s="14" t="s">
        <v>26</v>
      </c>
      <c r="N254" s="23">
        <f>vendas2026[[#This Row],[VlrTotal]]*vendas2026[[#This Row],[%Comissão]]</f>
        <v>29.400000000000002</v>
      </c>
      <c r="O254" s="14">
        <f>vendas2026[[#This Row],[VlrTotal]]*vendas2026[[#This Row],[%ComissãoSupervisor]]</f>
        <v>7.3500000000000005</v>
      </c>
      <c r="P254" s="11" t="s">
        <v>36</v>
      </c>
      <c r="Q254" s="11" t="s">
        <v>37</v>
      </c>
      <c r="R254" s="11"/>
      <c r="S254" s="11">
        <v>1</v>
      </c>
      <c r="T254" s="380"/>
      <c r="U254" s="11" t="s">
        <v>38</v>
      </c>
      <c r="V254" s="16" t="s">
        <v>31</v>
      </c>
    </row>
    <row r="255" spans="1:22" x14ac:dyDescent="0.3">
      <c r="A255" s="10">
        <v>46245</v>
      </c>
      <c r="B255" s="11">
        <v>144636</v>
      </c>
      <c r="C255" s="11" t="s">
        <v>31</v>
      </c>
      <c r="D255" s="11" t="s">
        <v>146</v>
      </c>
      <c r="E255" s="11" t="s">
        <v>35</v>
      </c>
      <c r="F255" s="11" t="s">
        <v>35</v>
      </c>
      <c r="G255" s="12">
        <v>24</v>
      </c>
      <c r="H255" s="13">
        <v>176</v>
      </c>
      <c r="I255" s="14">
        <f>vendas2026[[#This Row],[Qtde]]*vendas2026[[#This Row],[VlrUnitário]]</f>
        <v>4224</v>
      </c>
      <c r="J255" s="390">
        <f>vendas2026[[#This Row],[VlrTotal]]</f>
        <v>4224</v>
      </c>
      <c r="K255" s="392">
        <v>0.01</v>
      </c>
      <c r="L255" s="15">
        <f>vendas2026[[#This Row],[%Comissão]]*0.25</f>
        <v>2.5000000000000001E-3</v>
      </c>
      <c r="M255" s="14" t="s">
        <v>26</v>
      </c>
      <c r="N255" s="23">
        <f>vendas2026[[#This Row],[VlrTotal]]*vendas2026[[#This Row],[%Comissão]]</f>
        <v>42.24</v>
      </c>
      <c r="O255" s="14">
        <f>vendas2026[[#This Row],[VlrTotal]]*vendas2026[[#This Row],[%ComissãoSupervisor]]</f>
        <v>10.56</v>
      </c>
      <c r="P255" s="11" t="s">
        <v>36</v>
      </c>
      <c r="Q255" s="11" t="s">
        <v>37</v>
      </c>
      <c r="R255" s="11"/>
      <c r="S255" s="11">
        <v>3</v>
      </c>
      <c r="T255" s="380"/>
      <c r="U255" s="11" t="s">
        <v>38</v>
      </c>
      <c r="V255" s="16" t="s">
        <v>31</v>
      </c>
    </row>
    <row r="256" spans="1:22" x14ac:dyDescent="0.3">
      <c r="A256" s="10">
        <v>46245</v>
      </c>
      <c r="B256" s="11">
        <v>146572</v>
      </c>
      <c r="C256" s="11" t="s">
        <v>31</v>
      </c>
      <c r="D256" s="11" t="s">
        <v>610</v>
      </c>
      <c r="E256" s="11" t="s">
        <v>35</v>
      </c>
      <c r="F256" s="11" t="s">
        <v>35</v>
      </c>
      <c r="G256" s="12">
        <v>32</v>
      </c>
      <c r="H256" s="13">
        <v>176</v>
      </c>
      <c r="I256" s="14">
        <f>vendas2026[[#This Row],[Qtde]]*vendas2026[[#This Row],[VlrUnitário]]</f>
        <v>5632</v>
      </c>
      <c r="J256" s="390">
        <f>vendas2026[[#This Row],[VlrTotal]]</f>
        <v>5632</v>
      </c>
      <c r="K256" s="392">
        <v>0.01</v>
      </c>
      <c r="L256" s="15">
        <f>vendas2026[[#This Row],[%Comissão]]*0.25</f>
        <v>2.5000000000000001E-3</v>
      </c>
      <c r="M256" s="14" t="s">
        <v>26</v>
      </c>
      <c r="N256" s="23">
        <f>vendas2026[[#This Row],[VlrTotal]]*vendas2026[[#This Row],[%Comissão]]</f>
        <v>56.32</v>
      </c>
      <c r="O256" s="14">
        <f>vendas2026[[#This Row],[VlrTotal]]*vendas2026[[#This Row],[%ComissãoSupervisor]]</f>
        <v>14.08</v>
      </c>
      <c r="P256" s="11" t="s">
        <v>36</v>
      </c>
      <c r="Q256" s="11" t="s">
        <v>37</v>
      </c>
      <c r="R256" s="11"/>
      <c r="S256" s="11">
        <v>3</v>
      </c>
      <c r="T256" s="380"/>
      <c r="U256" s="11" t="s">
        <v>38</v>
      </c>
      <c r="V256" s="16" t="s">
        <v>31</v>
      </c>
    </row>
    <row r="257" spans="1:22" hidden="1" x14ac:dyDescent="0.3">
      <c r="A257" s="10" t="s">
        <v>6564</v>
      </c>
      <c r="B257" s="11">
        <v>147815</v>
      </c>
      <c r="C257" s="11" t="s">
        <v>31</v>
      </c>
      <c r="D257" s="11" t="s">
        <v>3373</v>
      </c>
      <c r="E257" s="11" t="s">
        <v>584</v>
      </c>
      <c r="F257" s="11" t="s">
        <v>25</v>
      </c>
      <c r="G257" s="12">
        <v>8</v>
      </c>
      <c r="H257" s="13">
        <v>189</v>
      </c>
      <c r="I257" s="14">
        <f>vendas2026[[#This Row],[Qtde]]*vendas2026[[#This Row],[VlrUnitário]]</f>
        <v>1512</v>
      </c>
      <c r="J257" s="390">
        <f>vendas2026[[#This Row],[VlrTotal]]</f>
        <v>1512</v>
      </c>
      <c r="K257" s="392">
        <v>7.0000000000000007E-2</v>
      </c>
      <c r="L257" s="15">
        <f>vendas2026[[#This Row],[%Comissão]]*0.25</f>
        <v>1.7500000000000002E-2</v>
      </c>
      <c r="M257" s="14" t="s">
        <v>26</v>
      </c>
      <c r="N257" s="23">
        <f>vendas2026[[#This Row],[VlrTotal]]*vendas2026[[#This Row],[%Comissão]]</f>
        <v>105.84</v>
      </c>
      <c r="O257" s="14">
        <f>vendas2026[[#This Row],[VlrTotal]]*vendas2026[[#This Row],[%ComissãoSupervisor]]</f>
        <v>26.46</v>
      </c>
      <c r="P257" s="11" t="s">
        <v>36</v>
      </c>
      <c r="Q257" s="11" t="s">
        <v>37</v>
      </c>
      <c r="R257" s="11"/>
      <c r="S257" s="11">
        <v>1</v>
      </c>
      <c r="T257" s="380"/>
      <c r="U257" s="11" t="s">
        <v>38</v>
      </c>
      <c r="V257" s="16" t="s">
        <v>31</v>
      </c>
    </row>
    <row r="258" spans="1:22" x14ac:dyDescent="0.3">
      <c r="A258" s="10">
        <v>46249</v>
      </c>
      <c r="B258" s="11">
        <v>147815</v>
      </c>
      <c r="C258" s="11" t="s">
        <v>31</v>
      </c>
      <c r="D258" s="11" t="s">
        <v>3373</v>
      </c>
      <c r="E258" s="11" t="s">
        <v>584</v>
      </c>
      <c r="F258" s="11" t="s">
        <v>30</v>
      </c>
      <c r="G258" s="12">
        <v>1</v>
      </c>
      <c r="H258" s="13">
        <v>320.76</v>
      </c>
      <c r="I258" s="14">
        <f>vendas2026[[#This Row],[Qtde]]*vendas2026[[#This Row],[VlrUnitário]]</f>
        <v>320.76</v>
      </c>
      <c r="J258" s="390">
        <f>vendas2026[[#This Row],[VlrTotal]]</f>
        <v>320.76</v>
      </c>
      <c r="K258" s="392">
        <v>1</v>
      </c>
      <c r="L258" s="15">
        <f>vendas2026[[#This Row],[%Comissão]]*0.25</f>
        <v>0.25</v>
      </c>
      <c r="M258" s="14" t="s">
        <v>26</v>
      </c>
      <c r="N258" s="23">
        <f>vendas2026[[#This Row],[VlrTotal]]*vendas2026[[#This Row],[%Comissão]]</f>
        <v>320.76</v>
      </c>
      <c r="O258" s="14">
        <f>vendas2026[[#This Row],[VlrTotal]]*vendas2026[[#This Row],[%ComissãoSupervisor]]</f>
        <v>80.19</v>
      </c>
      <c r="P258" s="11" t="s">
        <v>36</v>
      </c>
      <c r="Q258" s="11" t="s">
        <v>37</v>
      </c>
      <c r="R258" s="11"/>
      <c r="S258" s="11">
        <v>1</v>
      </c>
      <c r="T258" s="380"/>
      <c r="U258" s="11" t="s">
        <v>38</v>
      </c>
      <c r="V258" s="16" t="s">
        <v>31</v>
      </c>
    </row>
    <row r="259" spans="1:22" ht="13.95" customHeight="1" x14ac:dyDescent="0.3">
      <c r="A259" s="76" t="s">
        <v>150</v>
      </c>
      <c r="B259" s="21"/>
      <c r="C259" s="21"/>
      <c r="D259" s="11"/>
      <c r="E259" s="21"/>
      <c r="F259" s="21"/>
      <c r="G259" s="22">
        <f>SUBTOTAL(109,vendas2026[Qtde])</f>
        <v>577</v>
      </c>
      <c r="H259" s="21"/>
      <c r="I259" s="23">
        <f>SUBTOTAL(109,vendas2026[VlrTotal])</f>
        <v>112693.51999999999</v>
      </c>
      <c r="J259" s="23">
        <f>SUBTOTAL(109,vendas2026[Vlr Meta])</f>
        <v>113667.51999999999</v>
      </c>
      <c r="K259" s="21"/>
      <c r="L259" s="21"/>
      <c r="M259" s="21"/>
      <c r="N259" s="23">
        <f>SUBTOTAL(109,vendas2026[[ComissãoVendedor ]])</f>
        <v>17398.623200000002</v>
      </c>
      <c r="O259" s="23">
        <f>SUBTOTAL(109,vendas2026[ComissãoSupervisor])</f>
        <v>4349.6558000000005</v>
      </c>
      <c r="P259" s="21"/>
      <c r="Q259" s="21"/>
      <c r="R259" s="21"/>
      <c r="S259" s="21"/>
      <c r="T259" s="381"/>
      <c r="U259" s="21"/>
      <c r="V259" s="75">
        <f>SUBTOTAL(103,vendas2026[SDR_RESPONSÁVEL])</f>
        <v>11</v>
      </c>
    </row>
    <row r="261" spans="1:22" x14ac:dyDescent="0.3">
      <c r="H261" s="196"/>
    </row>
  </sheetData>
  <pageMargins left="0.511811024" right="0.511811024" top="0.78740157499999996" bottom="0.78740157499999996" header="0.31496062000000002" footer="0.31496062000000002"/>
  <ignoredErrors>
    <ignoredError sqref="J248" formula="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showGridLines="0" topLeftCell="A9" workbookViewId="0">
      <selection activeCell="C22" sqref="C22"/>
    </sheetView>
  </sheetViews>
  <sheetFormatPr defaultRowHeight="14.4" x14ac:dyDescent="0.3"/>
  <cols>
    <col min="1" max="1" width="22.109375" bestFit="1" customWidth="1"/>
    <col min="2" max="3" width="14.44140625" bestFit="1" customWidth="1"/>
    <col min="4" max="4" width="9.44140625" bestFit="1" customWidth="1"/>
    <col min="6" max="6" width="12.109375" bestFit="1" customWidth="1"/>
  </cols>
  <sheetData>
    <row r="1" spans="1:6" x14ac:dyDescent="0.3">
      <c r="A1" s="1" t="s">
        <v>154</v>
      </c>
      <c r="D1" s="32"/>
    </row>
    <row r="3" spans="1:6" ht="15" customHeight="1" thickBot="1" x14ac:dyDescent="0.35">
      <c r="A3" s="78" t="s">
        <v>155</v>
      </c>
      <c r="B3" s="79" t="s">
        <v>156</v>
      </c>
      <c r="C3" s="79" t="s">
        <v>157</v>
      </c>
      <c r="D3" s="79" t="s">
        <v>158</v>
      </c>
    </row>
    <row r="4" spans="1:6" ht="15.6" customHeight="1" thickTop="1" thickBot="1" x14ac:dyDescent="0.35">
      <c r="A4" s="80" t="s">
        <v>159</v>
      </c>
      <c r="B4" s="81">
        <v>90000</v>
      </c>
      <c r="C4" s="82">
        <v>86455.76</v>
      </c>
      <c r="D4" s="83">
        <f>C4/B4</f>
        <v>0.96061955555555545</v>
      </c>
    </row>
    <row r="5" spans="1:6" ht="15.6" customHeight="1" thickTop="1" thickBot="1" x14ac:dyDescent="0.35">
      <c r="A5" s="80" t="s">
        <v>160</v>
      </c>
      <c r="B5" s="81">
        <v>10000</v>
      </c>
      <c r="C5" s="82">
        <v>448</v>
      </c>
      <c r="D5" s="83">
        <f>C5/B5</f>
        <v>4.48E-2</v>
      </c>
      <c r="F5" s="33"/>
    </row>
    <row r="6" spans="1:6" ht="15.6" customHeight="1" thickTop="1" thickBot="1" x14ac:dyDescent="0.35">
      <c r="A6" s="80"/>
      <c r="B6" s="80"/>
      <c r="C6" s="80"/>
      <c r="D6" s="80"/>
    </row>
    <row r="7" spans="1:6" ht="15.6" customHeight="1" thickTop="1" thickBot="1" x14ac:dyDescent="0.35">
      <c r="A7" s="78" t="s">
        <v>161</v>
      </c>
      <c r="B7" s="80"/>
      <c r="C7" s="80"/>
      <c r="D7" s="80"/>
    </row>
    <row r="8" spans="1:6" ht="15.6" customHeight="1" thickTop="1" thickBot="1" x14ac:dyDescent="0.35">
      <c r="A8" s="80" t="s">
        <v>159</v>
      </c>
      <c r="B8" s="81">
        <v>90000</v>
      </c>
      <c r="C8" s="82">
        <v>16300</v>
      </c>
      <c r="D8" s="83">
        <f>C8/B8</f>
        <v>0.18111111111111111</v>
      </c>
    </row>
    <row r="9" spans="1:6" ht="15.6" customHeight="1" thickTop="1" thickBot="1" x14ac:dyDescent="0.35">
      <c r="A9" s="80" t="s">
        <v>160</v>
      </c>
      <c r="B9" s="81">
        <v>9500</v>
      </c>
      <c r="C9" s="82">
        <v>10463.76</v>
      </c>
      <c r="D9" s="83">
        <f>C9/B9</f>
        <v>1.1014484210526316</v>
      </c>
      <c r="F9" s="33"/>
    </row>
    <row r="10" spans="1:6" ht="15.6" customHeight="1" thickTop="1" thickBot="1" x14ac:dyDescent="0.35">
      <c r="A10" s="80"/>
      <c r="B10" s="80"/>
      <c r="C10" s="80"/>
      <c r="D10" s="80"/>
    </row>
    <row r="11" spans="1:6" ht="15" customHeight="1" thickTop="1" x14ac:dyDescent="0.3"/>
    <row r="12" spans="1:6" ht="15" customHeight="1" thickBot="1" x14ac:dyDescent="0.35">
      <c r="A12" s="78" t="s">
        <v>162</v>
      </c>
      <c r="B12" s="79" t="s">
        <v>156</v>
      </c>
      <c r="C12" s="79" t="s">
        <v>157</v>
      </c>
      <c r="D12" s="79" t="s">
        <v>158</v>
      </c>
    </row>
    <row r="13" spans="1:6" ht="15.6" customHeight="1" thickTop="1" thickBot="1" x14ac:dyDescent="0.35">
      <c r="A13" s="80" t="s">
        <v>159</v>
      </c>
      <c r="B13" s="81">
        <v>90000</v>
      </c>
      <c r="C13" s="82">
        <v>0</v>
      </c>
      <c r="D13" s="83">
        <f>C13/B13</f>
        <v>0</v>
      </c>
    </row>
    <row r="14" spans="1:6" ht="15.6" customHeight="1" thickTop="1" thickBot="1" x14ac:dyDescent="0.35">
      <c r="A14" s="80" t="s">
        <v>160</v>
      </c>
      <c r="B14" s="81">
        <v>10000</v>
      </c>
      <c r="C14" s="82">
        <v>0</v>
      </c>
      <c r="D14" s="83">
        <f>C14/B14</f>
        <v>0</v>
      </c>
      <c r="F14" s="33"/>
    </row>
    <row r="15" spans="1:6" ht="15" customHeight="1" thickTop="1" x14ac:dyDescent="0.3"/>
    <row r="16" spans="1:6" ht="15" customHeight="1" thickBot="1" x14ac:dyDescent="0.35">
      <c r="A16" s="78" t="s">
        <v>142</v>
      </c>
      <c r="B16" s="79" t="s">
        <v>156</v>
      </c>
      <c r="C16" s="79" t="s">
        <v>157</v>
      </c>
      <c r="D16" s="79" t="s">
        <v>158</v>
      </c>
    </row>
    <row r="17" spans="1:6" ht="15.6" customHeight="1" thickTop="1" thickBot="1" x14ac:dyDescent="0.35">
      <c r="A17" s="80" t="s">
        <v>159</v>
      </c>
      <c r="B17" s="81">
        <v>54000</v>
      </c>
      <c r="C17" s="82">
        <v>0</v>
      </c>
      <c r="D17" s="83">
        <f>C17/B17</f>
        <v>0</v>
      </c>
    </row>
    <row r="18" spans="1:6" ht="15.6" customHeight="1" thickTop="1" thickBot="1" x14ac:dyDescent="0.35">
      <c r="A18" s="80" t="s">
        <v>160</v>
      </c>
      <c r="B18" s="81">
        <v>7500</v>
      </c>
      <c r="C18" s="82">
        <v>0</v>
      </c>
      <c r="D18" s="83">
        <f>C18/B18</f>
        <v>0</v>
      </c>
    </row>
    <row r="19" spans="1:6" ht="15" customHeight="1" thickTop="1" x14ac:dyDescent="0.3"/>
    <row r="20" spans="1:6" ht="15" customHeight="1" thickBot="1" x14ac:dyDescent="0.35">
      <c r="A20" s="78" t="s">
        <v>163</v>
      </c>
      <c r="B20" s="79" t="s">
        <v>156</v>
      </c>
      <c r="C20" s="79" t="s">
        <v>157</v>
      </c>
      <c r="D20" s="79" t="s">
        <v>158</v>
      </c>
      <c r="F20" s="33"/>
    </row>
    <row r="21" spans="1:6" ht="15.6" customHeight="1" thickTop="1" thickBot="1" x14ac:dyDescent="0.35">
      <c r="A21" s="80" t="s">
        <v>159</v>
      </c>
      <c r="B21" s="81">
        <v>90000</v>
      </c>
      <c r="C21" s="82">
        <v>0</v>
      </c>
      <c r="D21" s="83">
        <f>C21/B21</f>
        <v>0</v>
      </c>
    </row>
    <row r="22" spans="1:6" ht="15.6" customHeight="1" thickTop="1" thickBot="1" x14ac:dyDescent="0.35">
      <c r="A22" s="80" t="s">
        <v>160</v>
      </c>
      <c r="B22" s="81">
        <v>10000</v>
      </c>
      <c r="C22" s="82">
        <v>0</v>
      </c>
      <c r="D22" s="83">
        <f>C22/B22</f>
        <v>0</v>
      </c>
    </row>
    <row r="23" spans="1:6" ht="15" customHeight="1" thickTop="1" x14ac:dyDescent="0.3"/>
    <row r="24" spans="1:6" ht="15" customHeight="1" thickBot="1" x14ac:dyDescent="0.35">
      <c r="A24" s="84" t="s">
        <v>164</v>
      </c>
      <c r="B24" s="85">
        <f>90000*4</f>
        <v>360000</v>
      </c>
      <c r="C24" s="85">
        <f>C4+C8+C13+C21+C17</f>
        <v>102755.76</v>
      </c>
      <c r="D24" s="86">
        <f>C24/B24</f>
        <v>0.28543266666666667</v>
      </c>
    </row>
    <row r="25" spans="1:6" ht="15.6" customHeight="1" thickTop="1" thickBot="1" x14ac:dyDescent="0.35">
      <c r="A25" s="84" t="s">
        <v>165</v>
      </c>
      <c r="B25" s="87">
        <f>B9+B14+B18+B5</f>
        <v>37000</v>
      </c>
      <c r="C25" s="87">
        <f>C5+C9+C14+C18</f>
        <v>10911.76</v>
      </c>
      <c r="D25" s="88">
        <f>C25/B25</f>
        <v>0.29491243243243243</v>
      </c>
      <c r="F25" s="189"/>
    </row>
    <row r="26" spans="1:6" ht="15" customHeight="1" thickTop="1" x14ac:dyDescent="0.3">
      <c r="D26" s="33"/>
    </row>
    <row r="27" spans="1:6" ht="15" customHeight="1" thickBot="1" x14ac:dyDescent="0.35">
      <c r="A27" s="78" t="s">
        <v>166</v>
      </c>
      <c r="B27" s="79" t="s">
        <v>156</v>
      </c>
      <c r="C27" s="79" t="s">
        <v>157</v>
      </c>
      <c r="D27" s="79" t="s">
        <v>158</v>
      </c>
    </row>
    <row r="28" spans="1:6" ht="15.6" customHeight="1" thickTop="1" thickBot="1" x14ac:dyDescent="0.35">
      <c r="A28" s="80" t="s">
        <v>159</v>
      </c>
      <c r="B28" s="85">
        <f>90000*4</f>
        <v>360000</v>
      </c>
      <c r="C28" s="89">
        <f>C4+C8+C13+C17</f>
        <v>102755.76</v>
      </c>
      <c r="D28" s="86">
        <f>C28/B28</f>
        <v>0.28543266666666667</v>
      </c>
    </row>
    <row r="29" spans="1:6" ht="15.6" customHeight="1" thickTop="1" thickBot="1" x14ac:dyDescent="0.35">
      <c r="A29" s="80" t="s">
        <v>160</v>
      </c>
      <c r="B29" s="85">
        <f>B25</f>
        <v>37000</v>
      </c>
      <c r="C29" s="89">
        <f>C9+C14+C18+C5</f>
        <v>10911.76</v>
      </c>
      <c r="D29" s="86">
        <f>C29/B29</f>
        <v>0.29491243243243243</v>
      </c>
    </row>
    <row r="30" spans="1:6" ht="15" customHeight="1" thickTop="1" x14ac:dyDescent="0.3"/>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D2C9"/>
  </sheetPr>
  <dimension ref="A1:AD109"/>
  <sheetViews>
    <sheetView showGridLines="0" tabSelected="1" topLeftCell="M1" zoomScale="90" zoomScaleNormal="90" workbookViewId="0">
      <pane xSplit="3" ySplit="1" topLeftCell="P50" activePane="bottomRight" state="frozen"/>
      <selection activeCell="M1" sqref="M1"/>
      <selection pane="topRight" activeCell="P1" sqref="P1"/>
      <selection pane="bottomLeft" activeCell="M2" sqref="M2"/>
      <selection pane="bottomRight" activeCell="Q65" sqref="Q65"/>
    </sheetView>
  </sheetViews>
  <sheetFormatPr defaultRowHeight="14.4" x14ac:dyDescent="0.3"/>
  <cols>
    <col min="1" max="1" width="19" hidden="1" customWidth="1"/>
    <col min="2" max="2" width="7.33203125" hidden="1" customWidth="1"/>
    <col min="3" max="3" width="10.6640625" hidden="1" customWidth="1"/>
    <col min="4" max="4" width="14.44140625" hidden="1" customWidth="1"/>
    <col min="5" max="5" width="15.44140625" hidden="1" customWidth="1"/>
    <col min="6" max="6" width="7.33203125" hidden="1" customWidth="1"/>
    <col min="7" max="7" width="12.109375" hidden="1" customWidth="1"/>
    <col min="8" max="8" width="14.44140625" hidden="1" customWidth="1"/>
    <col min="9" max="9" width="15.44140625" hidden="1" customWidth="1"/>
    <col min="10" max="10" width="7.33203125" hidden="1" customWidth="1"/>
    <col min="11" max="11" width="10.6640625" hidden="1" customWidth="1"/>
    <col min="12" max="12" width="14.44140625" hidden="1" customWidth="1"/>
    <col min="13" max="14" width="12.88671875" style="32" bestFit="1" customWidth="1"/>
    <col min="15" max="15" width="17.88671875" bestFit="1" customWidth="1"/>
    <col min="16" max="16" width="10" bestFit="1" customWidth="1"/>
    <col min="17" max="17" width="10.88671875" customWidth="1"/>
    <col min="18" max="18" width="10.6640625" customWidth="1"/>
    <col min="19" max="19" width="14.44140625" customWidth="1"/>
    <col min="20" max="20" width="16.44140625" customWidth="1"/>
    <col min="21" max="21" width="18" bestFit="1" customWidth="1"/>
    <col min="22" max="22" width="12.44140625" bestFit="1" customWidth="1"/>
    <col min="23" max="23" width="14.6640625" customWidth="1"/>
    <col min="24" max="24" width="14" customWidth="1"/>
    <col min="25" max="25" width="17.5546875" customWidth="1"/>
    <col min="26" max="26" width="14.6640625" customWidth="1"/>
    <col min="27" max="27" width="14.109375" bestFit="1" customWidth="1"/>
    <col min="28" max="28" width="13.44140625" bestFit="1" customWidth="1"/>
    <col min="29" max="29" width="12.109375" bestFit="1" customWidth="1"/>
  </cols>
  <sheetData>
    <row r="1" spans="1:30" x14ac:dyDescent="0.3">
      <c r="A1" s="47" t="s">
        <v>167</v>
      </c>
      <c r="B1" s="47"/>
      <c r="C1" s="47"/>
      <c r="D1" s="47"/>
      <c r="E1" s="47"/>
      <c r="F1" s="47"/>
      <c r="G1" s="47"/>
      <c r="H1" s="47"/>
      <c r="I1" s="47"/>
      <c r="J1" s="47"/>
      <c r="K1" s="47"/>
      <c r="L1" s="47"/>
      <c r="M1" s="48" t="s">
        <v>168</v>
      </c>
      <c r="N1" s="48" t="s">
        <v>169</v>
      </c>
      <c r="O1" s="48" t="s">
        <v>2</v>
      </c>
      <c r="P1" s="48" t="s">
        <v>170</v>
      </c>
      <c r="Q1" s="49" t="s">
        <v>171</v>
      </c>
      <c r="R1" s="49" t="s">
        <v>172</v>
      </c>
      <c r="S1" s="49" t="s">
        <v>173</v>
      </c>
      <c r="T1" s="49" t="s">
        <v>166</v>
      </c>
      <c r="U1" s="49" t="s">
        <v>174</v>
      </c>
      <c r="V1" s="49" t="s">
        <v>175</v>
      </c>
      <c r="W1" s="50" t="s">
        <v>176</v>
      </c>
      <c r="X1" s="50" t="s">
        <v>177</v>
      </c>
      <c r="Y1" s="243" t="s">
        <v>178</v>
      </c>
      <c r="Z1" s="50" t="s">
        <v>179</v>
      </c>
      <c r="AA1" s="50" t="s">
        <v>180</v>
      </c>
      <c r="AB1" s="244" t="s">
        <v>181</v>
      </c>
      <c r="AC1" s="50" t="s">
        <v>182</v>
      </c>
      <c r="AD1" s="51"/>
    </row>
    <row r="2" spans="1:30" x14ac:dyDescent="0.3">
      <c r="A2" s="47" t="s">
        <v>183</v>
      </c>
      <c r="B2" s="47"/>
      <c r="C2" s="47"/>
      <c r="D2" s="47"/>
      <c r="E2" s="47"/>
      <c r="F2" s="47"/>
      <c r="G2" s="47"/>
      <c r="H2" s="47"/>
      <c r="I2" s="47"/>
      <c r="J2" s="47"/>
      <c r="K2" s="47"/>
      <c r="L2" s="47"/>
      <c r="M2" s="238" t="s">
        <v>184</v>
      </c>
      <c r="N2" s="52">
        <v>45658</v>
      </c>
      <c r="O2" s="52" t="s">
        <v>31</v>
      </c>
      <c r="P2" s="52"/>
      <c r="Q2" s="32">
        <f>C5</f>
        <v>33</v>
      </c>
      <c r="R2" s="32">
        <f>C6</f>
        <v>18</v>
      </c>
      <c r="S2" s="53">
        <f>C7</f>
        <v>926.64</v>
      </c>
      <c r="T2" s="53">
        <f>C8</f>
        <v>32622.62</v>
      </c>
      <c r="U2" s="53">
        <f>C9</f>
        <v>62289.8</v>
      </c>
      <c r="V2" s="376">
        <v>150</v>
      </c>
      <c r="W2">
        <v>15</v>
      </c>
      <c r="X2">
        <v>12</v>
      </c>
      <c r="Y2" s="236">
        <v>10</v>
      </c>
      <c r="Z2" s="236">
        <v>30</v>
      </c>
      <c r="AA2" s="54">
        <v>90000</v>
      </c>
      <c r="AB2" s="35">
        <f>metas[[#This Row],[Meta Individual]]/10000</f>
        <v>9.2663999999999996E-2</v>
      </c>
      <c r="AC2" s="245">
        <f>metas[[#This Row],[Meta Equipe]]/30000/3</f>
        <v>0.36247355555555555</v>
      </c>
    </row>
    <row r="3" spans="1:30" x14ac:dyDescent="0.3">
      <c r="A3" s="47" t="s">
        <v>185</v>
      </c>
      <c r="B3" s="47"/>
      <c r="C3" s="47"/>
      <c r="D3" s="47"/>
      <c r="E3" s="47" t="s">
        <v>186</v>
      </c>
      <c r="F3" s="47"/>
      <c r="G3" s="47"/>
      <c r="H3" s="47"/>
      <c r="I3" s="47" t="s">
        <v>187</v>
      </c>
      <c r="J3" s="47"/>
      <c r="K3" s="47"/>
      <c r="L3" s="47"/>
      <c r="M3" s="238" t="s">
        <v>184</v>
      </c>
      <c r="N3" s="52">
        <v>45658</v>
      </c>
      <c r="O3" s="32" t="s">
        <v>44</v>
      </c>
      <c r="P3" s="32"/>
      <c r="Q3" s="32">
        <f>G5</f>
        <v>14</v>
      </c>
      <c r="R3" s="32">
        <f>G6</f>
        <v>12</v>
      </c>
      <c r="S3" s="53">
        <f>G7</f>
        <v>31339.58</v>
      </c>
      <c r="T3" s="53">
        <f>G8</f>
        <v>32622.62</v>
      </c>
      <c r="U3" s="53">
        <f>G9</f>
        <v>315102.82</v>
      </c>
      <c r="V3" s="376">
        <v>150</v>
      </c>
      <c r="W3">
        <v>15</v>
      </c>
      <c r="X3">
        <v>12</v>
      </c>
      <c r="Y3" s="236">
        <v>10</v>
      </c>
      <c r="Z3" s="236">
        <v>30</v>
      </c>
      <c r="AA3" s="54">
        <v>90000</v>
      </c>
      <c r="AB3" s="35">
        <f>metas[[#This Row],[Meta Individual]]/10000</f>
        <v>3.1339580000000002</v>
      </c>
      <c r="AC3" s="245">
        <f>metas[[#This Row],[Meta Equipe]]/30000/3</f>
        <v>0.36247355555555555</v>
      </c>
    </row>
    <row r="4" spans="1:30" x14ac:dyDescent="0.3">
      <c r="A4" s="47"/>
      <c r="B4" s="47" t="s">
        <v>156</v>
      </c>
      <c r="C4" s="47" t="s">
        <v>188</v>
      </c>
      <c r="D4" s="47" t="s">
        <v>158</v>
      </c>
      <c r="E4" s="47"/>
      <c r="F4" s="47" t="s">
        <v>156</v>
      </c>
      <c r="G4" s="47" t="s">
        <v>188</v>
      </c>
      <c r="H4" s="47" t="s">
        <v>158</v>
      </c>
      <c r="I4" s="47"/>
      <c r="J4" s="47" t="s">
        <v>156</v>
      </c>
      <c r="K4" s="47" t="s">
        <v>188</v>
      </c>
      <c r="L4" s="47" t="s">
        <v>158</v>
      </c>
      <c r="M4" s="238" t="s">
        <v>184</v>
      </c>
      <c r="N4" s="52">
        <v>45658</v>
      </c>
      <c r="O4" s="32" t="s">
        <v>22</v>
      </c>
      <c r="P4" s="32"/>
      <c r="Q4" s="32">
        <f>K5</f>
        <v>15</v>
      </c>
      <c r="R4" s="32">
        <f>K6</f>
        <v>16</v>
      </c>
      <c r="S4" s="53">
        <f>K7</f>
        <v>356.4</v>
      </c>
      <c r="T4" s="53">
        <f>K8</f>
        <v>32622.62</v>
      </c>
      <c r="U4" s="53">
        <f>K9</f>
        <v>14022.08</v>
      </c>
      <c r="V4" s="376">
        <v>150</v>
      </c>
      <c r="W4">
        <v>15</v>
      </c>
      <c r="X4">
        <v>12</v>
      </c>
      <c r="Y4" s="236">
        <v>10</v>
      </c>
      <c r="Z4" s="236">
        <v>30</v>
      </c>
      <c r="AA4" s="54">
        <v>90000</v>
      </c>
      <c r="AB4" s="35">
        <f>metas[[#This Row],[Meta Individual]]/10000</f>
        <v>3.5639999999999998E-2</v>
      </c>
      <c r="AC4" s="245">
        <f>metas[[#This Row],[Meta Equipe]]/30000/3</f>
        <v>0.36247355555555555</v>
      </c>
    </row>
    <row r="5" spans="1:30" x14ac:dyDescent="0.3">
      <c r="A5" t="s">
        <v>189</v>
      </c>
      <c r="B5">
        <v>15</v>
      </c>
      <c r="C5">
        <v>33</v>
      </c>
      <c r="D5">
        <v>2.2000000000000002</v>
      </c>
      <c r="E5" t="s">
        <v>189</v>
      </c>
      <c r="F5">
        <v>15</v>
      </c>
      <c r="G5">
        <v>14</v>
      </c>
      <c r="H5">
        <v>0.93333333333333335</v>
      </c>
      <c r="I5" t="s">
        <v>189</v>
      </c>
      <c r="J5">
        <v>15</v>
      </c>
      <c r="K5">
        <v>15</v>
      </c>
      <c r="L5">
        <v>1</v>
      </c>
      <c r="M5" s="238" t="s">
        <v>184</v>
      </c>
      <c r="N5" s="52">
        <v>45689</v>
      </c>
      <c r="O5" s="52" t="s">
        <v>31</v>
      </c>
      <c r="P5" s="52"/>
      <c r="Q5" s="32">
        <f>C15</f>
        <v>23</v>
      </c>
      <c r="R5" s="32">
        <f>C16</f>
        <v>22</v>
      </c>
      <c r="S5" s="53">
        <f>C17</f>
        <v>1288.03</v>
      </c>
      <c r="T5" s="53">
        <f>C18</f>
        <v>14565.4</v>
      </c>
      <c r="U5" s="53">
        <f>C19</f>
        <v>85015.22</v>
      </c>
      <c r="V5" s="376">
        <v>150</v>
      </c>
      <c r="W5">
        <v>15</v>
      </c>
      <c r="X5">
        <v>12</v>
      </c>
      <c r="Y5" s="236">
        <v>10</v>
      </c>
      <c r="Z5" s="236">
        <v>30</v>
      </c>
      <c r="AA5" s="54">
        <v>90000</v>
      </c>
      <c r="AB5" s="35">
        <f>metas[[#This Row],[Meta Individual]]/10000</f>
        <v>0.128803</v>
      </c>
      <c r="AC5" s="245">
        <f>metas[[#This Row],[Meta Equipe]]/30000/3</f>
        <v>0.16183777777777777</v>
      </c>
    </row>
    <row r="6" spans="1:30" x14ac:dyDescent="0.3">
      <c r="A6" t="s">
        <v>190</v>
      </c>
      <c r="B6">
        <v>12</v>
      </c>
      <c r="C6">
        <v>18</v>
      </c>
      <c r="D6">
        <v>1.5</v>
      </c>
      <c r="E6" t="s">
        <v>190</v>
      </c>
      <c r="F6">
        <v>12</v>
      </c>
      <c r="G6">
        <v>12</v>
      </c>
      <c r="H6">
        <v>1</v>
      </c>
      <c r="I6" t="s">
        <v>190</v>
      </c>
      <c r="J6">
        <v>12</v>
      </c>
      <c r="K6">
        <v>16</v>
      </c>
      <c r="L6">
        <v>1.333333333333333</v>
      </c>
      <c r="M6" s="238" t="s">
        <v>184</v>
      </c>
      <c r="N6" s="52">
        <v>45689</v>
      </c>
      <c r="O6" s="32" t="s">
        <v>44</v>
      </c>
      <c r="P6" s="32"/>
      <c r="Q6" s="32">
        <f>G15</f>
        <v>16</v>
      </c>
      <c r="R6" s="32">
        <f>G16</f>
        <v>16</v>
      </c>
      <c r="S6" s="53">
        <f>G17</f>
        <v>11189.93</v>
      </c>
      <c r="T6" s="53">
        <f>G18</f>
        <v>14565.4</v>
      </c>
      <c r="U6" s="53">
        <f>G19</f>
        <v>121887.86</v>
      </c>
      <c r="V6" s="376">
        <v>150</v>
      </c>
      <c r="W6">
        <v>15</v>
      </c>
      <c r="X6">
        <v>12</v>
      </c>
      <c r="Y6" s="236">
        <v>10</v>
      </c>
      <c r="Z6" s="236">
        <v>30</v>
      </c>
      <c r="AA6" s="54">
        <v>90000</v>
      </c>
      <c r="AB6" s="35">
        <f>metas[[#This Row],[Meta Individual]]/10000</f>
        <v>1.1189930000000001</v>
      </c>
      <c r="AC6" s="245">
        <f>metas[[#This Row],[Meta Equipe]]/30000/3</f>
        <v>0.16183777777777777</v>
      </c>
    </row>
    <row r="7" spans="1:30" x14ac:dyDescent="0.3">
      <c r="A7" t="s">
        <v>173</v>
      </c>
      <c r="B7">
        <v>10000</v>
      </c>
      <c r="C7">
        <v>926.64</v>
      </c>
      <c r="D7">
        <v>9.2663999999999996E-2</v>
      </c>
      <c r="E7" t="s">
        <v>173</v>
      </c>
      <c r="F7">
        <v>10000</v>
      </c>
      <c r="G7">
        <v>31339.58</v>
      </c>
      <c r="H7">
        <v>3.1339579999999998</v>
      </c>
      <c r="I7" t="s">
        <v>173</v>
      </c>
      <c r="J7">
        <v>10000</v>
      </c>
      <c r="K7">
        <v>356.4</v>
      </c>
      <c r="L7">
        <v>3.5639999999999998E-2</v>
      </c>
      <c r="M7" s="238" t="s">
        <v>184</v>
      </c>
      <c r="N7" s="52">
        <v>45689</v>
      </c>
      <c r="O7" s="32" t="s">
        <v>22</v>
      </c>
      <c r="P7" s="32"/>
      <c r="Q7" s="32">
        <f>K15</f>
        <v>9</v>
      </c>
      <c r="R7" s="32">
        <f>K16</f>
        <v>21</v>
      </c>
      <c r="S7" s="53">
        <f>K17</f>
        <v>2087.44</v>
      </c>
      <c r="T7" s="53">
        <f>K18</f>
        <v>14565.4</v>
      </c>
      <c r="U7" s="53">
        <f>K19</f>
        <v>19104</v>
      </c>
      <c r="V7" s="376">
        <v>150</v>
      </c>
      <c r="W7">
        <v>15</v>
      </c>
      <c r="X7">
        <v>12</v>
      </c>
      <c r="Y7" s="236">
        <v>10</v>
      </c>
      <c r="Z7" s="236">
        <v>30</v>
      </c>
      <c r="AA7" s="54">
        <v>90000</v>
      </c>
      <c r="AB7" s="35">
        <f>metas[[#This Row],[Meta Individual]]/10000</f>
        <v>0.20874400000000001</v>
      </c>
      <c r="AC7" s="245">
        <f>metas[[#This Row],[Meta Equipe]]/30000/3</f>
        <v>0.16183777777777777</v>
      </c>
    </row>
    <row r="8" spans="1:30" x14ac:dyDescent="0.3">
      <c r="A8" t="s">
        <v>166</v>
      </c>
      <c r="B8">
        <v>30000</v>
      </c>
      <c r="C8">
        <v>32622.62</v>
      </c>
      <c r="D8">
        <v>1.087420666666667</v>
      </c>
      <c r="E8" t="s">
        <v>166</v>
      </c>
      <c r="F8">
        <v>30000</v>
      </c>
      <c r="G8">
        <v>32622.62</v>
      </c>
      <c r="H8">
        <v>1.087420666666667</v>
      </c>
      <c r="I8" t="s">
        <v>166</v>
      </c>
      <c r="J8">
        <v>30000</v>
      </c>
      <c r="K8">
        <v>32622.62</v>
      </c>
      <c r="L8">
        <v>1.087420666666667</v>
      </c>
      <c r="M8" s="238" t="s">
        <v>184</v>
      </c>
      <c r="N8" s="52">
        <v>45717</v>
      </c>
      <c r="O8" s="52" t="s">
        <v>31</v>
      </c>
      <c r="P8" s="52"/>
      <c r="Q8" s="32">
        <f>C25</f>
        <v>17</v>
      </c>
      <c r="R8" s="32">
        <f>C26</f>
        <v>7</v>
      </c>
      <c r="S8" s="53">
        <f>C27</f>
        <v>6712.41</v>
      </c>
      <c r="T8" s="53">
        <f>C28</f>
        <v>14901.7</v>
      </c>
      <c r="U8" s="53">
        <f>C29</f>
        <v>111207.36</v>
      </c>
      <c r="V8" s="376">
        <v>150</v>
      </c>
      <c r="W8">
        <v>15</v>
      </c>
      <c r="X8">
        <v>12</v>
      </c>
      <c r="Y8" s="236">
        <v>10</v>
      </c>
      <c r="Z8" s="236">
        <v>30</v>
      </c>
      <c r="AA8" s="54">
        <v>90000</v>
      </c>
      <c r="AB8" s="35">
        <f>metas[[#This Row],[Meta Individual]]/10000</f>
        <v>0.67124099999999998</v>
      </c>
      <c r="AC8" s="245">
        <f>metas[[#This Row],[Meta Equipe]]/30000/3</f>
        <v>0.16557444444444444</v>
      </c>
    </row>
    <row r="9" spans="1:30" x14ac:dyDescent="0.3">
      <c r="A9" t="s">
        <v>174</v>
      </c>
      <c r="B9">
        <v>90000</v>
      </c>
      <c r="C9">
        <v>62289.8</v>
      </c>
      <c r="D9">
        <v>0.69210888888888888</v>
      </c>
      <c r="E9" t="s">
        <v>174</v>
      </c>
      <c r="F9">
        <v>90000</v>
      </c>
      <c r="G9">
        <v>315102.82</v>
      </c>
      <c r="H9">
        <v>3.501142444444445</v>
      </c>
      <c r="I9" t="s">
        <v>174</v>
      </c>
      <c r="J9">
        <v>90000</v>
      </c>
      <c r="K9">
        <v>14022.08</v>
      </c>
      <c r="L9">
        <v>0.15580088888888891</v>
      </c>
      <c r="M9" s="238" t="s">
        <v>184</v>
      </c>
      <c r="N9" s="52">
        <v>45717</v>
      </c>
      <c r="O9" s="32" t="s">
        <v>44</v>
      </c>
      <c r="P9" s="32"/>
      <c r="Q9" s="32">
        <f>G25</f>
        <v>17</v>
      </c>
      <c r="R9" s="32">
        <f>G26</f>
        <v>12</v>
      </c>
      <c r="S9" s="53">
        <f>G27</f>
        <v>3064.57</v>
      </c>
      <c r="T9" s="53">
        <f>G28</f>
        <v>14901.7</v>
      </c>
      <c r="U9" s="53">
        <f>G29</f>
        <v>70833.33</v>
      </c>
      <c r="V9" s="376">
        <v>150</v>
      </c>
      <c r="W9">
        <v>15</v>
      </c>
      <c r="X9">
        <v>12</v>
      </c>
      <c r="Y9" s="236">
        <v>10</v>
      </c>
      <c r="Z9" s="236">
        <v>30</v>
      </c>
      <c r="AA9" s="54">
        <v>90000</v>
      </c>
      <c r="AB9" s="35">
        <f>metas[[#This Row],[Meta Individual]]/10000</f>
        <v>0.30645700000000003</v>
      </c>
      <c r="AC9" s="245">
        <f>metas[[#This Row],[Meta Equipe]]/30000/3</f>
        <v>0.16557444444444444</v>
      </c>
    </row>
    <row r="10" spans="1:30" x14ac:dyDescent="0.3">
      <c r="A10" s="47"/>
      <c r="B10" s="47"/>
      <c r="C10" s="47"/>
      <c r="D10" s="47"/>
      <c r="E10" s="47"/>
      <c r="F10" s="47"/>
      <c r="G10" s="47"/>
      <c r="H10" s="47"/>
      <c r="I10" s="47"/>
      <c r="J10" s="47"/>
      <c r="K10" s="47"/>
      <c r="L10" s="47"/>
      <c r="M10" s="238" t="s">
        <v>184</v>
      </c>
      <c r="N10" s="52">
        <v>45717</v>
      </c>
      <c r="O10" s="32" t="s">
        <v>22</v>
      </c>
      <c r="P10" s="32"/>
      <c r="Q10" s="32">
        <f>K25</f>
        <v>4</v>
      </c>
      <c r="R10" s="32">
        <f>K26</f>
        <v>4</v>
      </c>
      <c r="S10" s="53">
        <f>K27</f>
        <v>5124.72</v>
      </c>
      <c r="T10" s="53">
        <f>K28</f>
        <v>14901.7</v>
      </c>
      <c r="U10" s="53">
        <f>K29</f>
        <v>73632</v>
      </c>
      <c r="V10" s="376">
        <v>150</v>
      </c>
      <c r="W10">
        <v>15</v>
      </c>
      <c r="X10">
        <v>12</v>
      </c>
      <c r="Y10" s="236">
        <v>10</v>
      </c>
      <c r="Z10" s="236">
        <v>30</v>
      </c>
      <c r="AA10" s="54">
        <v>90000</v>
      </c>
      <c r="AB10" s="35">
        <f>metas[[#This Row],[Meta Individual]]/10000</f>
        <v>0.51247200000000004</v>
      </c>
      <c r="AC10" s="245">
        <f>metas[[#This Row],[Meta Equipe]]/30000/3</f>
        <v>0.16557444444444444</v>
      </c>
    </row>
    <row r="11" spans="1:30" x14ac:dyDescent="0.3">
      <c r="A11" s="47" t="s">
        <v>191</v>
      </c>
      <c r="B11" s="47"/>
      <c r="C11" s="47"/>
      <c r="D11" s="47"/>
      <c r="E11" s="47"/>
      <c r="F11" s="47"/>
      <c r="G11" s="47"/>
      <c r="H11" s="47"/>
      <c r="I11" s="47"/>
      <c r="J11" s="47"/>
      <c r="K11" s="47"/>
      <c r="L11" s="47"/>
      <c r="M11" s="238" t="s">
        <v>184</v>
      </c>
      <c r="N11" s="52">
        <v>45748</v>
      </c>
      <c r="O11" s="52" t="s">
        <v>31</v>
      </c>
      <c r="P11" s="52"/>
      <c r="Q11" s="32">
        <f>C35</f>
        <v>29</v>
      </c>
      <c r="R11" s="32">
        <f>C36</f>
        <v>15</v>
      </c>
      <c r="S11" s="53">
        <f>C37</f>
        <v>193</v>
      </c>
      <c r="T11" s="53">
        <f>C38</f>
        <v>13345.68</v>
      </c>
      <c r="U11" s="53">
        <f>C39</f>
        <v>29258.82</v>
      </c>
      <c r="V11" s="376">
        <v>150</v>
      </c>
      <c r="W11">
        <v>15</v>
      </c>
      <c r="X11">
        <v>12</v>
      </c>
      <c r="Y11" s="236">
        <v>10</v>
      </c>
      <c r="Z11" s="236">
        <v>30</v>
      </c>
      <c r="AA11" s="54">
        <v>90000</v>
      </c>
      <c r="AB11" s="35">
        <f>metas[[#This Row],[Meta Individual]]/10000</f>
        <v>1.9300000000000001E-2</v>
      </c>
      <c r="AC11" s="245">
        <f>metas[[#This Row],[Meta Equipe]]/30000/3</f>
        <v>0.14828533333333335</v>
      </c>
    </row>
    <row r="12" spans="1:30" x14ac:dyDescent="0.3">
      <c r="A12" s="47" t="s">
        <v>183</v>
      </c>
      <c r="B12" s="47"/>
      <c r="C12" s="47"/>
      <c r="D12" s="47"/>
      <c r="E12" s="47"/>
      <c r="F12" s="47"/>
      <c r="G12" s="47"/>
      <c r="H12" s="47"/>
      <c r="I12" s="47"/>
      <c r="J12" s="47"/>
      <c r="K12" s="47"/>
      <c r="L12" s="47"/>
      <c r="M12" s="238" t="s">
        <v>184</v>
      </c>
      <c r="N12" s="52">
        <v>45748</v>
      </c>
      <c r="O12" s="32" t="s">
        <v>44</v>
      </c>
      <c r="P12" s="32"/>
      <c r="Q12" s="32">
        <f>G35</f>
        <v>15</v>
      </c>
      <c r="R12" s="32">
        <f>G36</f>
        <v>13</v>
      </c>
      <c r="S12" s="53">
        <f>G37</f>
        <v>11064.68</v>
      </c>
      <c r="T12" s="53">
        <f>G38</f>
        <v>13345.68</v>
      </c>
      <c r="U12" s="53">
        <f>G39</f>
        <v>124112.08</v>
      </c>
      <c r="V12" s="376">
        <v>150</v>
      </c>
      <c r="W12">
        <v>15</v>
      </c>
      <c r="X12">
        <v>12</v>
      </c>
      <c r="Y12" s="236">
        <v>10</v>
      </c>
      <c r="Z12" s="236">
        <v>30</v>
      </c>
      <c r="AA12" s="54">
        <v>90000</v>
      </c>
      <c r="AB12" s="35">
        <f>metas[[#This Row],[Meta Individual]]/10000</f>
        <v>1.106468</v>
      </c>
      <c r="AC12" s="245">
        <f>metas[[#This Row],[Meta Equipe]]/30000/3</f>
        <v>0.14828533333333335</v>
      </c>
    </row>
    <row r="13" spans="1:30" x14ac:dyDescent="0.3">
      <c r="A13" s="47" t="s">
        <v>185</v>
      </c>
      <c r="B13" s="47"/>
      <c r="C13" s="47"/>
      <c r="D13" s="47"/>
      <c r="E13" s="47" t="s">
        <v>186</v>
      </c>
      <c r="F13" s="47"/>
      <c r="G13" s="47"/>
      <c r="H13" s="47"/>
      <c r="I13" s="47" t="s">
        <v>187</v>
      </c>
      <c r="J13" s="47"/>
      <c r="K13" s="47"/>
      <c r="L13" s="47"/>
      <c r="M13" s="238" t="s">
        <v>184</v>
      </c>
      <c r="N13" s="52">
        <v>45748</v>
      </c>
      <c r="O13" s="32" t="s">
        <v>22</v>
      </c>
      <c r="P13" s="32"/>
      <c r="Q13" s="32">
        <f>K35</f>
        <v>5</v>
      </c>
      <c r="R13" s="32">
        <f>K36</f>
        <v>6</v>
      </c>
      <c r="S13" s="53">
        <f>K37</f>
        <v>2088</v>
      </c>
      <c r="T13" s="53">
        <f>K38</f>
        <v>13345.68</v>
      </c>
      <c r="U13" s="53">
        <f>K39</f>
        <v>32058</v>
      </c>
      <c r="V13" s="376">
        <v>150</v>
      </c>
      <c r="W13">
        <v>15</v>
      </c>
      <c r="X13">
        <v>12</v>
      </c>
      <c r="Y13" s="236">
        <v>10</v>
      </c>
      <c r="Z13" s="236">
        <v>30</v>
      </c>
      <c r="AA13" s="54">
        <v>90000</v>
      </c>
      <c r="AB13" s="35">
        <f>metas[[#This Row],[Meta Individual]]/10000</f>
        <v>0.20880000000000001</v>
      </c>
      <c r="AC13" s="245">
        <f>metas[[#This Row],[Meta Equipe]]/30000/3</f>
        <v>0.14828533333333335</v>
      </c>
    </row>
    <row r="14" spans="1:30" x14ac:dyDescent="0.3">
      <c r="A14" s="47"/>
      <c r="B14" s="47" t="s">
        <v>156</v>
      </c>
      <c r="C14" s="47" t="s">
        <v>188</v>
      </c>
      <c r="D14" s="47" t="s">
        <v>158</v>
      </c>
      <c r="E14" s="47"/>
      <c r="F14" s="47" t="s">
        <v>156</v>
      </c>
      <c r="G14" s="47" t="s">
        <v>188</v>
      </c>
      <c r="H14" s="47" t="s">
        <v>158</v>
      </c>
      <c r="I14" s="47"/>
      <c r="J14" s="47" t="s">
        <v>156</v>
      </c>
      <c r="K14" s="47" t="s">
        <v>188</v>
      </c>
      <c r="L14" s="47" t="s">
        <v>158</v>
      </c>
      <c r="M14" s="238" t="s">
        <v>184</v>
      </c>
      <c r="N14" s="52">
        <v>45778</v>
      </c>
      <c r="O14" s="52" t="s">
        <v>31</v>
      </c>
      <c r="P14" s="52"/>
      <c r="Q14" s="32">
        <f>C45</f>
        <v>23</v>
      </c>
      <c r="R14" s="32">
        <f>C46</f>
        <v>20</v>
      </c>
      <c r="S14" s="53" t="str">
        <f>C47</f>
        <v>Realizado</v>
      </c>
      <c r="T14" s="53">
        <f>C48</f>
        <v>23</v>
      </c>
      <c r="U14" s="53">
        <f>C49</f>
        <v>20</v>
      </c>
      <c r="V14" s="376">
        <v>150</v>
      </c>
      <c r="W14">
        <v>15</v>
      </c>
      <c r="X14">
        <v>12</v>
      </c>
      <c r="Y14" s="236">
        <v>10</v>
      </c>
      <c r="Z14" s="236">
        <v>30</v>
      </c>
      <c r="AA14" s="54">
        <v>90000</v>
      </c>
      <c r="AB14" s="35" t="e">
        <f>metas[[#This Row],[Meta Individual]]/10000</f>
        <v>#VALUE!</v>
      </c>
      <c r="AC14" s="245">
        <f>metas[[#This Row],[Meta Equipe]]/30000/3</f>
        <v>2.5555555555555558E-4</v>
      </c>
    </row>
    <row r="15" spans="1:30" x14ac:dyDescent="0.3">
      <c r="A15" t="s">
        <v>189</v>
      </c>
      <c r="B15">
        <v>15</v>
      </c>
      <c r="C15">
        <v>23</v>
      </c>
      <c r="D15">
        <v>1.533333333333333</v>
      </c>
      <c r="E15" t="s">
        <v>189</v>
      </c>
      <c r="F15">
        <v>15</v>
      </c>
      <c r="G15">
        <v>16</v>
      </c>
      <c r="H15">
        <v>1.0666666666666671</v>
      </c>
      <c r="I15" t="s">
        <v>189</v>
      </c>
      <c r="J15">
        <v>15</v>
      </c>
      <c r="K15">
        <v>9</v>
      </c>
      <c r="L15">
        <v>0.6</v>
      </c>
      <c r="M15" s="238" t="s">
        <v>184</v>
      </c>
      <c r="N15" s="52">
        <v>45778</v>
      </c>
      <c r="O15" s="32" t="s">
        <v>44</v>
      </c>
      <c r="P15" s="32"/>
      <c r="Q15" s="32">
        <f>G45</f>
        <v>17</v>
      </c>
      <c r="R15" s="32">
        <f>G46</f>
        <v>14</v>
      </c>
      <c r="S15" s="53" t="str">
        <f>G47</f>
        <v>Realizado</v>
      </c>
      <c r="T15" s="53">
        <f>G48</f>
        <v>17</v>
      </c>
      <c r="U15" s="53">
        <f>G49</f>
        <v>14</v>
      </c>
      <c r="V15" s="376">
        <v>150</v>
      </c>
      <c r="W15">
        <v>15</v>
      </c>
      <c r="X15">
        <v>12</v>
      </c>
      <c r="Y15" s="236">
        <v>10</v>
      </c>
      <c r="Z15" s="236">
        <v>30</v>
      </c>
      <c r="AA15" s="54">
        <v>90000</v>
      </c>
      <c r="AB15" s="35" t="e">
        <f>metas[[#This Row],[Meta Individual]]/10000</f>
        <v>#VALUE!</v>
      </c>
      <c r="AC15" s="245">
        <f>metas[[#This Row],[Meta Equipe]]/30000/3</f>
        <v>1.8888888888888891E-4</v>
      </c>
    </row>
    <row r="16" spans="1:30" x14ac:dyDescent="0.3">
      <c r="A16" t="s">
        <v>190</v>
      </c>
      <c r="B16">
        <v>12</v>
      </c>
      <c r="C16">
        <v>22</v>
      </c>
      <c r="D16">
        <v>1.833333333333333</v>
      </c>
      <c r="E16" t="s">
        <v>190</v>
      </c>
      <c r="F16">
        <v>12</v>
      </c>
      <c r="G16">
        <v>16</v>
      </c>
      <c r="H16">
        <v>1.333333333333333</v>
      </c>
      <c r="I16" t="s">
        <v>190</v>
      </c>
      <c r="J16">
        <v>12</v>
      </c>
      <c r="K16">
        <v>21</v>
      </c>
      <c r="L16">
        <v>1.75</v>
      </c>
      <c r="M16" s="238" t="s">
        <v>184</v>
      </c>
      <c r="N16" s="52">
        <v>45778</v>
      </c>
      <c r="O16" s="32" t="s">
        <v>22</v>
      </c>
      <c r="P16" s="32"/>
      <c r="Q16" s="32">
        <f>K45</f>
        <v>2</v>
      </c>
      <c r="R16" s="32">
        <f>K46</f>
        <v>1</v>
      </c>
      <c r="S16" s="53" t="str">
        <f>K47</f>
        <v>Realizado</v>
      </c>
      <c r="T16" s="53">
        <f>K48</f>
        <v>2</v>
      </c>
      <c r="U16" s="53">
        <f>K49</f>
        <v>1</v>
      </c>
      <c r="V16" s="376">
        <v>150</v>
      </c>
      <c r="W16">
        <v>15</v>
      </c>
      <c r="X16">
        <v>12</v>
      </c>
      <c r="Y16" s="236">
        <v>10</v>
      </c>
      <c r="Z16" s="236">
        <v>30</v>
      </c>
      <c r="AA16" s="54">
        <v>90000</v>
      </c>
      <c r="AB16" s="35" t="e">
        <f>metas[[#This Row],[Meta Individual]]/10000</f>
        <v>#VALUE!</v>
      </c>
      <c r="AC16" s="245">
        <f>metas[[#This Row],[Meta Equipe]]/30000/3</f>
        <v>2.2222222222222223E-5</v>
      </c>
    </row>
    <row r="17" spans="1:29" x14ac:dyDescent="0.3">
      <c r="A17" t="s">
        <v>173</v>
      </c>
      <c r="B17">
        <v>10000</v>
      </c>
      <c r="C17">
        <v>1288.03</v>
      </c>
      <c r="D17">
        <v>0.128803</v>
      </c>
      <c r="E17" t="s">
        <v>173</v>
      </c>
      <c r="F17">
        <v>10000</v>
      </c>
      <c r="G17">
        <v>11189.93</v>
      </c>
      <c r="H17">
        <v>1.1189929999999999</v>
      </c>
      <c r="I17" t="s">
        <v>173</v>
      </c>
      <c r="J17">
        <v>10000</v>
      </c>
      <c r="K17">
        <v>2087.44</v>
      </c>
      <c r="L17">
        <v>0.20874400000000001</v>
      </c>
      <c r="M17" s="238" t="s">
        <v>184</v>
      </c>
      <c r="N17" s="52">
        <v>45809</v>
      </c>
      <c r="O17" s="52" t="s">
        <v>31</v>
      </c>
      <c r="P17" s="52"/>
      <c r="Q17" s="32">
        <f>C55</f>
        <v>25</v>
      </c>
      <c r="R17" s="32">
        <f>C56</f>
        <v>19</v>
      </c>
      <c r="S17" s="53">
        <f>C57</f>
        <v>4260.96</v>
      </c>
      <c r="T17" s="53">
        <f>C58</f>
        <v>30275.77</v>
      </c>
      <c r="U17" s="53">
        <f>C59</f>
        <v>85918.58</v>
      </c>
      <c r="V17" s="376">
        <v>150</v>
      </c>
      <c r="W17">
        <v>15</v>
      </c>
      <c r="X17">
        <v>12</v>
      </c>
      <c r="Y17" s="236">
        <v>10</v>
      </c>
      <c r="Z17" s="236">
        <v>30</v>
      </c>
      <c r="AA17" s="54">
        <v>90000</v>
      </c>
      <c r="AB17" s="35">
        <f>metas[[#This Row],[Meta Individual]]/10000</f>
        <v>0.42609600000000003</v>
      </c>
      <c r="AC17" s="245">
        <f>metas[[#This Row],[Meta Equipe]]/30000/3</f>
        <v>0.33639744444444442</v>
      </c>
    </row>
    <row r="18" spans="1:29" x14ac:dyDescent="0.3">
      <c r="A18" t="s">
        <v>166</v>
      </c>
      <c r="B18">
        <v>30000</v>
      </c>
      <c r="C18">
        <v>14565.4</v>
      </c>
      <c r="D18">
        <v>0.48551333333333341</v>
      </c>
      <c r="E18" t="s">
        <v>166</v>
      </c>
      <c r="F18">
        <v>30000</v>
      </c>
      <c r="G18">
        <v>14565.4</v>
      </c>
      <c r="H18">
        <v>0.48551333333333341</v>
      </c>
      <c r="I18" t="s">
        <v>166</v>
      </c>
      <c r="J18">
        <v>30000</v>
      </c>
      <c r="K18">
        <v>14565.4</v>
      </c>
      <c r="L18">
        <v>0.48551333333333341</v>
      </c>
      <c r="M18" s="238" t="s">
        <v>184</v>
      </c>
      <c r="N18" s="52">
        <v>45809</v>
      </c>
      <c r="O18" s="32" t="s">
        <v>44</v>
      </c>
      <c r="P18" s="32"/>
      <c r="Q18" s="32">
        <f>G55</f>
        <v>18</v>
      </c>
      <c r="R18" s="32">
        <f>G56</f>
        <v>13</v>
      </c>
      <c r="S18" s="53">
        <f>G57</f>
        <v>4579.8</v>
      </c>
      <c r="T18" s="53">
        <f>G58</f>
        <v>30275.77</v>
      </c>
      <c r="U18" s="53">
        <f>G59</f>
        <v>33826.339999999997</v>
      </c>
      <c r="V18" s="376">
        <v>150</v>
      </c>
      <c r="W18">
        <v>15</v>
      </c>
      <c r="X18">
        <v>12</v>
      </c>
      <c r="Y18" s="236">
        <v>10</v>
      </c>
      <c r="Z18" s="236">
        <v>30</v>
      </c>
      <c r="AA18" s="54">
        <v>90000</v>
      </c>
      <c r="AB18" s="35">
        <f>metas[[#This Row],[Meta Individual]]/10000</f>
        <v>0.45798</v>
      </c>
      <c r="AC18" s="245">
        <f>metas[[#This Row],[Meta Equipe]]/30000/3</f>
        <v>0.33639744444444442</v>
      </c>
    </row>
    <row r="19" spans="1:29" x14ac:dyDescent="0.3">
      <c r="A19" t="s">
        <v>174</v>
      </c>
      <c r="B19">
        <v>90000</v>
      </c>
      <c r="C19">
        <v>85015.22</v>
      </c>
      <c r="D19">
        <v>0.9446135555555556</v>
      </c>
      <c r="E19" t="s">
        <v>174</v>
      </c>
      <c r="F19">
        <v>90000</v>
      </c>
      <c r="G19">
        <v>121887.86</v>
      </c>
      <c r="H19">
        <v>1.354309555555556</v>
      </c>
      <c r="I19" t="s">
        <v>174</v>
      </c>
      <c r="J19">
        <v>90000</v>
      </c>
      <c r="K19">
        <v>19104</v>
      </c>
      <c r="L19">
        <v>0.21226666666666669</v>
      </c>
      <c r="M19" s="238" t="s">
        <v>184</v>
      </c>
      <c r="N19" s="52">
        <v>45809</v>
      </c>
      <c r="O19" s="32" t="s">
        <v>22</v>
      </c>
      <c r="P19" s="32"/>
      <c r="Q19" s="32">
        <f>K55</f>
        <v>3</v>
      </c>
      <c r="R19" s="32">
        <f>K56</f>
        <v>1</v>
      </c>
      <c r="S19" s="53">
        <f>K57</f>
        <v>21435.01</v>
      </c>
      <c r="T19" s="53">
        <f>K58</f>
        <v>30275.77</v>
      </c>
      <c r="U19" s="53">
        <f>K59</f>
        <v>211246</v>
      </c>
      <c r="V19" s="376">
        <v>150</v>
      </c>
      <c r="W19">
        <v>15</v>
      </c>
      <c r="X19">
        <v>12</v>
      </c>
      <c r="Y19" s="236">
        <v>10</v>
      </c>
      <c r="Z19" s="236">
        <v>30</v>
      </c>
      <c r="AA19" s="54">
        <v>90000</v>
      </c>
      <c r="AB19" s="35">
        <f>metas[[#This Row],[Meta Individual]]/10000</f>
        <v>2.1435009999999997</v>
      </c>
      <c r="AC19" s="245">
        <f>metas[[#This Row],[Meta Equipe]]/30000/3</f>
        <v>0.33639744444444442</v>
      </c>
    </row>
    <row r="20" spans="1:29" x14ac:dyDescent="0.3">
      <c r="M20" s="238" t="s">
        <v>184</v>
      </c>
      <c r="N20" s="52">
        <v>45839</v>
      </c>
      <c r="O20" s="52" t="s">
        <v>31</v>
      </c>
      <c r="P20" s="52"/>
      <c r="Q20" s="32">
        <f>C65</f>
        <v>22</v>
      </c>
      <c r="R20" s="32">
        <f>C66</f>
        <v>14</v>
      </c>
      <c r="S20" s="53">
        <f>C67</f>
        <v>1733.34</v>
      </c>
      <c r="T20" s="53">
        <f>C68</f>
        <v>11875.9</v>
      </c>
      <c r="U20" s="53">
        <f>C69</f>
        <v>86932.5</v>
      </c>
      <c r="V20" s="376">
        <v>150</v>
      </c>
      <c r="W20">
        <v>15</v>
      </c>
      <c r="X20">
        <v>12</v>
      </c>
      <c r="Y20" s="236">
        <v>10</v>
      </c>
      <c r="Z20" s="236">
        <v>30</v>
      </c>
      <c r="AA20" s="54">
        <v>90000</v>
      </c>
      <c r="AB20" s="35">
        <f>metas[[#This Row],[Meta Individual]]/10000</f>
        <v>0.17333399999999999</v>
      </c>
      <c r="AC20" s="245">
        <f>metas[[#This Row],[Meta Equipe]]/30000/3</f>
        <v>0.13195444444444446</v>
      </c>
    </row>
    <row r="21" spans="1:29" x14ac:dyDescent="0.3">
      <c r="A21" s="47" t="s">
        <v>192</v>
      </c>
      <c r="B21" s="47"/>
      <c r="C21" s="47"/>
      <c r="D21" s="47"/>
      <c r="E21" s="47"/>
      <c r="F21" s="47"/>
      <c r="G21" s="47"/>
      <c r="H21" s="47"/>
      <c r="I21" s="47"/>
      <c r="J21" s="47"/>
      <c r="K21" s="47"/>
      <c r="L21" s="47"/>
      <c r="M21" s="238" t="s">
        <v>184</v>
      </c>
      <c r="N21" s="52">
        <v>45839</v>
      </c>
      <c r="O21" s="32" t="s">
        <v>44</v>
      </c>
      <c r="P21" s="32"/>
      <c r="Q21" s="32">
        <f>G65</f>
        <v>17</v>
      </c>
      <c r="R21" s="32">
        <f>G66</f>
        <v>12</v>
      </c>
      <c r="S21" s="53">
        <f>G67</f>
        <v>142.56</v>
      </c>
      <c r="T21" s="53">
        <f>G68</f>
        <v>11875.9</v>
      </c>
      <c r="U21" s="53">
        <f>G69</f>
        <v>6071.21</v>
      </c>
      <c r="V21" s="376">
        <v>150</v>
      </c>
      <c r="W21">
        <v>15</v>
      </c>
      <c r="X21">
        <v>12</v>
      </c>
      <c r="Y21" s="236">
        <v>10</v>
      </c>
      <c r="Z21" s="236">
        <v>30</v>
      </c>
      <c r="AA21" s="54">
        <v>90000</v>
      </c>
      <c r="AB21" s="35">
        <f>metas[[#This Row],[Meta Individual]]/10000</f>
        <v>1.4256E-2</v>
      </c>
      <c r="AC21" s="245">
        <f>metas[[#This Row],[Meta Equipe]]/30000/3</f>
        <v>0.13195444444444446</v>
      </c>
    </row>
    <row r="22" spans="1:29" x14ac:dyDescent="0.3">
      <c r="A22" s="47" t="s">
        <v>183</v>
      </c>
      <c r="B22" s="47"/>
      <c r="C22" s="47"/>
      <c r="D22" s="47"/>
      <c r="E22" s="47"/>
      <c r="F22" s="47"/>
      <c r="G22" s="47"/>
      <c r="H22" s="47"/>
      <c r="I22" s="47"/>
      <c r="J22" s="47"/>
      <c r="K22" s="47"/>
      <c r="L22" s="47"/>
      <c r="M22" s="238" t="s">
        <v>184</v>
      </c>
      <c r="N22" s="52">
        <v>45839</v>
      </c>
      <c r="O22" s="32" t="s">
        <v>22</v>
      </c>
      <c r="P22" s="32"/>
      <c r="Q22" s="32">
        <f>K65</f>
        <v>2</v>
      </c>
      <c r="R22" s="32">
        <f>K66</f>
        <v>1</v>
      </c>
      <c r="S22" s="53">
        <f>K67</f>
        <v>10000</v>
      </c>
      <c r="T22" s="53">
        <f>K68</f>
        <v>11875.9</v>
      </c>
      <c r="U22" s="53">
        <f>K69</f>
        <v>90575</v>
      </c>
      <c r="V22" s="376">
        <v>150</v>
      </c>
      <c r="W22">
        <v>15</v>
      </c>
      <c r="X22">
        <v>12</v>
      </c>
      <c r="Y22" s="236">
        <v>10</v>
      </c>
      <c r="Z22" s="236">
        <v>30</v>
      </c>
      <c r="AA22" s="54">
        <v>90000</v>
      </c>
      <c r="AB22" s="35">
        <f>metas[[#This Row],[Meta Individual]]/10000</f>
        <v>1</v>
      </c>
      <c r="AC22" s="245">
        <f>metas[[#This Row],[Meta Equipe]]/30000/3</f>
        <v>0.13195444444444446</v>
      </c>
    </row>
    <row r="23" spans="1:29" x14ac:dyDescent="0.3">
      <c r="A23" s="47" t="s">
        <v>185</v>
      </c>
      <c r="B23" s="47"/>
      <c r="C23" s="47"/>
      <c r="D23" s="47"/>
      <c r="E23" s="47" t="s">
        <v>186</v>
      </c>
      <c r="F23" s="47"/>
      <c r="G23" s="47"/>
      <c r="H23" s="47"/>
      <c r="I23" s="47" t="s">
        <v>187</v>
      </c>
      <c r="J23" s="47"/>
      <c r="K23" s="47"/>
      <c r="L23" s="47"/>
      <c r="M23" s="238" t="s">
        <v>184</v>
      </c>
      <c r="N23" s="52">
        <v>45870</v>
      </c>
      <c r="O23" s="52" t="s">
        <v>31</v>
      </c>
      <c r="P23" s="52"/>
      <c r="Q23" s="32">
        <f>C75</f>
        <v>25</v>
      </c>
      <c r="R23" s="32">
        <f>C76</f>
        <v>17</v>
      </c>
      <c r="S23" s="53">
        <f>C77</f>
        <v>1667.4</v>
      </c>
      <c r="T23" s="53">
        <f>C78</f>
        <v>14580.27</v>
      </c>
      <c r="U23" s="53">
        <f>C79</f>
        <v>37218.92</v>
      </c>
      <c r="V23" s="376">
        <v>150</v>
      </c>
      <c r="W23">
        <v>15</v>
      </c>
      <c r="X23">
        <v>12</v>
      </c>
      <c r="Y23" s="236">
        <v>10</v>
      </c>
      <c r="Z23" s="236">
        <v>30</v>
      </c>
      <c r="AA23" s="54">
        <v>90000</v>
      </c>
      <c r="AB23" s="35">
        <f>metas[[#This Row],[Meta Individual]]/10000</f>
        <v>0.16674</v>
      </c>
      <c r="AC23" s="245">
        <f>metas[[#This Row],[Meta Equipe]]/30000/3</f>
        <v>0.16200300000000001</v>
      </c>
    </row>
    <row r="24" spans="1:29" x14ac:dyDescent="0.3">
      <c r="A24" s="47"/>
      <c r="B24" s="47" t="s">
        <v>156</v>
      </c>
      <c r="C24" s="47" t="s">
        <v>188</v>
      </c>
      <c r="D24" s="47" t="s">
        <v>158</v>
      </c>
      <c r="E24" s="47"/>
      <c r="F24" s="47" t="s">
        <v>156</v>
      </c>
      <c r="G24" s="47" t="s">
        <v>188</v>
      </c>
      <c r="H24" s="47" t="s">
        <v>158</v>
      </c>
      <c r="I24" s="47"/>
      <c r="J24" s="47" t="s">
        <v>156</v>
      </c>
      <c r="K24" s="47" t="s">
        <v>188</v>
      </c>
      <c r="L24" s="47" t="s">
        <v>158</v>
      </c>
      <c r="M24" s="238" t="s">
        <v>184</v>
      </c>
      <c r="N24" s="52">
        <v>45870</v>
      </c>
      <c r="O24" s="32" t="s">
        <v>44</v>
      </c>
      <c r="P24" s="32"/>
      <c r="Q24" s="32">
        <f>G75</f>
        <v>16</v>
      </c>
      <c r="R24" s="32">
        <f>G76</f>
        <v>13</v>
      </c>
      <c r="S24" s="53">
        <f>G77</f>
        <v>5551.4</v>
      </c>
      <c r="T24" s="53">
        <f>G78</f>
        <v>14580.27</v>
      </c>
      <c r="U24" s="53">
        <f>G79</f>
        <v>69366.399999999994</v>
      </c>
      <c r="V24" s="376">
        <v>150</v>
      </c>
      <c r="W24">
        <v>15</v>
      </c>
      <c r="X24">
        <v>12</v>
      </c>
      <c r="Y24" s="236">
        <v>10</v>
      </c>
      <c r="Z24" s="236">
        <v>30</v>
      </c>
      <c r="AA24" s="54">
        <v>90000</v>
      </c>
      <c r="AB24" s="35">
        <f>metas[[#This Row],[Meta Individual]]/10000</f>
        <v>0.55513999999999997</v>
      </c>
      <c r="AC24" s="245">
        <f>metas[[#This Row],[Meta Equipe]]/30000/3</f>
        <v>0.16200300000000001</v>
      </c>
    </row>
    <row r="25" spans="1:29" x14ac:dyDescent="0.3">
      <c r="A25" t="s">
        <v>189</v>
      </c>
      <c r="B25">
        <v>15</v>
      </c>
      <c r="C25">
        <v>17</v>
      </c>
      <c r="D25">
        <v>1.1333333333333331</v>
      </c>
      <c r="E25" t="s">
        <v>189</v>
      </c>
      <c r="F25">
        <v>15</v>
      </c>
      <c r="G25">
        <v>17</v>
      </c>
      <c r="H25">
        <v>1.1333333333333331</v>
      </c>
      <c r="I25" t="s">
        <v>189</v>
      </c>
      <c r="J25">
        <v>15</v>
      </c>
      <c r="K25">
        <v>4</v>
      </c>
      <c r="L25">
        <v>0.26666666666666672</v>
      </c>
      <c r="M25" s="238" t="s">
        <v>184</v>
      </c>
      <c r="N25" s="52">
        <v>45870</v>
      </c>
      <c r="O25" s="32" t="s">
        <v>22</v>
      </c>
      <c r="P25" s="32"/>
      <c r="Q25" s="32">
        <f>K75</f>
        <v>8</v>
      </c>
      <c r="R25" s="32">
        <f>K76</f>
        <v>8</v>
      </c>
      <c r="S25" s="53">
        <f>K77</f>
        <v>7361.47</v>
      </c>
      <c r="T25" s="53">
        <f>K78</f>
        <v>14580.27</v>
      </c>
      <c r="U25" s="53">
        <f>K79</f>
        <v>57100</v>
      </c>
      <c r="V25" s="376">
        <v>150</v>
      </c>
      <c r="W25">
        <v>15</v>
      </c>
      <c r="X25">
        <v>12</v>
      </c>
      <c r="Y25" s="236">
        <v>10</v>
      </c>
      <c r="Z25" s="236">
        <v>30</v>
      </c>
      <c r="AA25" s="54">
        <v>90000</v>
      </c>
      <c r="AB25" s="35">
        <f>metas[[#This Row],[Meta Individual]]/10000</f>
        <v>0.736147</v>
      </c>
      <c r="AC25" s="245">
        <f>metas[[#This Row],[Meta Equipe]]/30000/3</f>
        <v>0.16200300000000001</v>
      </c>
    </row>
    <row r="26" spans="1:29" x14ac:dyDescent="0.3">
      <c r="A26" t="s">
        <v>190</v>
      </c>
      <c r="B26">
        <v>12</v>
      </c>
      <c r="C26">
        <v>7</v>
      </c>
      <c r="D26">
        <v>0.58333333333333337</v>
      </c>
      <c r="E26" t="s">
        <v>190</v>
      </c>
      <c r="F26">
        <v>12</v>
      </c>
      <c r="G26">
        <v>12</v>
      </c>
      <c r="H26">
        <v>1</v>
      </c>
      <c r="I26" t="s">
        <v>190</v>
      </c>
      <c r="J26">
        <v>12</v>
      </c>
      <c r="K26">
        <v>4</v>
      </c>
      <c r="L26">
        <v>0.33333333333333331</v>
      </c>
      <c r="M26" s="238" t="s">
        <v>184</v>
      </c>
      <c r="N26" s="52">
        <v>45901</v>
      </c>
      <c r="O26" s="52" t="s">
        <v>31</v>
      </c>
      <c r="P26" s="52"/>
      <c r="Q26" s="32">
        <f>C85</f>
        <v>25</v>
      </c>
      <c r="R26" s="32">
        <f>C86</f>
        <v>16</v>
      </c>
      <c r="S26" s="53">
        <f>C87</f>
        <v>3619.87</v>
      </c>
      <c r="T26" s="53">
        <f>C88</f>
        <v>12925.19</v>
      </c>
      <c r="U26" s="53">
        <f>C89</f>
        <v>156911.70000000001</v>
      </c>
      <c r="V26" s="376">
        <v>150</v>
      </c>
      <c r="W26">
        <v>15</v>
      </c>
      <c r="X26">
        <v>12</v>
      </c>
      <c r="Y26" s="236">
        <v>10</v>
      </c>
      <c r="Z26" s="236">
        <v>30</v>
      </c>
      <c r="AA26" s="54">
        <v>90000</v>
      </c>
      <c r="AB26" s="35">
        <f>metas[[#This Row],[Meta Individual]]/10000</f>
        <v>0.361987</v>
      </c>
      <c r="AC26" s="245">
        <f>metas[[#This Row],[Meta Equipe]]/30000/3</f>
        <v>0.14361322222222223</v>
      </c>
    </row>
    <row r="27" spans="1:29" x14ac:dyDescent="0.3">
      <c r="A27" t="s">
        <v>173</v>
      </c>
      <c r="B27">
        <v>10000</v>
      </c>
      <c r="C27">
        <v>6712.41</v>
      </c>
      <c r="D27">
        <v>0.67124099999999998</v>
      </c>
      <c r="E27" t="s">
        <v>173</v>
      </c>
      <c r="F27">
        <v>10000</v>
      </c>
      <c r="G27">
        <v>3064.57</v>
      </c>
      <c r="H27">
        <v>0.30645699999999998</v>
      </c>
      <c r="I27" t="s">
        <v>173</v>
      </c>
      <c r="J27">
        <v>10000</v>
      </c>
      <c r="K27">
        <v>5124.72</v>
      </c>
      <c r="L27">
        <v>0.51247200000000004</v>
      </c>
      <c r="M27" s="238" t="s">
        <v>184</v>
      </c>
      <c r="N27" s="52">
        <v>45901</v>
      </c>
      <c r="O27" s="32" t="s">
        <v>44</v>
      </c>
      <c r="P27" s="32"/>
      <c r="Q27" s="32">
        <f>G85</f>
        <v>16</v>
      </c>
      <c r="R27" s="32">
        <f>G86</f>
        <v>18</v>
      </c>
      <c r="S27" s="53">
        <f>G87</f>
        <v>6448.22</v>
      </c>
      <c r="T27" s="53">
        <f>G88</f>
        <v>12925.19</v>
      </c>
      <c r="U27" s="53">
        <f>G89</f>
        <v>134306.46</v>
      </c>
      <c r="V27" s="376">
        <v>150</v>
      </c>
      <c r="W27">
        <v>15</v>
      </c>
      <c r="X27">
        <v>12</v>
      </c>
      <c r="Y27" s="236">
        <v>10</v>
      </c>
      <c r="Z27" s="236">
        <v>30</v>
      </c>
      <c r="AA27" s="54">
        <v>90000</v>
      </c>
      <c r="AB27" s="35">
        <f>metas[[#This Row],[Meta Individual]]/10000</f>
        <v>0.64482200000000001</v>
      </c>
      <c r="AC27" s="245">
        <f>metas[[#This Row],[Meta Equipe]]/30000/3</f>
        <v>0.14361322222222223</v>
      </c>
    </row>
    <row r="28" spans="1:29" x14ac:dyDescent="0.3">
      <c r="A28" t="s">
        <v>166</v>
      </c>
      <c r="B28">
        <v>30000</v>
      </c>
      <c r="C28">
        <v>14901.7</v>
      </c>
      <c r="D28">
        <v>0.49672333333333341</v>
      </c>
      <c r="E28" t="s">
        <v>166</v>
      </c>
      <c r="F28">
        <v>30000</v>
      </c>
      <c r="G28">
        <v>14901.7</v>
      </c>
      <c r="H28">
        <v>0.49672333333333341</v>
      </c>
      <c r="I28" t="s">
        <v>166</v>
      </c>
      <c r="J28">
        <v>30000</v>
      </c>
      <c r="K28">
        <v>14901.7</v>
      </c>
      <c r="L28">
        <v>0.49672333333333341</v>
      </c>
      <c r="M28" s="238" t="s">
        <v>184</v>
      </c>
      <c r="N28" s="52">
        <v>45901</v>
      </c>
      <c r="O28" s="32" t="s">
        <v>22</v>
      </c>
      <c r="P28" s="32"/>
      <c r="Q28" s="32">
        <f>K85</f>
        <v>11</v>
      </c>
      <c r="R28" s="32">
        <f>K86</f>
        <v>11</v>
      </c>
      <c r="S28" s="53">
        <f>K87</f>
        <v>2857.1</v>
      </c>
      <c r="T28" s="53">
        <f>K88</f>
        <v>12925.19</v>
      </c>
      <c r="U28" s="53">
        <f>K89</f>
        <v>47500</v>
      </c>
      <c r="V28" s="376">
        <v>150</v>
      </c>
      <c r="W28">
        <v>15</v>
      </c>
      <c r="X28">
        <v>12</v>
      </c>
      <c r="Y28" s="236">
        <v>10</v>
      </c>
      <c r="Z28" s="236">
        <v>30</v>
      </c>
      <c r="AA28" s="54">
        <v>90000</v>
      </c>
      <c r="AB28" s="35">
        <f>metas[[#This Row],[Meta Individual]]/10000</f>
        <v>0.28570999999999996</v>
      </c>
      <c r="AC28" s="245">
        <f>metas[[#This Row],[Meta Equipe]]/30000/3</f>
        <v>0.14361322222222223</v>
      </c>
    </row>
    <row r="29" spans="1:29" x14ac:dyDescent="0.3">
      <c r="A29" t="s">
        <v>174</v>
      </c>
      <c r="B29">
        <v>90000</v>
      </c>
      <c r="C29">
        <v>111207.36</v>
      </c>
      <c r="D29">
        <v>1.235637333333333</v>
      </c>
      <c r="E29" t="s">
        <v>174</v>
      </c>
      <c r="F29">
        <v>90000</v>
      </c>
      <c r="G29">
        <v>70833.33</v>
      </c>
      <c r="H29">
        <v>0.78703699999999999</v>
      </c>
      <c r="I29" t="s">
        <v>174</v>
      </c>
      <c r="J29">
        <v>90000</v>
      </c>
      <c r="K29">
        <v>73632</v>
      </c>
      <c r="L29">
        <v>0.81813333333333338</v>
      </c>
      <c r="M29" s="238" t="s">
        <v>184</v>
      </c>
      <c r="N29" s="52">
        <v>45931</v>
      </c>
      <c r="O29" s="52" t="s">
        <v>31</v>
      </c>
      <c r="P29" s="52"/>
      <c r="Q29" s="32">
        <f>C95</f>
        <v>15</v>
      </c>
      <c r="R29" s="32">
        <f>C96</f>
        <v>12</v>
      </c>
      <c r="S29" s="53">
        <f>C97</f>
        <v>1927.89</v>
      </c>
      <c r="T29" s="53">
        <f>C98</f>
        <v>1927.89</v>
      </c>
      <c r="U29" s="53">
        <f>C99</f>
        <v>117851.89</v>
      </c>
      <c r="V29" s="376">
        <v>150</v>
      </c>
      <c r="W29">
        <v>15</v>
      </c>
      <c r="X29">
        <v>12</v>
      </c>
      <c r="Y29" s="236">
        <v>10</v>
      </c>
      <c r="Z29" s="236">
        <v>30</v>
      </c>
      <c r="AA29" s="54">
        <v>90000</v>
      </c>
      <c r="AB29" s="35">
        <f>metas[[#This Row],[Meta Individual]]/10000</f>
        <v>0.19278900000000002</v>
      </c>
      <c r="AC29" s="245">
        <f>metas[[#This Row],[Meta Equipe]]/30000/3</f>
        <v>2.1420999999999999E-2</v>
      </c>
    </row>
    <row r="30" spans="1:29" x14ac:dyDescent="0.3">
      <c r="M30" s="238" t="s">
        <v>184</v>
      </c>
      <c r="N30" s="52">
        <v>45931</v>
      </c>
      <c r="O30" s="32" t="s">
        <v>44</v>
      </c>
      <c r="P30" s="32"/>
      <c r="Q30" s="32">
        <f>G95</f>
        <v>15</v>
      </c>
      <c r="R30" s="32">
        <f>G96</f>
        <v>12</v>
      </c>
      <c r="S30" s="53">
        <f>G97</f>
        <v>0</v>
      </c>
      <c r="T30" s="53">
        <f>G98</f>
        <v>1927.89</v>
      </c>
      <c r="U30" s="53">
        <f>G99</f>
        <v>39131.15</v>
      </c>
      <c r="V30" s="376">
        <v>150</v>
      </c>
      <c r="W30">
        <v>15</v>
      </c>
      <c r="X30">
        <v>12</v>
      </c>
      <c r="Y30" s="236">
        <v>10</v>
      </c>
      <c r="Z30" s="236">
        <v>30</v>
      </c>
      <c r="AA30" s="54">
        <v>90000</v>
      </c>
      <c r="AB30" s="35">
        <f>metas[[#This Row],[Meta Individual]]/10000</f>
        <v>0</v>
      </c>
      <c r="AC30" s="245">
        <f>metas[[#This Row],[Meta Equipe]]/30000/3</f>
        <v>2.1420999999999999E-2</v>
      </c>
    </row>
    <row r="31" spans="1:29" x14ac:dyDescent="0.3">
      <c r="A31" s="47" t="s">
        <v>193</v>
      </c>
      <c r="B31" s="47"/>
      <c r="C31" s="47"/>
      <c r="D31" s="47"/>
      <c r="E31" s="47"/>
      <c r="F31" s="47"/>
      <c r="G31" s="47"/>
      <c r="H31" s="47"/>
      <c r="I31" s="47"/>
      <c r="J31" s="47"/>
      <c r="K31" s="47"/>
      <c r="L31" s="47"/>
      <c r="M31" s="238" t="s">
        <v>184</v>
      </c>
      <c r="N31" s="52">
        <v>45931</v>
      </c>
      <c r="O31" s="32" t="s">
        <v>22</v>
      </c>
      <c r="P31" s="32"/>
      <c r="Q31" s="32">
        <f>K95</f>
        <v>15</v>
      </c>
      <c r="R31" s="32">
        <f>K96</f>
        <v>12</v>
      </c>
      <c r="S31" s="53">
        <f>K97</f>
        <v>0</v>
      </c>
      <c r="T31" s="53">
        <f>K98</f>
        <v>1927.89</v>
      </c>
      <c r="U31" s="53">
        <f>K99</f>
        <v>0</v>
      </c>
      <c r="V31" s="376">
        <v>150</v>
      </c>
      <c r="W31">
        <v>15</v>
      </c>
      <c r="X31">
        <v>12</v>
      </c>
      <c r="Y31" s="236">
        <v>10</v>
      </c>
      <c r="Z31" s="236">
        <v>30</v>
      </c>
      <c r="AA31" s="54">
        <v>90000</v>
      </c>
      <c r="AB31" s="35">
        <f>metas[[#This Row],[Meta Individual]]/10000</f>
        <v>0</v>
      </c>
      <c r="AC31" s="245">
        <f>metas[[#This Row],[Meta Equipe]]/30000/3</f>
        <v>2.1420999999999999E-2</v>
      </c>
    </row>
    <row r="32" spans="1:29" x14ac:dyDescent="0.3">
      <c r="A32" s="47" t="s">
        <v>183</v>
      </c>
      <c r="B32" s="47"/>
      <c r="C32" s="47"/>
      <c r="D32" s="47"/>
      <c r="E32" s="47"/>
      <c r="F32" s="47"/>
      <c r="G32" s="47"/>
      <c r="H32" s="47"/>
      <c r="I32" s="47"/>
      <c r="J32" s="47"/>
      <c r="K32" s="47"/>
      <c r="L32" s="47"/>
      <c r="M32" s="238" t="s">
        <v>184</v>
      </c>
      <c r="N32" s="52">
        <v>45962</v>
      </c>
      <c r="O32" s="52" t="s">
        <v>31</v>
      </c>
      <c r="P32" s="52"/>
      <c r="Q32" s="32">
        <f>C105</f>
        <v>20</v>
      </c>
      <c r="R32" s="32">
        <f>C106</f>
        <v>18</v>
      </c>
      <c r="S32" s="53">
        <f>C107</f>
        <v>285.12</v>
      </c>
      <c r="T32" s="53">
        <f>C108</f>
        <v>641.52</v>
      </c>
      <c r="U32" s="53">
        <f>C109</f>
        <v>49993.72</v>
      </c>
      <c r="V32" s="376">
        <v>150</v>
      </c>
      <c r="W32">
        <v>15</v>
      </c>
      <c r="X32">
        <v>12</v>
      </c>
      <c r="Y32" s="236">
        <v>10</v>
      </c>
      <c r="Z32" s="236">
        <v>30</v>
      </c>
      <c r="AA32" s="54">
        <v>90000</v>
      </c>
      <c r="AB32" s="35">
        <f>metas[[#This Row],[Meta Individual]]/10000</f>
        <v>2.8511999999999999E-2</v>
      </c>
      <c r="AC32" s="245">
        <f>metas[[#This Row],[Meta Equipe]]/30000/3</f>
        <v>7.1279999999999998E-3</v>
      </c>
    </row>
    <row r="33" spans="1:29" x14ac:dyDescent="0.3">
      <c r="A33" s="47" t="s">
        <v>185</v>
      </c>
      <c r="B33" s="47"/>
      <c r="C33" s="47"/>
      <c r="D33" s="47"/>
      <c r="E33" s="47" t="s">
        <v>186</v>
      </c>
      <c r="F33" s="47"/>
      <c r="G33" s="47"/>
      <c r="H33" s="47"/>
      <c r="I33" s="47" t="s">
        <v>187</v>
      </c>
      <c r="J33" s="47"/>
      <c r="K33" s="47"/>
      <c r="L33" s="47"/>
      <c r="M33" s="238" t="s">
        <v>184</v>
      </c>
      <c r="N33" s="52">
        <v>45962</v>
      </c>
      <c r="O33" s="32" t="s">
        <v>44</v>
      </c>
      <c r="P33" s="32"/>
      <c r="Q33" s="32">
        <f>G105</f>
        <v>15</v>
      </c>
      <c r="R33" s="32">
        <f>G106</f>
        <v>13</v>
      </c>
      <c r="S33" s="53">
        <f>G107</f>
        <v>356.4</v>
      </c>
      <c r="T33" s="53">
        <f>G108</f>
        <v>641.52</v>
      </c>
      <c r="U33" s="53">
        <f>G109</f>
        <v>3307.14</v>
      </c>
      <c r="V33" s="376">
        <v>150</v>
      </c>
      <c r="W33">
        <v>15</v>
      </c>
      <c r="X33">
        <v>12</v>
      </c>
      <c r="Y33" s="236">
        <v>10</v>
      </c>
      <c r="Z33" s="236">
        <v>30</v>
      </c>
      <c r="AA33" s="54">
        <v>90000</v>
      </c>
      <c r="AB33" s="35">
        <f>metas[[#This Row],[Meta Individual]]/10000</f>
        <v>3.5639999999999998E-2</v>
      </c>
      <c r="AC33" s="245">
        <f>metas[[#This Row],[Meta Equipe]]/30000/3</f>
        <v>7.1279999999999998E-3</v>
      </c>
    </row>
    <row r="34" spans="1:29" x14ac:dyDescent="0.3">
      <c r="A34" s="47"/>
      <c r="B34" s="47" t="s">
        <v>156</v>
      </c>
      <c r="C34" s="47" t="s">
        <v>188</v>
      </c>
      <c r="D34" s="47" t="s">
        <v>158</v>
      </c>
      <c r="E34" s="47"/>
      <c r="F34" s="47" t="s">
        <v>156</v>
      </c>
      <c r="G34" s="47" t="s">
        <v>188</v>
      </c>
      <c r="H34" s="47" t="s">
        <v>158</v>
      </c>
      <c r="I34" s="47"/>
      <c r="J34" s="47" t="s">
        <v>156</v>
      </c>
      <c r="K34" s="47" t="s">
        <v>188</v>
      </c>
      <c r="L34" s="47" t="s">
        <v>158</v>
      </c>
      <c r="M34" s="238" t="s">
        <v>184</v>
      </c>
      <c r="N34" s="52">
        <v>45962</v>
      </c>
      <c r="O34" s="32" t="s">
        <v>22</v>
      </c>
      <c r="P34" s="32"/>
      <c r="Q34" s="32">
        <f>K105</f>
        <v>12</v>
      </c>
      <c r="R34" s="32">
        <f>K106</f>
        <v>12</v>
      </c>
      <c r="S34" s="53">
        <f>K108</f>
        <v>641.52</v>
      </c>
      <c r="T34" s="53">
        <f>K108</f>
        <v>641.52</v>
      </c>
      <c r="U34" s="53">
        <f>K109</f>
        <v>6253</v>
      </c>
      <c r="V34" s="376">
        <v>150</v>
      </c>
      <c r="W34">
        <v>15</v>
      </c>
      <c r="X34">
        <v>12</v>
      </c>
      <c r="Y34" s="236">
        <v>10</v>
      </c>
      <c r="Z34" s="236">
        <v>30</v>
      </c>
      <c r="AA34" s="54">
        <v>90000</v>
      </c>
      <c r="AB34" s="35">
        <f>metas[[#This Row],[Meta Individual]]/10000</f>
        <v>6.4152000000000001E-2</v>
      </c>
      <c r="AC34" s="245">
        <f>metas[[#This Row],[Meta Equipe]]/30000/3</f>
        <v>7.1279999999999998E-3</v>
      </c>
    </row>
    <row r="35" spans="1:29" x14ac:dyDescent="0.3">
      <c r="A35" t="s">
        <v>189</v>
      </c>
      <c r="B35">
        <v>15</v>
      </c>
      <c r="C35">
        <v>29</v>
      </c>
      <c r="D35">
        <v>1.9333333333333329</v>
      </c>
      <c r="E35" t="s">
        <v>189</v>
      </c>
      <c r="F35">
        <v>15</v>
      </c>
      <c r="G35">
        <v>15</v>
      </c>
      <c r="H35">
        <v>1</v>
      </c>
      <c r="I35" t="s">
        <v>189</v>
      </c>
      <c r="J35">
        <v>15</v>
      </c>
      <c r="K35">
        <v>5</v>
      </c>
      <c r="L35">
        <v>0.33333333333333331</v>
      </c>
      <c r="M35" s="238" t="s">
        <v>184</v>
      </c>
      <c r="N35" s="52">
        <v>45992</v>
      </c>
      <c r="O35" s="52" t="s">
        <v>31</v>
      </c>
      <c r="P35" s="52"/>
      <c r="Q35" s="32">
        <v>10</v>
      </c>
      <c r="R35" s="32">
        <v>8</v>
      </c>
      <c r="S35" s="53">
        <v>3149.32</v>
      </c>
      <c r="T35" s="53">
        <v>10160.040000000001</v>
      </c>
      <c r="U35" s="53">
        <v>97189.92</v>
      </c>
      <c r="V35" s="376">
        <v>150</v>
      </c>
      <c r="W35">
        <v>15</v>
      </c>
      <c r="X35">
        <v>12</v>
      </c>
      <c r="Y35" s="236">
        <v>6</v>
      </c>
      <c r="Z35" s="236">
        <v>26</v>
      </c>
      <c r="AA35" s="54">
        <v>90000</v>
      </c>
      <c r="AB35" s="35">
        <f>metas[[#This Row],[Meta Individual]]/6000</f>
        <v>0.52488666666666672</v>
      </c>
      <c r="AC35" s="245">
        <f>metas[[#This Row],[Meta Equipe]]/26000/3</f>
        <v>0.13025692307692308</v>
      </c>
    </row>
    <row r="36" spans="1:29" x14ac:dyDescent="0.3">
      <c r="A36" t="s">
        <v>190</v>
      </c>
      <c r="B36">
        <v>12</v>
      </c>
      <c r="C36">
        <v>15</v>
      </c>
      <c r="D36">
        <v>1.25</v>
      </c>
      <c r="E36" t="s">
        <v>190</v>
      </c>
      <c r="F36">
        <v>12</v>
      </c>
      <c r="G36">
        <v>13</v>
      </c>
      <c r="H36">
        <v>1.083333333333333</v>
      </c>
      <c r="I36" t="s">
        <v>190</v>
      </c>
      <c r="J36">
        <v>12</v>
      </c>
      <c r="K36">
        <v>6</v>
      </c>
      <c r="L36">
        <v>0.5</v>
      </c>
      <c r="M36" s="238" t="s">
        <v>184</v>
      </c>
      <c r="N36" s="52">
        <v>45992</v>
      </c>
      <c r="O36" s="32" t="s">
        <v>44</v>
      </c>
      <c r="P36" s="32"/>
      <c r="Q36" s="32">
        <v>10</v>
      </c>
      <c r="R36" s="32">
        <v>11</v>
      </c>
      <c r="S36" s="53">
        <v>6440.48</v>
      </c>
      <c r="T36" s="53">
        <v>10160.040000000001</v>
      </c>
      <c r="U36" s="53">
        <v>38960</v>
      </c>
      <c r="V36" s="376">
        <v>150</v>
      </c>
      <c r="W36">
        <v>15</v>
      </c>
      <c r="X36">
        <v>12</v>
      </c>
      <c r="Y36" s="236">
        <v>10</v>
      </c>
      <c r="Z36" s="236">
        <v>26</v>
      </c>
      <c r="AA36" s="54">
        <v>90000</v>
      </c>
      <c r="AB36" s="35">
        <f>metas[[#This Row],[Meta Individual]]/10000</f>
        <v>0.64404799999999995</v>
      </c>
      <c r="AC36" s="245">
        <f>metas[[#This Row],[Meta Equipe]]/26000/3</f>
        <v>0.13025692307692308</v>
      </c>
    </row>
    <row r="37" spans="1:29" x14ac:dyDescent="0.3">
      <c r="A37" t="s">
        <v>173</v>
      </c>
      <c r="B37">
        <v>10000</v>
      </c>
      <c r="C37">
        <v>193</v>
      </c>
      <c r="D37">
        <v>1.9300000000000001E-2</v>
      </c>
      <c r="E37" t="s">
        <v>173</v>
      </c>
      <c r="F37">
        <v>10000</v>
      </c>
      <c r="G37">
        <v>11064.68</v>
      </c>
      <c r="H37">
        <v>1.106468</v>
      </c>
      <c r="I37" t="s">
        <v>173</v>
      </c>
      <c r="J37">
        <v>10000</v>
      </c>
      <c r="K37">
        <v>2088</v>
      </c>
      <c r="L37">
        <v>0.20880000000000001</v>
      </c>
      <c r="M37" s="238" t="s">
        <v>184</v>
      </c>
      <c r="N37" s="52">
        <v>45992</v>
      </c>
      <c r="O37" s="32" t="s">
        <v>22</v>
      </c>
      <c r="P37" s="32"/>
      <c r="Q37" s="32">
        <v>8</v>
      </c>
      <c r="R37" s="32">
        <v>8</v>
      </c>
      <c r="S37" s="53">
        <v>570.24</v>
      </c>
      <c r="T37" s="53">
        <v>10160.040000000001</v>
      </c>
      <c r="U37" s="53">
        <f>K112</f>
        <v>0</v>
      </c>
      <c r="V37" s="376">
        <v>150</v>
      </c>
      <c r="W37">
        <v>15</v>
      </c>
      <c r="X37">
        <v>12</v>
      </c>
      <c r="Y37" s="236">
        <v>10</v>
      </c>
      <c r="Z37" s="236">
        <v>26</v>
      </c>
      <c r="AA37" s="54">
        <v>90000</v>
      </c>
      <c r="AB37" s="35">
        <f>metas[[#This Row],[Meta Individual]]/10000</f>
        <v>5.7023999999999998E-2</v>
      </c>
      <c r="AC37" s="245">
        <f>metas[[#This Row],[Meta Equipe]]/26000/3</f>
        <v>0.13025692307692308</v>
      </c>
    </row>
    <row r="38" spans="1:29" x14ac:dyDescent="0.3">
      <c r="A38" t="s">
        <v>166</v>
      </c>
      <c r="B38">
        <v>30000</v>
      </c>
      <c r="C38">
        <v>13345.68</v>
      </c>
      <c r="D38">
        <v>0.44485599999999997</v>
      </c>
      <c r="E38" t="s">
        <v>166</v>
      </c>
      <c r="F38">
        <v>30000</v>
      </c>
      <c r="G38">
        <v>13345.68</v>
      </c>
      <c r="H38">
        <v>0.44485599999999997</v>
      </c>
      <c r="I38" t="s">
        <v>166</v>
      </c>
      <c r="J38">
        <v>30000</v>
      </c>
      <c r="K38">
        <v>13345.68</v>
      </c>
      <c r="L38">
        <v>0.44485599999999997</v>
      </c>
      <c r="M38" s="238" t="s">
        <v>194</v>
      </c>
      <c r="N38" s="52">
        <v>46023</v>
      </c>
      <c r="O38" s="52" t="s">
        <v>31</v>
      </c>
      <c r="P38" s="52"/>
      <c r="Q38" s="32">
        <v>24</v>
      </c>
      <c r="R38" s="32">
        <v>16</v>
      </c>
      <c r="S38" s="53">
        <v>2698.22</v>
      </c>
      <c r="T38" s="53">
        <v>17506.46</v>
      </c>
      <c r="U38" s="53">
        <v>58587.27</v>
      </c>
      <c r="V38" s="376">
        <v>150</v>
      </c>
      <c r="W38">
        <v>15</v>
      </c>
      <c r="X38">
        <v>12</v>
      </c>
      <c r="Y38" s="236">
        <v>6</v>
      </c>
      <c r="Z38" s="236">
        <v>26</v>
      </c>
      <c r="AA38" s="54">
        <v>90000</v>
      </c>
      <c r="AB38" s="35">
        <f>metas[[#This Row],[Meta Individual]]/6000</f>
        <v>0.44970333333333329</v>
      </c>
      <c r="AC38" s="35">
        <f>metas[[#This Row],[Meta Equipe]]/26000/3</f>
        <v>0.22444179487179486</v>
      </c>
    </row>
    <row r="39" spans="1:29" x14ac:dyDescent="0.3">
      <c r="A39" t="s">
        <v>174</v>
      </c>
      <c r="B39">
        <v>90000</v>
      </c>
      <c r="C39">
        <v>29258.82</v>
      </c>
      <c r="D39">
        <v>0.325098</v>
      </c>
      <c r="E39" t="s">
        <v>174</v>
      </c>
      <c r="F39">
        <v>90000</v>
      </c>
      <c r="G39">
        <v>124112.08</v>
      </c>
      <c r="H39">
        <v>1.3790231111111111</v>
      </c>
      <c r="I39" t="s">
        <v>174</v>
      </c>
      <c r="J39">
        <v>90000</v>
      </c>
      <c r="K39">
        <v>32058</v>
      </c>
      <c r="L39">
        <v>0.35620000000000002</v>
      </c>
      <c r="M39" s="238" t="s">
        <v>194</v>
      </c>
      <c r="N39" s="52">
        <v>46023</v>
      </c>
      <c r="O39" s="32" t="s">
        <v>44</v>
      </c>
      <c r="P39" s="32"/>
      <c r="Q39" s="32">
        <v>16</v>
      </c>
      <c r="R39" s="32">
        <v>16</v>
      </c>
      <c r="S39" s="53">
        <v>4434.5</v>
      </c>
      <c r="T39" s="53">
        <v>17506.46</v>
      </c>
      <c r="U39" s="53">
        <v>101301</v>
      </c>
      <c r="V39" s="376">
        <v>150</v>
      </c>
      <c r="W39">
        <v>15</v>
      </c>
      <c r="X39">
        <v>12</v>
      </c>
      <c r="Y39" s="236">
        <v>10</v>
      </c>
      <c r="Z39" s="236">
        <v>26</v>
      </c>
      <c r="AA39" s="54">
        <v>90000</v>
      </c>
      <c r="AB39" s="35">
        <f>metas[[#This Row],[Meta Individual]]/10000</f>
        <v>0.44345000000000001</v>
      </c>
      <c r="AC39" s="35">
        <f>metas[[#This Row],[Meta Equipe]]/26000/3</f>
        <v>0.22444179487179486</v>
      </c>
    </row>
    <row r="40" spans="1:29" x14ac:dyDescent="0.3">
      <c r="M40" s="238" t="s">
        <v>194</v>
      </c>
      <c r="N40" s="52">
        <v>46023</v>
      </c>
      <c r="O40" s="32" t="s">
        <v>22</v>
      </c>
      <c r="P40" s="32"/>
      <c r="Q40" s="32">
        <v>10</v>
      </c>
      <c r="R40" s="32">
        <v>10</v>
      </c>
      <c r="S40" s="53">
        <v>10373.74</v>
      </c>
      <c r="T40" s="53">
        <v>17506.46</v>
      </c>
      <c r="U40" s="53">
        <v>97790.97</v>
      </c>
      <c r="V40" s="376">
        <v>150</v>
      </c>
      <c r="W40">
        <v>15</v>
      </c>
      <c r="X40">
        <v>12</v>
      </c>
      <c r="Y40" s="236">
        <v>10</v>
      </c>
      <c r="Z40" s="236">
        <v>26</v>
      </c>
      <c r="AA40" s="54">
        <v>90000</v>
      </c>
      <c r="AB40" s="35">
        <f>metas[[#This Row],[Meta Individual]]/10000</f>
        <v>1.037374</v>
      </c>
      <c r="AC40" s="35">
        <f>metas[[#This Row],[Meta Equipe]]/26000/3</f>
        <v>0.22444179487179486</v>
      </c>
    </row>
    <row r="41" spans="1:29" x14ac:dyDescent="0.3">
      <c r="A41" s="47" t="s">
        <v>195</v>
      </c>
      <c r="B41" s="47"/>
      <c r="C41" s="47"/>
      <c r="D41" s="47"/>
      <c r="E41" s="47"/>
      <c r="F41" s="47"/>
      <c r="G41" s="47"/>
      <c r="H41" s="47"/>
      <c r="I41" s="47"/>
      <c r="J41" s="47"/>
      <c r="K41" s="47"/>
      <c r="L41" s="47"/>
      <c r="M41" s="238">
        <v>2026</v>
      </c>
      <c r="N41" s="52">
        <v>46054</v>
      </c>
      <c r="O41" s="52" t="s">
        <v>31</v>
      </c>
      <c r="P41" s="52"/>
      <c r="Q41" s="32">
        <v>26</v>
      </c>
      <c r="R41" s="32">
        <v>31</v>
      </c>
      <c r="S41" s="53">
        <v>2413.6799999999998</v>
      </c>
      <c r="T41" s="53">
        <v>71696.53</v>
      </c>
      <c r="U41" s="54">
        <v>96796.800000000003</v>
      </c>
      <c r="V41" s="376">
        <v>150</v>
      </c>
      <c r="W41">
        <v>15</v>
      </c>
      <c r="X41">
        <v>12</v>
      </c>
      <c r="Y41" s="236">
        <v>6.5</v>
      </c>
      <c r="Z41" s="236">
        <v>26.5</v>
      </c>
      <c r="AA41" s="54">
        <v>90000</v>
      </c>
      <c r="AB41" s="35">
        <f>metas[[#This Row],[Meta Individual]]/6500</f>
        <v>0.37133538461538457</v>
      </c>
      <c r="AC41" s="35">
        <f>metas[[#This Row],[Meta Equipe]]/26500/3</f>
        <v>0.9018431446540881</v>
      </c>
    </row>
    <row r="42" spans="1:29" x14ac:dyDescent="0.3">
      <c r="A42" s="47" t="s">
        <v>183</v>
      </c>
      <c r="B42" s="47"/>
      <c r="C42" s="47"/>
      <c r="D42" s="47"/>
      <c r="E42" s="47"/>
      <c r="F42" s="47"/>
      <c r="G42" s="47"/>
      <c r="H42" s="47"/>
      <c r="I42" s="47"/>
      <c r="J42" s="47"/>
      <c r="K42" s="47"/>
      <c r="L42" s="47"/>
      <c r="M42" s="238">
        <v>2026</v>
      </c>
      <c r="N42" s="52">
        <v>46054</v>
      </c>
      <c r="O42" s="32" t="s">
        <v>44</v>
      </c>
      <c r="P42" s="32"/>
      <c r="Q42" s="32">
        <v>16</v>
      </c>
      <c r="R42" s="32">
        <v>13</v>
      </c>
      <c r="S42" s="53">
        <v>14107.5</v>
      </c>
      <c r="T42" s="53">
        <v>71696.53</v>
      </c>
      <c r="U42" s="54">
        <v>97230</v>
      </c>
      <c r="V42" s="376">
        <v>150</v>
      </c>
      <c r="W42">
        <v>15</v>
      </c>
      <c r="X42">
        <v>12</v>
      </c>
      <c r="Y42" s="236">
        <v>10</v>
      </c>
      <c r="Z42" s="236">
        <v>26.5</v>
      </c>
      <c r="AA42" s="54">
        <v>90000</v>
      </c>
      <c r="AB42" s="35">
        <f>metas[[#This Row],[Meta Individual]]/10000</f>
        <v>1.4107499999999999</v>
      </c>
      <c r="AC42" s="35">
        <f>metas[[#This Row],[Meta Equipe]]/26500/3</f>
        <v>0.9018431446540881</v>
      </c>
    </row>
    <row r="43" spans="1:29" x14ac:dyDescent="0.3">
      <c r="A43" s="47" t="s">
        <v>185</v>
      </c>
      <c r="B43" s="47"/>
      <c r="C43" s="47"/>
      <c r="D43" s="47"/>
      <c r="E43" s="47" t="s">
        <v>186</v>
      </c>
      <c r="F43" s="47"/>
      <c r="G43" s="47"/>
      <c r="H43" s="47"/>
      <c r="I43" s="47" t="s">
        <v>187</v>
      </c>
      <c r="J43" s="47"/>
      <c r="K43" s="47"/>
      <c r="L43" s="47"/>
      <c r="M43" s="238">
        <v>2026</v>
      </c>
      <c r="N43" s="52">
        <v>46054</v>
      </c>
      <c r="O43" s="32" t="s">
        <v>22</v>
      </c>
      <c r="P43" s="32"/>
      <c r="Q43" s="32">
        <v>15</v>
      </c>
      <c r="R43" s="32">
        <v>17</v>
      </c>
      <c r="S43" s="53">
        <v>55175.4</v>
      </c>
      <c r="T43" s="53">
        <v>71696.53</v>
      </c>
      <c r="U43" s="54">
        <v>367161.59999999998</v>
      </c>
      <c r="V43" s="376">
        <v>150</v>
      </c>
      <c r="W43">
        <v>15</v>
      </c>
      <c r="X43">
        <v>12</v>
      </c>
      <c r="Y43" s="236">
        <v>10</v>
      </c>
      <c r="Z43" s="236">
        <v>26.5</v>
      </c>
      <c r="AA43" s="54">
        <v>90000</v>
      </c>
      <c r="AB43" s="35">
        <f>metas[[#This Row],[Meta Individual]]/10000</f>
        <v>5.5175400000000003</v>
      </c>
      <c r="AC43" s="35">
        <f>metas[[#This Row],[Meta Equipe]]/26500/3</f>
        <v>0.9018431446540881</v>
      </c>
    </row>
    <row r="44" spans="1:29" x14ac:dyDescent="0.3">
      <c r="B44" t="s">
        <v>156</v>
      </c>
      <c r="C44" t="s">
        <v>188</v>
      </c>
      <c r="D44" t="s">
        <v>158</v>
      </c>
      <c r="F44" t="s">
        <v>156</v>
      </c>
      <c r="G44" t="s">
        <v>188</v>
      </c>
      <c r="H44" t="s">
        <v>158</v>
      </c>
      <c r="J44" t="s">
        <v>156</v>
      </c>
      <c r="K44" t="s">
        <v>188</v>
      </c>
      <c r="L44" t="s">
        <v>158</v>
      </c>
      <c r="M44" s="238">
        <v>2026</v>
      </c>
      <c r="N44" s="52">
        <v>46082</v>
      </c>
      <c r="O44" s="52" t="s">
        <v>31</v>
      </c>
      <c r="P44" s="52"/>
      <c r="Q44" s="32">
        <v>21</v>
      </c>
      <c r="R44" s="32">
        <v>16</v>
      </c>
      <c r="S44" s="53">
        <v>6425.28</v>
      </c>
      <c r="T44" s="53">
        <v>23015.18</v>
      </c>
      <c r="U44" s="53">
        <v>72913.240000000005</v>
      </c>
      <c r="V44" s="376">
        <v>150</v>
      </c>
      <c r="W44">
        <v>15</v>
      </c>
      <c r="X44">
        <v>12</v>
      </c>
      <c r="Y44" s="236">
        <v>7</v>
      </c>
      <c r="Z44" s="236">
        <v>27</v>
      </c>
      <c r="AA44" s="54">
        <v>90000</v>
      </c>
      <c r="AB44" s="35">
        <f>metas[[#This Row],[Meta Individual]]/7000</f>
        <v>0.91789714285714286</v>
      </c>
      <c r="AC44" s="35">
        <f>metas[[#This Row],[Meta Equipe]]/27000/3</f>
        <v>0.28413802469135802</v>
      </c>
    </row>
    <row r="45" spans="1:29" x14ac:dyDescent="0.3">
      <c r="A45" t="s">
        <v>189</v>
      </c>
      <c r="B45">
        <v>15</v>
      </c>
      <c r="C45">
        <v>23</v>
      </c>
      <c r="D45">
        <v>1.533333333333333</v>
      </c>
      <c r="E45" t="s">
        <v>189</v>
      </c>
      <c r="F45">
        <v>15</v>
      </c>
      <c r="G45">
        <v>17</v>
      </c>
      <c r="H45">
        <v>1.1333333333333331</v>
      </c>
      <c r="I45" t="s">
        <v>189</v>
      </c>
      <c r="J45">
        <v>15</v>
      </c>
      <c r="K45">
        <v>2</v>
      </c>
      <c r="L45">
        <v>0.1333333333333333</v>
      </c>
      <c r="M45" s="238">
        <v>2026</v>
      </c>
      <c r="N45" s="52">
        <v>46082</v>
      </c>
      <c r="O45" s="32" t="s">
        <v>44</v>
      </c>
      <c r="P45" s="32"/>
      <c r="Q45" s="32">
        <v>18</v>
      </c>
      <c r="R45" s="32">
        <v>16</v>
      </c>
      <c r="S45" s="53">
        <v>16288.54</v>
      </c>
      <c r="T45" s="53">
        <v>23015.18</v>
      </c>
      <c r="U45" s="53">
        <v>99854.09</v>
      </c>
      <c r="V45" s="376">
        <v>150</v>
      </c>
      <c r="W45">
        <v>15</v>
      </c>
      <c r="X45">
        <v>12</v>
      </c>
      <c r="Y45" s="236">
        <v>10</v>
      </c>
      <c r="Z45" s="236">
        <v>27</v>
      </c>
      <c r="AA45" s="54">
        <v>90000</v>
      </c>
      <c r="AB45" s="35">
        <f>metas[[#This Row],[Meta Individual]]/10000</f>
        <v>1.628854</v>
      </c>
      <c r="AC45" s="35">
        <f>metas[[#This Row],[Meta Equipe]]/27000/3</f>
        <v>0.28413802469135802</v>
      </c>
    </row>
    <row r="46" spans="1:29" x14ac:dyDescent="0.3">
      <c r="A46" t="s">
        <v>190</v>
      </c>
      <c r="B46">
        <v>12</v>
      </c>
      <c r="C46">
        <v>20</v>
      </c>
      <c r="D46">
        <v>1.666666666666667</v>
      </c>
      <c r="E46" t="s">
        <v>190</v>
      </c>
      <c r="F46">
        <v>12</v>
      </c>
      <c r="G46">
        <v>14</v>
      </c>
      <c r="H46">
        <v>1.166666666666667</v>
      </c>
      <c r="I46" t="s">
        <v>190</v>
      </c>
      <c r="J46">
        <v>12</v>
      </c>
      <c r="K46">
        <v>1</v>
      </c>
      <c r="L46">
        <v>8.3333333333333329E-2</v>
      </c>
      <c r="M46" s="238">
        <v>2026</v>
      </c>
      <c r="N46" s="52">
        <v>46082</v>
      </c>
      <c r="O46" s="32" t="s">
        <v>22</v>
      </c>
      <c r="P46" s="32"/>
      <c r="Q46" s="32">
        <v>7</v>
      </c>
      <c r="R46" s="32">
        <v>6</v>
      </c>
      <c r="S46" s="53">
        <v>301.26</v>
      </c>
      <c r="T46" s="53">
        <v>23015.18</v>
      </c>
      <c r="U46" s="53">
        <v>7400</v>
      </c>
      <c r="V46" s="376">
        <v>150</v>
      </c>
      <c r="W46">
        <v>15</v>
      </c>
      <c r="X46">
        <v>12</v>
      </c>
      <c r="Y46" s="236">
        <v>10</v>
      </c>
      <c r="Z46" s="236">
        <v>27</v>
      </c>
      <c r="AA46" s="54">
        <v>90000</v>
      </c>
      <c r="AB46" s="35">
        <f>metas[[#This Row],[Meta Individual]]/10000</f>
        <v>3.0126E-2</v>
      </c>
      <c r="AC46" s="35">
        <f>metas[[#This Row],[Meta Equipe]]/27000/3</f>
        <v>0.28413802469135802</v>
      </c>
    </row>
    <row r="47" spans="1:29" x14ac:dyDescent="0.3">
      <c r="A47" s="47"/>
      <c r="B47" s="47" t="s">
        <v>156</v>
      </c>
      <c r="C47" s="47" t="s">
        <v>188</v>
      </c>
      <c r="D47" s="47" t="s">
        <v>158</v>
      </c>
      <c r="E47" s="47"/>
      <c r="F47" s="47" t="s">
        <v>156</v>
      </c>
      <c r="G47" s="47" t="s">
        <v>188</v>
      </c>
      <c r="H47" s="47" t="s">
        <v>158</v>
      </c>
      <c r="I47" s="47"/>
      <c r="J47" s="47" t="s">
        <v>156</v>
      </c>
      <c r="K47" s="47" t="s">
        <v>188</v>
      </c>
      <c r="L47" s="47" t="s">
        <v>158</v>
      </c>
      <c r="M47" s="238">
        <v>2026</v>
      </c>
      <c r="N47" s="52">
        <v>46113</v>
      </c>
      <c r="O47" s="52" t="s">
        <v>31</v>
      </c>
      <c r="P47" s="52"/>
      <c r="Q47" s="32">
        <v>9</v>
      </c>
      <c r="R47" s="32">
        <v>13</v>
      </c>
      <c r="S47" s="53">
        <v>2691.36</v>
      </c>
      <c r="T47" s="53">
        <v>15596.61</v>
      </c>
      <c r="U47" s="53">
        <v>55648</v>
      </c>
      <c r="V47" s="376">
        <v>150</v>
      </c>
      <c r="W47">
        <v>15</v>
      </c>
      <c r="X47">
        <v>12</v>
      </c>
      <c r="Y47" s="236">
        <v>7.5</v>
      </c>
      <c r="Z47" s="236">
        <v>27.5</v>
      </c>
      <c r="AA47" s="54">
        <v>90000</v>
      </c>
      <c r="AB47" s="378">
        <f>S47/7500</f>
        <v>0.358848</v>
      </c>
      <c r="AC47" s="378">
        <f>T47/27500/3</f>
        <v>0.18904981818181818</v>
      </c>
    </row>
    <row r="48" spans="1:29" x14ac:dyDescent="0.3">
      <c r="A48" t="s">
        <v>189</v>
      </c>
      <c r="B48">
        <v>15</v>
      </c>
      <c r="C48">
        <v>23</v>
      </c>
      <c r="D48">
        <v>1.533333333333333</v>
      </c>
      <c r="E48" t="s">
        <v>189</v>
      </c>
      <c r="F48">
        <v>15</v>
      </c>
      <c r="G48">
        <v>17</v>
      </c>
      <c r="H48">
        <v>1.1333333333333331</v>
      </c>
      <c r="I48" t="s">
        <v>189</v>
      </c>
      <c r="J48">
        <v>15</v>
      </c>
      <c r="K48">
        <v>2</v>
      </c>
      <c r="L48">
        <v>0.1333333333333333</v>
      </c>
      <c r="M48" s="238">
        <v>2026</v>
      </c>
      <c r="N48" s="52">
        <v>46113</v>
      </c>
      <c r="O48" s="32" t="s">
        <v>44</v>
      </c>
      <c r="P48" s="32"/>
      <c r="Q48" s="32">
        <v>7</v>
      </c>
      <c r="R48" s="32">
        <v>7</v>
      </c>
      <c r="S48" s="53">
        <v>5224.6499999999996</v>
      </c>
      <c r="T48" s="53">
        <v>15596.61</v>
      </c>
      <c r="U48" s="53">
        <v>45200</v>
      </c>
      <c r="V48" s="376">
        <v>150</v>
      </c>
      <c r="W48">
        <v>15</v>
      </c>
      <c r="X48">
        <v>12</v>
      </c>
      <c r="Y48" s="236">
        <v>10</v>
      </c>
      <c r="Z48" s="236">
        <v>27.5</v>
      </c>
      <c r="AA48" s="54">
        <v>90000</v>
      </c>
      <c r="AB48" s="378">
        <f>S48/10000</f>
        <v>0.52246499999999996</v>
      </c>
      <c r="AC48" s="378">
        <f>T48/27500/3</f>
        <v>0.18904981818181818</v>
      </c>
    </row>
    <row r="49" spans="1:29" x14ac:dyDescent="0.3">
      <c r="A49" t="s">
        <v>190</v>
      </c>
      <c r="B49">
        <v>12</v>
      </c>
      <c r="C49">
        <v>20</v>
      </c>
      <c r="D49">
        <v>1.666666666666667</v>
      </c>
      <c r="E49" t="s">
        <v>190</v>
      </c>
      <c r="F49">
        <v>12</v>
      </c>
      <c r="G49">
        <v>14</v>
      </c>
      <c r="H49">
        <v>1.166666666666667</v>
      </c>
      <c r="I49" t="s">
        <v>190</v>
      </c>
      <c r="J49">
        <v>12</v>
      </c>
      <c r="K49">
        <v>1</v>
      </c>
      <c r="L49">
        <v>8.3333333333333329E-2</v>
      </c>
      <c r="M49" s="238">
        <v>2026</v>
      </c>
      <c r="N49" s="52">
        <v>46113</v>
      </c>
      <c r="O49" s="32" t="s">
        <v>22</v>
      </c>
      <c r="P49" s="32"/>
      <c r="Q49" s="32">
        <v>2</v>
      </c>
      <c r="R49" s="32">
        <v>2</v>
      </c>
      <c r="S49" s="53">
        <v>7680.6</v>
      </c>
      <c r="T49" s="53">
        <v>15596.61</v>
      </c>
      <c r="U49" s="53">
        <v>38800.639999999999</v>
      </c>
      <c r="V49" s="376">
        <v>150</v>
      </c>
      <c r="W49">
        <v>15</v>
      </c>
      <c r="X49">
        <v>12</v>
      </c>
      <c r="Y49" s="236">
        <v>10</v>
      </c>
      <c r="Z49" s="236">
        <v>27.5</v>
      </c>
      <c r="AA49" s="54">
        <v>90000</v>
      </c>
      <c r="AB49" s="378">
        <f>S49/10000</f>
        <v>0.76806000000000008</v>
      </c>
      <c r="AC49" s="378">
        <f>T49/27500/3</f>
        <v>0.18904981818181818</v>
      </c>
    </row>
    <row r="50" spans="1:29" x14ac:dyDescent="0.3">
      <c r="M50" s="238">
        <v>2026</v>
      </c>
      <c r="N50" s="52">
        <v>46143</v>
      </c>
      <c r="O50" s="52" t="s">
        <v>31</v>
      </c>
      <c r="P50" s="52"/>
      <c r="Q50" s="32">
        <v>16</v>
      </c>
      <c r="R50" s="32">
        <v>15</v>
      </c>
      <c r="S50" s="53">
        <v>1254.53</v>
      </c>
      <c r="T50" s="53">
        <v>11164.25</v>
      </c>
      <c r="U50" s="53">
        <v>94263.71</v>
      </c>
      <c r="V50" s="376">
        <v>150</v>
      </c>
      <c r="W50">
        <v>15</v>
      </c>
      <c r="X50">
        <v>12</v>
      </c>
      <c r="Y50" s="236">
        <v>8</v>
      </c>
      <c r="Z50" s="236">
        <v>34</v>
      </c>
      <c r="AA50" s="54">
        <v>90000</v>
      </c>
      <c r="AB50" s="35">
        <f>metas[[#This Row],[Meta Individual]]/8000</f>
        <v>0.15681624999999999</v>
      </c>
      <c r="AC50" s="35">
        <f>metas[[#This Row],[Meta Equipe]]/34000/4</f>
        <v>8.2090073529411764E-2</v>
      </c>
    </row>
    <row r="51" spans="1:29" x14ac:dyDescent="0.3">
      <c r="A51" s="47" t="s">
        <v>196</v>
      </c>
      <c r="B51" s="47"/>
      <c r="C51" s="47"/>
      <c r="D51" s="47"/>
      <c r="E51" s="47"/>
      <c r="F51" s="47"/>
      <c r="G51" s="47"/>
      <c r="H51" s="47"/>
      <c r="I51" s="47"/>
      <c r="J51" s="47"/>
      <c r="K51" s="47"/>
      <c r="L51" s="47"/>
      <c r="M51" s="238">
        <v>2026</v>
      </c>
      <c r="N51" s="52">
        <v>46143</v>
      </c>
      <c r="O51" s="32" t="s">
        <v>44</v>
      </c>
      <c r="P51" s="32"/>
      <c r="Q51" s="32">
        <v>18</v>
      </c>
      <c r="R51" s="32">
        <v>19</v>
      </c>
      <c r="S51" s="53">
        <v>7194.36</v>
      </c>
      <c r="T51" s="53">
        <v>11164.25</v>
      </c>
      <c r="U51" s="53">
        <v>129305.78</v>
      </c>
      <c r="V51" s="376">
        <v>150</v>
      </c>
      <c r="W51">
        <v>15</v>
      </c>
      <c r="X51">
        <v>12</v>
      </c>
      <c r="Y51" s="236">
        <v>10</v>
      </c>
      <c r="Z51" s="236">
        <v>34</v>
      </c>
      <c r="AA51" s="54">
        <v>90000</v>
      </c>
      <c r="AB51" s="35">
        <f>metas[[#This Row],[Meta Individual]]/10000</f>
        <v>0.71943599999999996</v>
      </c>
      <c r="AC51" s="35">
        <f>metas[[#This Row],[Meta Equipe]]/34000/4</f>
        <v>8.2090073529411764E-2</v>
      </c>
    </row>
    <row r="52" spans="1:29" x14ac:dyDescent="0.3">
      <c r="A52" s="47" t="s">
        <v>183</v>
      </c>
      <c r="B52" s="47"/>
      <c r="C52" s="47"/>
      <c r="D52" s="47"/>
      <c r="E52" s="47"/>
      <c r="F52" s="47"/>
      <c r="G52" s="47"/>
      <c r="H52" s="47"/>
      <c r="I52" s="47"/>
      <c r="J52" s="47"/>
      <c r="K52" s="47"/>
      <c r="L52" s="47"/>
      <c r="M52" s="238">
        <v>2026</v>
      </c>
      <c r="N52" s="52">
        <v>46143</v>
      </c>
      <c r="O52" s="32" t="s">
        <v>22</v>
      </c>
      <c r="P52" s="32"/>
      <c r="Q52" s="32">
        <v>2</v>
      </c>
      <c r="R52" s="32">
        <v>1</v>
      </c>
      <c r="S52" s="53">
        <v>2715.36</v>
      </c>
      <c r="T52" s="53">
        <v>11164.25</v>
      </c>
      <c r="U52" s="53">
        <v>0</v>
      </c>
      <c r="V52" s="376">
        <v>150</v>
      </c>
      <c r="W52">
        <v>15</v>
      </c>
      <c r="X52">
        <v>12</v>
      </c>
      <c r="Y52" s="236">
        <v>10</v>
      </c>
      <c r="Z52" s="236">
        <v>34</v>
      </c>
      <c r="AA52" s="54">
        <v>90000</v>
      </c>
      <c r="AB52" s="35">
        <f>metas[[#This Row],[Meta Individual]]/10000</f>
        <v>0.271536</v>
      </c>
      <c r="AC52" s="35">
        <f>metas[[#This Row],[Meta Equipe]]/34000/4</f>
        <v>8.2090073529411764E-2</v>
      </c>
    </row>
    <row r="53" spans="1:29" x14ac:dyDescent="0.3">
      <c r="A53" s="47" t="s">
        <v>185</v>
      </c>
      <c r="B53" s="47"/>
      <c r="C53" s="47"/>
      <c r="D53" s="47"/>
      <c r="E53" s="47" t="s">
        <v>186</v>
      </c>
      <c r="F53" s="47"/>
      <c r="G53" s="47"/>
      <c r="H53" s="47"/>
      <c r="I53" s="47" t="s">
        <v>187</v>
      </c>
      <c r="J53" s="47"/>
      <c r="K53" s="47"/>
      <c r="L53" s="47"/>
      <c r="M53" s="238">
        <v>2026</v>
      </c>
      <c r="N53" s="52">
        <v>46143</v>
      </c>
      <c r="O53" t="s">
        <v>142</v>
      </c>
      <c r="Q53" s="32">
        <v>2</v>
      </c>
      <c r="R53" s="32">
        <v>4</v>
      </c>
      <c r="S53" s="53">
        <v>0</v>
      </c>
      <c r="T53" s="53">
        <v>11164.25</v>
      </c>
      <c r="U53" s="53">
        <v>0</v>
      </c>
      <c r="V53" s="376">
        <v>150</v>
      </c>
      <c r="W53">
        <v>15</v>
      </c>
      <c r="X53">
        <v>12</v>
      </c>
      <c r="Y53" s="236">
        <v>6</v>
      </c>
      <c r="Z53" s="236">
        <v>34</v>
      </c>
      <c r="AA53" s="54">
        <v>54000</v>
      </c>
      <c r="AB53" s="35">
        <f>metas[[#This Row],[Meta Individual]]/6000</f>
        <v>0</v>
      </c>
      <c r="AC53" s="35">
        <f>metas[[#This Row],[Meta Equipe]]/34000/4</f>
        <v>8.2090073529411764E-2</v>
      </c>
    </row>
    <row r="54" spans="1:29" x14ac:dyDescent="0.3">
      <c r="A54" s="47"/>
      <c r="B54" s="47" t="s">
        <v>156</v>
      </c>
      <c r="C54" s="47" t="s">
        <v>188</v>
      </c>
      <c r="D54" s="47" t="s">
        <v>158</v>
      </c>
      <c r="E54" s="47"/>
      <c r="F54" s="47" t="s">
        <v>156</v>
      </c>
      <c r="G54" s="47" t="s">
        <v>188</v>
      </c>
      <c r="H54" s="47" t="s">
        <v>158</v>
      </c>
      <c r="I54" s="47"/>
      <c r="J54" s="47" t="s">
        <v>156</v>
      </c>
      <c r="K54" s="47" t="s">
        <v>188</v>
      </c>
      <c r="L54" s="47" t="s">
        <v>158</v>
      </c>
      <c r="M54" s="238">
        <v>2026</v>
      </c>
      <c r="N54" s="52">
        <v>46174</v>
      </c>
      <c r="O54" s="52" t="s">
        <v>31</v>
      </c>
      <c r="P54" s="32"/>
      <c r="Q54" s="32">
        <v>18</v>
      </c>
      <c r="R54" s="32">
        <v>15</v>
      </c>
      <c r="S54" s="53">
        <v>1638.14</v>
      </c>
      <c r="T54" s="53">
        <v>24028.3</v>
      </c>
      <c r="U54" s="53">
        <v>37716</v>
      </c>
      <c r="V54" s="376">
        <v>150</v>
      </c>
      <c r="W54">
        <v>15</v>
      </c>
      <c r="X54">
        <v>12</v>
      </c>
      <c r="Y54" s="236">
        <v>8.5</v>
      </c>
      <c r="Z54" s="236">
        <v>35</v>
      </c>
      <c r="AA54" s="54">
        <v>90000</v>
      </c>
      <c r="AB54" s="35">
        <f>metas[[#This Row],[Meta Individual]]/8500</f>
        <v>0.19272235294117648</v>
      </c>
      <c r="AC54" s="35">
        <f>metas[[#This Row],[Meta Equipe]]/35000/4</f>
        <v>0.17163071428571428</v>
      </c>
    </row>
    <row r="55" spans="1:29" x14ac:dyDescent="0.3">
      <c r="A55" t="s">
        <v>189</v>
      </c>
      <c r="B55">
        <v>15</v>
      </c>
      <c r="C55">
        <v>25</v>
      </c>
      <c r="D55">
        <v>1.666666666666667</v>
      </c>
      <c r="E55" t="s">
        <v>189</v>
      </c>
      <c r="F55">
        <v>15</v>
      </c>
      <c r="G55">
        <v>18</v>
      </c>
      <c r="H55">
        <v>1.2</v>
      </c>
      <c r="I55" t="s">
        <v>189</v>
      </c>
      <c r="J55">
        <v>15</v>
      </c>
      <c r="K55">
        <v>3</v>
      </c>
      <c r="L55">
        <v>0.2</v>
      </c>
      <c r="M55" s="238">
        <v>2026</v>
      </c>
      <c r="N55" s="52">
        <v>46174</v>
      </c>
      <c r="O55" s="32" t="s">
        <v>44</v>
      </c>
      <c r="P55" s="32"/>
      <c r="Q55" s="32">
        <v>16</v>
      </c>
      <c r="R55" s="32">
        <v>17</v>
      </c>
      <c r="S55" s="53">
        <v>14728</v>
      </c>
      <c r="T55" s="53">
        <v>24028.3</v>
      </c>
      <c r="U55" s="53">
        <v>49343.12</v>
      </c>
      <c r="V55" s="376">
        <v>150</v>
      </c>
      <c r="W55">
        <v>15</v>
      </c>
      <c r="X55">
        <v>12</v>
      </c>
      <c r="Y55" s="236">
        <v>10</v>
      </c>
      <c r="Z55" s="236">
        <v>35</v>
      </c>
      <c r="AA55" s="54">
        <v>90000</v>
      </c>
      <c r="AB55" s="35">
        <f>metas[[#This Row],[Meta Individual]]/10000</f>
        <v>1.4728000000000001</v>
      </c>
      <c r="AC55" s="35">
        <f>metas[[#This Row],[Meta Equipe]]/35000/4</f>
        <v>0.17163071428571428</v>
      </c>
    </row>
    <row r="56" spans="1:29" x14ac:dyDescent="0.3">
      <c r="A56" t="s">
        <v>190</v>
      </c>
      <c r="B56">
        <v>12</v>
      </c>
      <c r="C56">
        <v>19</v>
      </c>
      <c r="D56">
        <v>1.583333333333333</v>
      </c>
      <c r="E56" t="s">
        <v>190</v>
      </c>
      <c r="F56">
        <v>12</v>
      </c>
      <c r="G56">
        <v>13</v>
      </c>
      <c r="H56">
        <v>1.083333333333333</v>
      </c>
      <c r="I56" t="s">
        <v>190</v>
      </c>
      <c r="J56">
        <v>12</v>
      </c>
      <c r="K56">
        <v>1</v>
      </c>
      <c r="L56">
        <v>8.3333333333333329E-2</v>
      </c>
      <c r="M56" s="238">
        <v>2026</v>
      </c>
      <c r="N56" s="52">
        <v>46174</v>
      </c>
      <c r="O56" s="32" t="s">
        <v>22</v>
      </c>
      <c r="P56" s="32"/>
      <c r="Q56" s="32">
        <v>0</v>
      </c>
      <c r="R56" s="32">
        <v>0</v>
      </c>
      <c r="S56" s="53">
        <v>0</v>
      </c>
      <c r="T56" s="53">
        <v>24028.3</v>
      </c>
      <c r="U56" s="53">
        <v>0</v>
      </c>
      <c r="V56" s="376">
        <v>150</v>
      </c>
      <c r="W56">
        <v>15</v>
      </c>
      <c r="X56">
        <v>12</v>
      </c>
      <c r="Y56" s="236">
        <v>10</v>
      </c>
      <c r="Z56" s="236">
        <v>35</v>
      </c>
      <c r="AA56" s="54">
        <v>90000</v>
      </c>
      <c r="AB56" s="35">
        <f>metas[[#This Row],[Meta Individual]]/10000</f>
        <v>0</v>
      </c>
      <c r="AC56" s="35">
        <f>metas[[#This Row],[Meta Equipe]]/35000/4</f>
        <v>0.17163071428571428</v>
      </c>
    </row>
    <row r="57" spans="1:29" x14ac:dyDescent="0.3">
      <c r="A57" t="s">
        <v>173</v>
      </c>
      <c r="B57">
        <v>10000</v>
      </c>
      <c r="C57">
        <v>4260.96</v>
      </c>
      <c r="D57">
        <v>0.42609599999999997</v>
      </c>
      <c r="E57" t="s">
        <v>173</v>
      </c>
      <c r="F57">
        <v>10000</v>
      </c>
      <c r="G57">
        <v>4579.8</v>
      </c>
      <c r="H57">
        <v>0.45798</v>
      </c>
      <c r="I57" t="s">
        <v>173</v>
      </c>
      <c r="J57">
        <v>10000</v>
      </c>
      <c r="K57">
        <v>21435.01</v>
      </c>
      <c r="L57">
        <v>2.1435010000000001</v>
      </c>
      <c r="M57" s="238">
        <v>2026</v>
      </c>
      <c r="N57" s="52">
        <v>46174</v>
      </c>
      <c r="O57" t="s">
        <v>142</v>
      </c>
      <c r="P57" s="32"/>
      <c r="Q57" s="32">
        <v>3</v>
      </c>
      <c r="R57" s="32">
        <v>8</v>
      </c>
      <c r="S57" s="53">
        <v>7662.16</v>
      </c>
      <c r="T57" s="53">
        <v>24028.3</v>
      </c>
      <c r="U57" s="53">
        <v>82160</v>
      </c>
      <c r="V57" s="376">
        <v>150</v>
      </c>
      <c r="W57">
        <v>15</v>
      </c>
      <c r="X57">
        <v>12</v>
      </c>
      <c r="Y57" s="236">
        <v>6.5</v>
      </c>
      <c r="Z57" s="236">
        <v>35</v>
      </c>
      <c r="AA57" s="54">
        <v>58500</v>
      </c>
      <c r="AB57" s="391">
        <f>metas[[#This Row],[Meta Individual]]/6500</f>
        <v>1.1787938461538461</v>
      </c>
      <c r="AC57" s="35">
        <f>metas[[#This Row],[Meta Equipe]]/35000/4</f>
        <v>0.17163071428571428</v>
      </c>
    </row>
    <row r="58" spans="1:29" x14ac:dyDescent="0.3">
      <c r="A58" t="s">
        <v>166</v>
      </c>
      <c r="B58">
        <v>30000</v>
      </c>
      <c r="C58">
        <v>30275.77</v>
      </c>
      <c r="D58">
        <v>1.009192333333333</v>
      </c>
      <c r="E58" t="s">
        <v>166</v>
      </c>
      <c r="F58">
        <v>30000</v>
      </c>
      <c r="G58">
        <v>30275.77</v>
      </c>
      <c r="H58">
        <v>1.009192333333333</v>
      </c>
      <c r="I58" t="s">
        <v>166</v>
      </c>
      <c r="J58">
        <v>30000</v>
      </c>
      <c r="K58">
        <v>30275.77</v>
      </c>
      <c r="L58">
        <v>1.009192333333333</v>
      </c>
      <c r="M58" s="238">
        <v>2026</v>
      </c>
      <c r="N58" s="52">
        <v>46204</v>
      </c>
      <c r="O58" s="52" t="s">
        <v>31</v>
      </c>
      <c r="P58" s="32"/>
      <c r="Q58" s="422">
        <v>17</v>
      </c>
      <c r="R58" s="422">
        <v>12</v>
      </c>
      <c r="S58" s="53">
        <v>720</v>
      </c>
      <c r="T58" s="53">
        <v>2880</v>
      </c>
      <c r="U58" s="53">
        <v>112904</v>
      </c>
      <c r="V58" s="376">
        <v>150</v>
      </c>
      <c r="W58">
        <v>15</v>
      </c>
      <c r="X58">
        <v>12</v>
      </c>
      <c r="Y58" s="236">
        <v>9</v>
      </c>
      <c r="Z58" s="236">
        <v>36</v>
      </c>
      <c r="AA58" s="54">
        <v>90000</v>
      </c>
      <c r="AB58" s="391">
        <f>metas[[#This Row],[Meta Individual]]/9000</f>
        <v>0.08</v>
      </c>
      <c r="AC58" s="391">
        <f>metas[[#This Row],[Meta Equipe]]/36000/4</f>
        <v>0.02</v>
      </c>
    </row>
    <row r="59" spans="1:29" x14ac:dyDescent="0.3">
      <c r="A59" t="s">
        <v>174</v>
      </c>
      <c r="B59">
        <v>90000</v>
      </c>
      <c r="C59">
        <v>85918.58</v>
      </c>
      <c r="D59">
        <v>0.95465088888888894</v>
      </c>
      <c r="E59" t="s">
        <v>174</v>
      </c>
      <c r="F59">
        <v>90000</v>
      </c>
      <c r="G59">
        <v>33826.339999999997</v>
      </c>
      <c r="H59">
        <v>0.37584822222222219</v>
      </c>
      <c r="I59" t="s">
        <v>174</v>
      </c>
      <c r="J59">
        <v>90000</v>
      </c>
      <c r="K59">
        <v>211246</v>
      </c>
      <c r="L59">
        <v>2.347177777777778</v>
      </c>
      <c r="M59" s="238">
        <v>2026</v>
      </c>
      <c r="N59" s="52">
        <v>46204</v>
      </c>
      <c r="O59" s="32" t="s">
        <v>44</v>
      </c>
      <c r="P59" s="32"/>
      <c r="Q59" s="422">
        <v>14</v>
      </c>
      <c r="R59" s="422">
        <v>15</v>
      </c>
      <c r="S59" s="53">
        <v>0</v>
      </c>
      <c r="T59" s="53">
        <f>T58</f>
        <v>2880</v>
      </c>
      <c r="U59" s="53">
        <v>7042.9</v>
      </c>
      <c r="V59" s="376">
        <v>150</v>
      </c>
      <c r="W59">
        <v>15</v>
      </c>
      <c r="X59">
        <v>12</v>
      </c>
      <c r="Y59" s="236">
        <v>10</v>
      </c>
      <c r="Z59" s="236">
        <v>36</v>
      </c>
      <c r="AA59" s="54">
        <v>90000</v>
      </c>
      <c r="AB59" s="391">
        <f>metas[[#This Row],[Meta Individual]]/10000</f>
        <v>0</v>
      </c>
      <c r="AC59" s="391">
        <f>metas[[#This Row],[Meta Equipe]]/36000/4</f>
        <v>0.02</v>
      </c>
    </row>
    <row r="60" spans="1:29" x14ac:dyDescent="0.3">
      <c r="M60" s="238">
        <v>2026</v>
      </c>
      <c r="N60" s="52">
        <v>46204</v>
      </c>
      <c r="O60" s="32" t="s">
        <v>22</v>
      </c>
      <c r="P60" s="32"/>
      <c r="Q60" s="422">
        <v>0</v>
      </c>
      <c r="R60" s="422">
        <v>0</v>
      </c>
      <c r="S60" s="53">
        <v>2160</v>
      </c>
      <c r="T60" s="53">
        <f>T59</f>
        <v>2880</v>
      </c>
      <c r="U60" s="53">
        <v>12680</v>
      </c>
      <c r="V60" s="376">
        <v>150</v>
      </c>
      <c r="W60">
        <v>15</v>
      </c>
      <c r="X60">
        <v>12</v>
      </c>
      <c r="Y60" s="236">
        <v>10</v>
      </c>
      <c r="Z60" s="236">
        <v>36</v>
      </c>
      <c r="AA60" s="54">
        <v>90000</v>
      </c>
      <c r="AB60" s="391">
        <f>metas[[#This Row],[Meta Individual]]/10000</f>
        <v>0.216</v>
      </c>
      <c r="AC60" s="391">
        <f>metas[[#This Row],[Meta Equipe]]/36000/4</f>
        <v>0.02</v>
      </c>
    </row>
    <row r="61" spans="1:29" x14ac:dyDescent="0.3">
      <c r="A61" s="47" t="s">
        <v>197</v>
      </c>
      <c r="B61" s="47"/>
      <c r="C61" s="47"/>
      <c r="D61" s="47"/>
      <c r="E61" s="47"/>
      <c r="F61" s="47"/>
      <c r="G61" s="47"/>
      <c r="H61" s="47"/>
      <c r="I61" s="47"/>
      <c r="J61" s="47"/>
      <c r="K61" s="47"/>
      <c r="L61" s="47"/>
      <c r="M61" s="238">
        <v>2026</v>
      </c>
      <c r="N61" s="52">
        <v>46204</v>
      </c>
      <c r="O61" t="s">
        <v>142</v>
      </c>
      <c r="P61" s="32"/>
      <c r="Q61" s="422">
        <v>7</v>
      </c>
      <c r="R61" s="422">
        <v>11</v>
      </c>
      <c r="S61" s="53">
        <f>'Metas Quadro'!C18</f>
        <v>0</v>
      </c>
      <c r="T61" s="53">
        <f>T60</f>
        <v>2880</v>
      </c>
      <c r="U61" s="53">
        <f>'Metas Quadro'!C17</f>
        <v>0</v>
      </c>
      <c r="V61" s="376">
        <v>150</v>
      </c>
      <c r="W61">
        <v>15</v>
      </c>
      <c r="X61">
        <v>12</v>
      </c>
      <c r="Y61" s="236">
        <v>7</v>
      </c>
      <c r="Z61" s="236">
        <v>36</v>
      </c>
      <c r="AA61" s="54">
        <v>63000</v>
      </c>
      <c r="AB61" s="391">
        <f>metas[[#This Row],[Meta Individual]]/7000</f>
        <v>0</v>
      </c>
      <c r="AC61" s="391">
        <f>metas[[#This Row],[Meta Equipe]]/36000/4</f>
        <v>0.02</v>
      </c>
    </row>
    <row r="62" spans="1:29" x14ac:dyDescent="0.3">
      <c r="A62" s="47" t="s">
        <v>183</v>
      </c>
      <c r="B62" s="47"/>
      <c r="C62" s="47"/>
      <c r="D62" s="47"/>
      <c r="E62" s="47"/>
      <c r="F62" s="47"/>
      <c r="G62" s="47"/>
      <c r="H62" s="47"/>
      <c r="I62" s="47"/>
      <c r="J62" s="47"/>
      <c r="K62" s="47"/>
      <c r="L62" s="47"/>
      <c r="M62" s="238">
        <v>2026</v>
      </c>
      <c r="N62" s="52">
        <v>46235</v>
      </c>
      <c r="O62" s="52" t="s">
        <v>31</v>
      </c>
      <c r="P62" s="32"/>
      <c r="Q62" s="377">
        <v>11</v>
      </c>
      <c r="R62" s="377">
        <v>6</v>
      </c>
      <c r="S62" s="53">
        <f>'Metas Quadro'!C9</f>
        <v>10463.76</v>
      </c>
      <c r="T62" s="53">
        <f>'Metas Quadro'!C25</f>
        <v>10911.76</v>
      </c>
      <c r="U62" s="53">
        <f>'Metas Quadro'!C8</f>
        <v>16300</v>
      </c>
      <c r="V62" s="376">
        <v>150</v>
      </c>
      <c r="W62">
        <v>15</v>
      </c>
      <c r="X62">
        <v>12</v>
      </c>
      <c r="Y62" s="236">
        <v>9.5</v>
      </c>
      <c r="Z62" s="236">
        <v>37</v>
      </c>
      <c r="AA62" s="54">
        <v>90000</v>
      </c>
      <c r="AB62" s="391">
        <f>metas[[#This Row],[Meta Individual]]/9500</f>
        <v>1.1014484210526316</v>
      </c>
      <c r="AC62" s="391">
        <f>metas[[#This Row],[Meta Equipe]]/36000/4</f>
        <v>7.5776111111111114E-2</v>
      </c>
    </row>
    <row r="63" spans="1:29" x14ac:dyDescent="0.3">
      <c r="A63" s="47" t="s">
        <v>185</v>
      </c>
      <c r="B63" s="47"/>
      <c r="C63" s="47"/>
      <c r="D63" s="47"/>
      <c r="E63" s="47" t="s">
        <v>186</v>
      </c>
      <c r="F63" s="47"/>
      <c r="G63" s="47"/>
      <c r="H63" s="47"/>
      <c r="I63" s="47" t="s">
        <v>187</v>
      </c>
      <c r="J63" s="47"/>
      <c r="K63" s="47"/>
      <c r="L63" s="47"/>
      <c r="M63" s="238">
        <v>2026</v>
      </c>
      <c r="N63" s="52">
        <v>46235</v>
      </c>
      <c r="O63" s="32" t="s">
        <v>44</v>
      </c>
      <c r="P63" s="32"/>
      <c r="Q63" s="377">
        <v>1</v>
      </c>
      <c r="R63" s="377">
        <v>0</v>
      </c>
      <c r="S63" s="53">
        <f>'Metas Quadro'!C5</f>
        <v>448</v>
      </c>
      <c r="T63" s="53">
        <f>T62</f>
        <v>10911.76</v>
      </c>
      <c r="U63" s="53">
        <f>'Metas Quadro'!C4</f>
        <v>86455.76</v>
      </c>
      <c r="V63" s="376">
        <v>150</v>
      </c>
      <c r="W63">
        <v>15</v>
      </c>
      <c r="X63">
        <v>12</v>
      </c>
      <c r="Y63" s="236">
        <v>10</v>
      </c>
      <c r="Z63" s="236">
        <v>37</v>
      </c>
      <c r="AA63" s="54">
        <v>90000</v>
      </c>
      <c r="AB63" s="391">
        <f>metas[[#This Row],[Meta Individual]]/10000</f>
        <v>4.48E-2</v>
      </c>
      <c r="AC63" s="391">
        <f>metas[[#This Row],[Meta Equipe]]/36000/4</f>
        <v>7.5776111111111114E-2</v>
      </c>
    </row>
    <row r="64" spans="1:29" x14ac:dyDescent="0.3">
      <c r="A64" s="47"/>
      <c r="B64" s="47" t="s">
        <v>156</v>
      </c>
      <c r="C64" s="47" t="s">
        <v>188</v>
      </c>
      <c r="D64" s="47" t="s">
        <v>158</v>
      </c>
      <c r="E64" s="47"/>
      <c r="F64" s="47" t="s">
        <v>156</v>
      </c>
      <c r="G64" s="47" t="s">
        <v>188</v>
      </c>
      <c r="H64" s="47" t="s">
        <v>158</v>
      </c>
      <c r="I64" s="47"/>
      <c r="J64" s="47" t="s">
        <v>156</v>
      </c>
      <c r="K64" s="47" t="s">
        <v>188</v>
      </c>
      <c r="L64" s="47" t="s">
        <v>158</v>
      </c>
      <c r="M64" s="238">
        <v>2026</v>
      </c>
      <c r="N64" s="52">
        <v>46235</v>
      </c>
      <c r="O64" s="32" t="s">
        <v>22</v>
      </c>
      <c r="P64" s="32"/>
      <c r="Q64" s="377">
        <v>1</v>
      </c>
      <c r="R64" s="377">
        <v>2</v>
      </c>
      <c r="S64" s="53">
        <f>'Metas Quadro'!C14</f>
        <v>0</v>
      </c>
      <c r="T64" s="53">
        <f>T63</f>
        <v>10911.76</v>
      </c>
      <c r="U64" s="53">
        <f>'Metas Quadro'!C13</f>
        <v>0</v>
      </c>
      <c r="V64" s="376">
        <v>150</v>
      </c>
      <c r="W64">
        <v>15</v>
      </c>
      <c r="X64">
        <v>12</v>
      </c>
      <c r="Y64" s="236">
        <v>10</v>
      </c>
      <c r="Z64" s="236">
        <v>37</v>
      </c>
      <c r="AA64" s="54">
        <v>90000</v>
      </c>
      <c r="AB64" s="391">
        <f>metas[[#This Row],[Meta Individual]]/metas[[#This Row],[OB Individual]]</f>
        <v>0</v>
      </c>
      <c r="AC64" s="391">
        <f>metas[[#This Row],[Meta Equipe]]/36000/4</f>
        <v>7.5776111111111114E-2</v>
      </c>
    </row>
    <row r="65" spans="1:29" x14ac:dyDescent="0.3">
      <c r="A65" t="s">
        <v>189</v>
      </c>
      <c r="B65">
        <v>15</v>
      </c>
      <c r="C65">
        <v>22</v>
      </c>
      <c r="D65">
        <v>1.466666666666667</v>
      </c>
      <c r="E65" t="s">
        <v>189</v>
      </c>
      <c r="F65">
        <v>15</v>
      </c>
      <c r="G65">
        <v>17</v>
      </c>
      <c r="H65">
        <v>1.1333333333333331</v>
      </c>
      <c r="I65" t="s">
        <v>189</v>
      </c>
      <c r="J65">
        <v>15</v>
      </c>
      <c r="K65">
        <v>2</v>
      </c>
      <c r="L65">
        <v>0.1333333333333333</v>
      </c>
      <c r="M65" s="238">
        <v>2026</v>
      </c>
      <c r="N65" s="52">
        <v>46235</v>
      </c>
      <c r="O65" t="s">
        <v>142</v>
      </c>
      <c r="P65" s="32"/>
      <c r="Q65" s="377">
        <v>4</v>
      </c>
      <c r="R65" s="377">
        <v>0</v>
      </c>
      <c r="S65" s="53">
        <f>'Metas Quadro'!C18</f>
        <v>0</v>
      </c>
      <c r="T65" s="53">
        <f>T64</f>
        <v>10911.76</v>
      </c>
      <c r="U65" s="53">
        <f>'Metas Quadro'!C17</f>
        <v>0</v>
      </c>
      <c r="V65" s="376">
        <v>150</v>
      </c>
      <c r="W65">
        <v>15</v>
      </c>
      <c r="X65">
        <v>12</v>
      </c>
      <c r="Y65" s="236">
        <v>7.5</v>
      </c>
      <c r="Z65" s="236">
        <v>37</v>
      </c>
      <c r="AA65" s="54">
        <v>67500</v>
      </c>
      <c r="AB65" s="391">
        <f>metas[[#This Row],[Meta Individual]]/metas[[#This Row],[OB Individual]]</f>
        <v>0</v>
      </c>
      <c r="AC65" s="391">
        <f>metas[[#This Row],[Meta Equipe]]/36000/4</f>
        <v>7.5776111111111114E-2</v>
      </c>
    </row>
    <row r="66" spans="1:29" x14ac:dyDescent="0.3">
      <c r="A66" t="s">
        <v>190</v>
      </c>
      <c r="B66">
        <v>12</v>
      </c>
      <c r="C66">
        <v>14</v>
      </c>
      <c r="D66">
        <v>1.166666666666667</v>
      </c>
      <c r="E66" t="s">
        <v>190</v>
      </c>
      <c r="F66">
        <v>12</v>
      </c>
      <c r="G66">
        <v>12</v>
      </c>
      <c r="H66">
        <v>1</v>
      </c>
      <c r="I66" t="s">
        <v>190</v>
      </c>
      <c r="J66">
        <v>12</v>
      </c>
      <c r="K66">
        <v>1</v>
      </c>
      <c r="L66">
        <v>8.3333333333333329E-2</v>
      </c>
    </row>
    <row r="67" spans="1:29" x14ac:dyDescent="0.3">
      <c r="A67" t="s">
        <v>173</v>
      </c>
      <c r="B67">
        <v>10000</v>
      </c>
      <c r="C67">
        <v>1733.34</v>
      </c>
      <c r="D67">
        <v>0.17333399999999999</v>
      </c>
      <c r="E67" t="s">
        <v>173</v>
      </c>
      <c r="F67">
        <v>10000</v>
      </c>
      <c r="G67">
        <v>142.56</v>
      </c>
      <c r="H67">
        <v>1.4256E-2</v>
      </c>
      <c r="I67" t="s">
        <v>173</v>
      </c>
      <c r="J67">
        <v>10000</v>
      </c>
      <c r="K67">
        <v>10000</v>
      </c>
      <c r="L67">
        <v>1</v>
      </c>
    </row>
    <row r="68" spans="1:29" x14ac:dyDescent="0.3">
      <c r="A68" t="s">
        <v>166</v>
      </c>
      <c r="B68">
        <v>30000</v>
      </c>
      <c r="C68">
        <v>11875.9</v>
      </c>
      <c r="D68">
        <v>0.39586333333333329</v>
      </c>
      <c r="E68" t="s">
        <v>166</v>
      </c>
      <c r="F68">
        <v>30000</v>
      </c>
      <c r="G68">
        <v>11875.9</v>
      </c>
      <c r="H68">
        <v>0.39586333333333329</v>
      </c>
      <c r="I68" t="s">
        <v>166</v>
      </c>
      <c r="J68">
        <v>30000</v>
      </c>
      <c r="K68">
        <v>11875.9</v>
      </c>
      <c r="L68">
        <v>0.39586333333333329</v>
      </c>
    </row>
    <row r="69" spans="1:29" x14ac:dyDescent="0.3">
      <c r="A69" t="s">
        <v>174</v>
      </c>
      <c r="B69">
        <v>90000</v>
      </c>
      <c r="C69">
        <v>86932.5</v>
      </c>
      <c r="D69">
        <v>0.96591666666666665</v>
      </c>
      <c r="E69" t="s">
        <v>174</v>
      </c>
      <c r="F69">
        <v>90000</v>
      </c>
      <c r="G69">
        <v>6071.21</v>
      </c>
      <c r="H69">
        <v>6.7457888888888887E-2</v>
      </c>
      <c r="I69" t="s">
        <v>174</v>
      </c>
      <c r="J69">
        <v>90000</v>
      </c>
      <c r="K69">
        <v>90575</v>
      </c>
      <c r="L69">
        <v>1.006388888888889</v>
      </c>
    </row>
    <row r="71" spans="1:29" x14ac:dyDescent="0.3">
      <c r="A71" s="47" t="s">
        <v>198</v>
      </c>
      <c r="B71" s="47"/>
      <c r="C71" s="47"/>
      <c r="D71" s="47"/>
      <c r="E71" s="47"/>
      <c r="F71" s="47"/>
      <c r="G71" s="47"/>
      <c r="H71" s="47"/>
      <c r="I71" s="47"/>
      <c r="J71" s="47"/>
      <c r="K71" s="47"/>
      <c r="L71" s="47"/>
    </row>
    <row r="72" spans="1:29" x14ac:dyDescent="0.3">
      <c r="A72" s="47" t="s">
        <v>183</v>
      </c>
      <c r="B72" s="47"/>
      <c r="C72" s="47"/>
      <c r="D72" s="47"/>
      <c r="E72" s="47"/>
      <c r="F72" s="47"/>
      <c r="G72" s="47"/>
      <c r="H72" s="47"/>
      <c r="I72" s="47"/>
      <c r="J72" s="47"/>
      <c r="K72" s="47"/>
      <c r="L72" s="47"/>
    </row>
    <row r="73" spans="1:29" x14ac:dyDescent="0.3">
      <c r="A73" s="47" t="s">
        <v>185</v>
      </c>
      <c r="B73" s="47"/>
      <c r="C73" s="47"/>
      <c r="D73" s="47"/>
      <c r="E73" s="47" t="s">
        <v>186</v>
      </c>
      <c r="F73" s="47"/>
      <c r="G73" s="47"/>
      <c r="H73" s="47"/>
      <c r="I73" s="47" t="s">
        <v>187</v>
      </c>
      <c r="J73" s="47"/>
      <c r="K73" s="47"/>
      <c r="L73" s="47"/>
    </row>
    <row r="74" spans="1:29" x14ac:dyDescent="0.3">
      <c r="A74" s="47"/>
      <c r="B74" s="47" t="s">
        <v>156</v>
      </c>
      <c r="C74" s="47" t="s">
        <v>188</v>
      </c>
      <c r="D74" s="47" t="s">
        <v>158</v>
      </c>
      <c r="E74" s="47"/>
      <c r="F74" s="47" t="s">
        <v>156</v>
      </c>
      <c r="G74" s="47" t="s">
        <v>188</v>
      </c>
      <c r="H74" s="47" t="s">
        <v>158</v>
      </c>
      <c r="I74" s="47"/>
      <c r="J74" s="47" t="s">
        <v>156</v>
      </c>
      <c r="K74" s="47" t="s">
        <v>188</v>
      </c>
      <c r="L74" s="47" t="s">
        <v>158</v>
      </c>
    </row>
    <row r="75" spans="1:29" x14ac:dyDescent="0.3">
      <c r="A75" t="s">
        <v>189</v>
      </c>
      <c r="B75">
        <v>15</v>
      </c>
      <c r="C75">
        <v>25</v>
      </c>
      <c r="D75">
        <v>1.666666666666667</v>
      </c>
      <c r="E75" t="s">
        <v>189</v>
      </c>
      <c r="F75">
        <v>15</v>
      </c>
      <c r="G75">
        <v>16</v>
      </c>
      <c r="H75">
        <v>1.0666666666666671</v>
      </c>
      <c r="I75" t="s">
        <v>189</v>
      </c>
      <c r="J75">
        <v>15</v>
      </c>
      <c r="K75">
        <v>8</v>
      </c>
      <c r="L75">
        <v>0.53333333333333333</v>
      </c>
    </row>
    <row r="76" spans="1:29" x14ac:dyDescent="0.3">
      <c r="A76" t="s">
        <v>190</v>
      </c>
      <c r="B76">
        <v>12</v>
      </c>
      <c r="C76">
        <v>17</v>
      </c>
      <c r="D76">
        <v>1.416666666666667</v>
      </c>
      <c r="E76" t="s">
        <v>190</v>
      </c>
      <c r="F76">
        <v>12</v>
      </c>
      <c r="G76">
        <v>13</v>
      </c>
      <c r="H76">
        <v>1.083333333333333</v>
      </c>
      <c r="I76" t="s">
        <v>190</v>
      </c>
      <c r="J76">
        <v>12</v>
      </c>
      <c r="K76">
        <v>8</v>
      </c>
      <c r="L76">
        <v>0.66666666666666663</v>
      </c>
    </row>
    <row r="77" spans="1:29" x14ac:dyDescent="0.3">
      <c r="A77" t="s">
        <v>173</v>
      </c>
      <c r="B77">
        <v>10000</v>
      </c>
      <c r="C77">
        <v>1667.4</v>
      </c>
      <c r="D77">
        <v>0.16674</v>
      </c>
      <c r="E77" t="s">
        <v>173</v>
      </c>
      <c r="F77">
        <v>10000</v>
      </c>
      <c r="G77">
        <v>5551.4</v>
      </c>
      <c r="H77">
        <v>0.55513999999999997</v>
      </c>
      <c r="I77" t="s">
        <v>173</v>
      </c>
      <c r="J77">
        <v>10000</v>
      </c>
      <c r="K77">
        <v>7361.47</v>
      </c>
      <c r="L77">
        <v>0.736147</v>
      </c>
    </row>
    <row r="78" spans="1:29" x14ac:dyDescent="0.3">
      <c r="A78" t="s">
        <v>166</v>
      </c>
      <c r="B78">
        <v>30000</v>
      </c>
      <c r="C78">
        <v>14580.27</v>
      </c>
      <c r="D78">
        <v>0.48600900000000002</v>
      </c>
      <c r="E78" t="s">
        <v>166</v>
      </c>
      <c r="F78">
        <v>30000</v>
      </c>
      <c r="G78">
        <v>14580.27</v>
      </c>
      <c r="H78">
        <v>0.48600900000000002</v>
      </c>
      <c r="I78" t="s">
        <v>166</v>
      </c>
      <c r="J78">
        <v>30000</v>
      </c>
      <c r="K78">
        <v>14580.27</v>
      </c>
      <c r="L78">
        <v>0.48600900000000002</v>
      </c>
    </row>
    <row r="79" spans="1:29" x14ac:dyDescent="0.3">
      <c r="A79" t="s">
        <v>174</v>
      </c>
      <c r="B79">
        <v>90000</v>
      </c>
      <c r="C79">
        <v>37218.92</v>
      </c>
      <c r="D79">
        <v>0.41354355555555561</v>
      </c>
      <c r="E79" t="s">
        <v>174</v>
      </c>
      <c r="F79">
        <v>90000</v>
      </c>
      <c r="G79">
        <v>69366.399999999994</v>
      </c>
      <c r="H79">
        <v>0.77073777777777774</v>
      </c>
      <c r="I79" t="s">
        <v>174</v>
      </c>
      <c r="J79">
        <v>90000</v>
      </c>
      <c r="K79">
        <v>57100</v>
      </c>
      <c r="L79">
        <v>0.63444444444444448</v>
      </c>
    </row>
    <row r="81" spans="1:12" x14ac:dyDescent="0.3">
      <c r="A81" s="47" t="s">
        <v>199</v>
      </c>
      <c r="B81" s="47"/>
      <c r="C81" s="47"/>
      <c r="D81" s="47"/>
      <c r="E81" s="47"/>
      <c r="F81" s="47"/>
      <c r="G81" s="47"/>
      <c r="H81" s="47"/>
      <c r="I81" s="47"/>
      <c r="J81" s="47"/>
      <c r="K81" s="47"/>
      <c r="L81" s="47"/>
    </row>
    <row r="82" spans="1:12" x14ac:dyDescent="0.3">
      <c r="A82" s="47" t="s">
        <v>183</v>
      </c>
      <c r="B82" s="47"/>
      <c r="C82" s="47"/>
      <c r="D82" s="47"/>
      <c r="E82" s="47"/>
      <c r="F82" s="47"/>
      <c r="G82" s="47"/>
      <c r="H82" s="47"/>
      <c r="I82" s="47"/>
      <c r="J82" s="47"/>
      <c r="K82" s="47"/>
      <c r="L82" s="47"/>
    </row>
    <row r="83" spans="1:12" x14ac:dyDescent="0.3">
      <c r="A83" s="47" t="s">
        <v>185</v>
      </c>
      <c r="B83" s="47"/>
      <c r="C83" s="47"/>
      <c r="D83" s="47"/>
      <c r="E83" s="47" t="s">
        <v>186</v>
      </c>
      <c r="F83" s="47"/>
      <c r="G83" s="47"/>
      <c r="H83" s="47"/>
      <c r="I83" s="47" t="s">
        <v>187</v>
      </c>
      <c r="J83" s="47"/>
      <c r="K83" s="47"/>
      <c r="L83" s="47"/>
    </row>
    <row r="84" spans="1:12" x14ac:dyDescent="0.3">
      <c r="A84" s="47"/>
      <c r="B84" s="47" t="s">
        <v>156</v>
      </c>
      <c r="C84" s="47" t="s">
        <v>188</v>
      </c>
      <c r="D84" s="47" t="s">
        <v>158</v>
      </c>
      <c r="E84" s="47"/>
      <c r="F84" s="47" t="s">
        <v>156</v>
      </c>
      <c r="G84" s="47" t="s">
        <v>188</v>
      </c>
      <c r="H84" s="47" t="s">
        <v>158</v>
      </c>
      <c r="I84" s="47"/>
      <c r="J84" s="47" t="s">
        <v>156</v>
      </c>
      <c r="K84" s="47" t="s">
        <v>188</v>
      </c>
      <c r="L84" s="47" t="s">
        <v>158</v>
      </c>
    </row>
    <row r="85" spans="1:12" x14ac:dyDescent="0.3">
      <c r="A85" t="s">
        <v>189</v>
      </c>
      <c r="B85">
        <v>15</v>
      </c>
      <c r="C85">
        <v>25</v>
      </c>
      <c r="D85">
        <v>1.666666666666667</v>
      </c>
      <c r="E85" t="s">
        <v>189</v>
      </c>
      <c r="F85">
        <v>15</v>
      </c>
      <c r="G85">
        <v>16</v>
      </c>
      <c r="H85">
        <v>1.0666666666666671</v>
      </c>
      <c r="I85" t="s">
        <v>189</v>
      </c>
      <c r="J85">
        <v>15</v>
      </c>
      <c r="K85">
        <v>11</v>
      </c>
      <c r="L85">
        <v>0.73333333333333328</v>
      </c>
    </row>
    <row r="86" spans="1:12" x14ac:dyDescent="0.3">
      <c r="A86" t="s">
        <v>190</v>
      </c>
      <c r="B86">
        <v>12</v>
      </c>
      <c r="C86">
        <v>16</v>
      </c>
      <c r="D86">
        <v>1.333333333333333</v>
      </c>
      <c r="E86" t="s">
        <v>190</v>
      </c>
      <c r="F86">
        <v>12</v>
      </c>
      <c r="G86">
        <v>18</v>
      </c>
      <c r="H86">
        <v>1.5</v>
      </c>
      <c r="I86" t="s">
        <v>190</v>
      </c>
      <c r="J86">
        <v>12</v>
      </c>
      <c r="K86">
        <v>11</v>
      </c>
      <c r="L86">
        <v>0.91666666666666663</v>
      </c>
    </row>
    <row r="87" spans="1:12" x14ac:dyDescent="0.3">
      <c r="A87" t="s">
        <v>173</v>
      </c>
      <c r="B87">
        <v>10000</v>
      </c>
      <c r="C87">
        <v>3619.87</v>
      </c>
      <c r="D87">
        <v>0.361987</v>
      </c>
      <c r="E87" t="s">
        <v>173</v>
      </c>
      <c r="F87">
        <v>10000</v>
      </c>
      <c r="G87">
        <v>6448.22</v>
      </c>
      <c r="H87">
        <v>0.64482200000000001</v>
      </c>
      <c r="I87" t="s">
        <v>173</v>
      </c>
      <c r="J87">
        <v>10000</v>
      </c>
      <c r="K87">
        <v>2857.1</v>
      </c>
      <c r="L87">
        <v>0.28571000000000002</v>
      </c>
    </row>
    <row r="88" spans="1:12" x14ac:dyDescent="0.3">
      <c r="A88" t="s">
        <v>166</v>
      </c>
      <c r="B88">
        <v>30000</v>
      </c>
      <c r="C88">
        <v>12925.19</v>
      </c>
      <c r="D88">
        <v>0.43083966666666668</v>
      </c>
      <c r="E88" t="s">
        <v>166</v>
      </c>
      <c r="F88">
        <v>30000</v>
      </c>
      <c r="G88">
        <v>12925.19</v>
      </c>
      <c r="H88">
        <v>0.43083966666666668</v>
      </c>
      <c r="I88" t="s">
        <v>166</v>
      </c>
      <c r="J88">
        <v>30000</v>
      </c>
      <c r="K88">
        <v>12925.19</v>
      </c>
      <c r="L88">
        <v>0.43083966666666668</v>
      </c>
    </row>
    <row r="89" spans="1:12" x14ac:dyDescent="0.3">
      <c r="A89" t="s">
        <v>174</v>
      </c>
      <c r="B89">
        <v>90000</v>
      </c>
      <c r="C89">
        <v>156911.70000000001</v>
      </c>
      <c r="D89">
        <v>1.7434633333333329</v>
      </c>
      <c r="E89" t="s">
        <v>174</v>
      </c>
      <c r="F89">
        <v>90000</v>
      </c>
      <c r="G89">
        <v>134306.46</v>
      </c>
      <c r="H89">
        <v>1.492294</v>
      </c>
      <c r="I89" t="s">
        <v>174</v>
      </c>
      <c r="J89">
        <v>90000</v>
      </c>
      <c r="K89">
        <v>47500</v>
      </c>
      <c r="L89">
        <v>0.52777777777777779</v>
      </c>
    </row>
    <row r="91" spans="1:12" x14ac:dyDescent="0.3">
      <c r="A91" s="55" t="s">
        <v>200</v>
      </c>
      <c r="B91" s="55"/>
      <c r="C91" s="55"/>
      <c r="D91" s="55"/>
      <c r="E91" s="55"/>
      <c r="F91" s="55"/>
      <c r="G91" s="55"/>
      <c r="H91" s="55"/>
      <c r="I91" s="55"/>
      <c r="J91" s="55"/>
      <c r="K91" s="55"/>
      <c r="L91" s="55"/>
    </row>
    <row r="92" spans="1:12" x14ac:dyDescent="0.3">
      <c r="A92" s="55" t="s">
        <v>183</v>
      </c>
      <c r="B92" s="55"/>
      <c r="C92" s="55"/>
      <c r="D92" s="55"/>
      <c r="E92" s="55"/>
      <c r="F92" s="55"/>
      <c r="G92" s="55"/>
      <c r="H92" s="55"/>
      <c r="I92" s="55"/>
      <c r="J92" s="55"/>
      <c r="K92" s="55"/>
      <c r="L92" s="55"/>
    </row>
    <row r="93" spans="1:12" x14ac:dyDescent="0.3">
      <c r="A93" s="55" t="s">
        <v>185</v>
      </c>
      <c r="B93" s="55"/>
      <c r="C93" s="55"/>
      <c r="D93" s="55"/>
      <c r="E93" s="55" t="s">
        <v>186</v>
      </c>
      <c r="F93" s="55"/>
      <c r="G93" s="55"/>
      <c r="H93" s="55"/>
      <c r="I93" s="55" t="s">
        <v>187</v>
      </c>
      <c r="J93" s="55"/>
      <c r="K93" s="55"/>
      <c r="L93" s="55"/>
    </row>
    <row r="94" spans="1:12" x14ac:dyDescent="0.3">
      <c r="A94" s="55"/>
      <c r="B94" s="55" t="s">
        <v>156</v>
      </c>
      <c r="C94" s="55" t="s">
        <v>188</v>
      </c>
      <c r="D94" s="55" t="s">
        <v>158</v>
      </c>
      <c r="E94" s="55"/>
      <c r="F94" s="55" t="s">
        <v>156</v>
      </c>
      <c r="G94" s="55" t="s">
        <v>188</v>
      </c>
      <c r="H94" s="55" t="s">
        <v>158</v>
      </c>
      <c r="I94" s="55"/>
      <c r="J94" s="55" t="s">
        <v>156</v>
      </c>
      <c r="K94" s="55" t="s">
        <v>188</v>
      </c>
      <c r="L94" s="55" t="s">
        <v>158</v>
      </c>
    </row>
    <row r="95" spans="1:12" x14ac:dyDescent="0.3">
      <c r="A95" t="s">
        <v>189</v>
      </c>
      <c r="B95">
        <v>15</v>
      </c>
      <c r="C95">
        <v>15</v>
      </c>
      <c r="D95">
        <v>1</v>
      </c>
      <c r="E95" t="s">
        <v>189</v>
      </c>
      <c r="F95">
        <v>15</v>
      </c>
      <c r="G95">
        <v>15</v>
      </c>
      <c r="H95">
        <v>1</v>
      </c>
      <c r="I95" t="s">
        <v>189</v>
      </c>
      <c r="J95">
        <v>15</v>
      </c>
      <c r="K95">
        <v>15</v>
      </c>
      <c r="L95">
        <v>1</v>
      </c>
    </row>
    <row r="96" spans="1:12" x14ac:dyDescent="0.3">
      <c r="A96" t="s">
        <v>190</v>
      </c>
      <c r="B96">
        <v>12</v>
      </c>
      <c r="C96">
        <v>12</v>
      </c>
      <c r="D96">
        <v>1</v>
      </c>
      <c r="E96" t="s">
        <v>190</v>
      </c>
      <c r="F96">
        <v>12</v>
      </c>
      <c r="G96">
        <v>12</v>
      </c>
      <c r="H96">
        <v>1</v>
      </c>
      <c r="I96" t="s">
        <v>190</v>
      </c>
      <c r="J96">
        <v>12</v>
      </c>
      <c r="K96">
        <v>12</v>
      </c>
      <c r="L96">
        <v>1</v>
      </c>
    </row>
    <row r="97" spans="1:12" x14ac:dyDescent="0.3">
      <c r="A97" t="s">
        <v>173</v>
      </c>
      <c r="B97">
        <v>6000</v>
      </c>
      <c r="C97">
        <v>1927.89</v>
      </c>
      <c r="D97">
        <v>0.32131500000000002</v>
      </c>
      <c r="E97" t="s">
        <v>173</v>
      </c>
      <c r="F97">
        <v>10000</v>
      </c>
      <c r="G97">
        <v>0</v>
      </c>
      <c r="H97">
        <v>0</v>
      </c>
      <c r="I97" t="s">
        <v>173</v>
      </c>
      <c r="J97">
        <v>10000</v>
      </c>
      <c r="K97">
        <v>0</v>
      </c>
      <c r="L97">
        <v>0</v>
      </c>
    </row>
    <row r="98" spans="1:12" x14ac:dyDescent="0.3">
      <c r="A98" t="s">
        <v>166</v>
      </c>
      <c r="B98">
        <v>30000</v>
      </c>
      <c r="C98">
        <v>1927.89</v>
      </c>
      <c r="D98">
        <v>6.4263000000000001E-2</v>
      </c>
      <c r="E98" t="s">
        <v>166</v>
      </c>
      <c r="F98">
        <v>30000</v>
      </c>
      <c r="G98">
        <v>1927.89</v>
      </c>
      <c r="H98">
        <v>6.4263000000000001E-2</v>
      </c>
      <c r="I98" t="s">
        <v>166</v>
      </c>
      <c r="J98">
        <v>30000</v>
      </c>
      <c r="K98">
        <v>1927.89</v>
      </c>
      <c r="L98">
        <v>6.4263000000000001E-2</v>
      </c>
    </row>
    <row r="99" spans="1:12" x14ac:dyDescent="0.3">
      <c r="A99" t="s">
        <v>174</v>
      </c>
      <c r="B99">
        <v>90000</v>
      </c>
      <c r="C99">
        <v>117851.89</v>
      </c>
      <c r="D99">
        <v>1.309465444444444</v>
      </c>
      <c r="E99" t="s">
        <v>174</v>
      </c>
      <c r="F99">
        <v>90000</v>
      </c>
      <c r="G99">
        <v>39131.15</v>
      </c>
      <c r="H99">
        <v>0.43479055555555562</v>
      </c>
      <c r="I99" t="s">
        <v>174</v>
      </c>
      <c r="J99">
        <v>90000</v>
      </c>
      <c r="K99">
        <v>0</v>
      </c>
      <c r="L99">
        <v>0</v>
      </c>
    </row>
    <row r="101" spans="1:12" x14ac:dyDescent="0.3">
      <c r="A101" s="55" t="s">
        <v>201</v>
      </c>
      <c r="B101" s="55"/>
      <c r="C101" s="55"/>
      <c r="D101" s="55"/>
      <c r="E101" s="55"/>
      <c r="F101" s="55"/>
      <c r="G101" s="55"/>
      <c r="H101" s="55"/>
      <c r="I101" s="55"/>
      <c r="J101" s="55"/>
      <c r="K101" s="55"/>
      <c r="L101" s="55"/>
    </row>
    <row r="102" spans="1:12" x14ac:dyDescent="0.3">
      <c r="A102" s="55" t="s">
        <v>183</v>
      </c>
      <c r="B102" s="55"/>
      <c r="C102" s="55"/>
      <c r="D102" s="55"/>
      <c r="E102" s="55"/>
      <c r="F102" s="55"/>
      <c r="G102" s="55"/>
      <c r="H102" s="55"/>
      <c r="I102" s="55"/>
      <c r="J102" s="55"/>
      <c r="K102" s="55"/>
      <c r="L102" s="55"/>
    </row>
    <row r="103" spans="1:12" x14ac:dyDescent="0.3">
      <c r="A103" s="55" t="s">
        <v>185</v>
      </c>
      <c r="B103" s="55"/>
      <c r="C103" s="55"/>
      <c r="D103" s="55"/>
      <c r="E103" s="55" t="s">
        <v>186</v>
      </c>
      <c r="F103" s="55"/>
      <c r="G103" s="55"/>
      <c r="H103" s="55"/>
      <c r="I103" s="55" t="s">
        <v>187</v>
      </c>
      <c r="J103" s="55"/>
      <c r="K103" s="55"/>
      <c r="L103" s="55"/>
    </row>
    <row r="104" spans="1:12" x14ac:dyDescent="0.3">
      <c r="A104" s="55"/>
      <c r="B104" s="55" t="s">
        <v>156</v>
      </c>
      <c r="C104" s="55" t="s">
        <v>188</v>
      </c>
      <c r="D104" s="55" t="s">
        <v>158</v>
      </c>
      <c r="E104" s="55"/>
      <c r="F104" s="55" t="s">
        <v>156</v>
      </c>
      <c r="G104" s="55" t="s">
        <v>188</v>
      </c>
      <c r="H104" s="55" t="s">
        <v>158</v>
      </c>
      <c r="I104" s="55"/>
      <c r="J104" s="55" t="s">
        <v>156</v>
      </c>
      <c r="K104" s="55" t="s">
        <v>188</v>
      </c>
      <c r="L104" s="55" t="s">
        <v>158</v>
      </c>
    </row>
    <row r="105" spans="1:12" x14ac:dyDescent="0.3">
      <c r="A105" t="s">
        <v>189</v>
      </c>
      <c r="B105">
        <v>15</v>
      </c>
      <c r="C105">
        <v>20</v>
      </c>
      <c r="D105">
        <v>1.333333333333333</v>
      </c>
      <c r="E105" t="s">
        <v>189</v>
      </c>
      <c r="F105">
        <v>15</v>
      </c>
      <c r="G105">
        <v>15</v>
      </c>
      <c r="H105">
        <v>1</v>
      </c>
      <c r="I105" t="s">
        <v>189</v>
      </c>
      <c r="J105">
        <v>15</v>
      </c>
      <c r="K105">
        <v>12</v>
      </c>
      <c r="L105">
        <v>0.8</v>
      </c>
    </row>
    <row r="106" spans="1:12" x14ac:dyDescent="0.3">
      <c r="A106" t="s">
        <v>190</v>
      </c>
      <c r="B106">
        <v>12</v>
      </c>
      <c r="C106">
        <v>18</v>
      </c>
      <c r="D106">
        <v>1.5</v>
      </c>
      <c r="E106" t="s">
        <v>190</v>
      </c>
      <c r="F106">
        <v>12</v>
      </c>
      <c r="G106">
        <v>13</v>
      </c>
      <c r="H106">
        <v>1.083333333333333</v>
      </c>
      <c r="I106" t="s">
        <v>190</v>
      </c>
      <c r="J106">
        <v>12</v>
      </c>
      <c r="K106">
        <v>12</v>
      </c>
      <c r="L106">
        <v>1</v>
      </c>
    </row>
    <row r="107" spans="1:12" x14ac:dyDescent="0.3">
      <c r="A107" t="s">
        <v>173</v>
      </c>
      <c r="B107">
        <v>6000</v>
      </c>
      <c r="C107">
        <v>285.12</v>
      </c>
      <c r="D107">
        <v>4.752E-2</v>
      </c>
      <c r="E107" t="s">
        <v>173</v>
      </c>
      <c r="F107">
        <v>10000</v>
      </c>
      <c r="G107">
        <v>356.4</v>
      </c>
      <c r="H107">
        <v>3.5639999999999998E-2</v>
      </c>
      <c r="I107" t="s">
        <v>173</v>
      </c>
      <c r="J107">
        <v>10000</v>
      </c>
      <c r="K107">
        <v>0</v>
      </c>
      <c r="L107">
        <v>0</v>
      </c>
    </row>
    <row r="108" spans="1:12" x14ac:dyDescent="0.3">
      <c r="A108" t="s">
        <v>166</v>
      </c>
      <c r="B108">
        <v>30000</v>
      </c>
      <c r="C108">
        <v>641.52</v>
      </c>
      <c r="D108">
        <v>2.1384E-2</v>
      </c>
      <c r="E108" t="s">
        <v>166</v>
      </c>
      <c r="F108">
        <v>30000</v>
      </c>
      <c r="G108">
        <v>641.52</v>
      </c>
      <c r="H108">
        <v>2.1384E-2</v>
      </c>
      <c r="I108" t="s">
        <v>166</v>
      </c>
      <c r="J108">
        <v>30000</v>
      </c>
      <c r="K108">
        <v>641.52</v>
      </c>
      <c r="L108">
        <v>2.1384E-2</v>
      </c>
    </row>
    <row r="109" spans="1:12" x14ac:dyDescent="0.3">
      <c r="A109" t="s">
        <v>174</v>
      </c>
      <c r="B109">
        <v>90000</v>
      </c>
      <c r="C109">
        <v>49993.72</v>
      </c>
      <c r="D109">
        <v>0.55548577777777775</v>
      </c>
      <c r="E109" t="s">
        <v>174</v>
      </c>
      <c r="F109">
        <v>90000</v>
      </c>
      <c r="G109">
        <v>3307.14</v>
      </c>
      <c r="H109">
        <v>3.6746000000000001E-2</v>
      </c>
      <c r="I109" t="s">
        <v>174</v>
      </c>
      <c r="J109">
        <v>90000</v>
      </c>
      <c r="K109">
        <v>6253</v>
      </c>
      <c r="L109">
        <v>6.9477777777777777E-2</v>
      </c>
    </row>
  </sheetData>
  <pageMargins left="0.511811024" right="0.511811024" top="0.78740157499999996" bottom="0.78740157499999996" header="0.31496062000000002" footer="0.31496062000000002"/>
  <ignoredErrors>
    <ignoredError sqref="AB2:AB65" calculatedColumn="1"/>
  </ignoredErrors>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AE1344"/>
  <sheetViews>
    <sheetView showGridLines="0" topLeftCell="N19" zoomScale="85" zoomScaleNormal="85" workbookViewId="0">
      <selection activeCell="Q31" sqref="Q23:Q31"/>
    </sheetView>
  </sheetViews>
  <sheetFormatPr defaultRowHeight="14.4" x14ac:dyDescent="0.3"/>
  <cols>
    <col min="4" max="4" width="17.88671875" bestFit="1" customWidth="1"/>
    <col min="5" max="5" width="18" bestFit="1" customWidth="1"/>
    <col min="6" max="6" width="8.33203125" bestFit="1" customWidth="1"/>
    <col min="8" max="8" width="17.44140625" bestFit="1" customWidth="1"/>
    <col min="9" max="9" width="14.6640625" bestFit="1" customWidth="1"/>
    <col min="10" max="10" width="8.109375" bestFit="1" customWidth="1"/>
    <col min="14" max="14" width="56.109375" bestFit="1" customWidth="1"/>
    <col min="15" max="15" width="20.109375" bestFit="1" customWidth="1"/>
    <col min="17" max="17" width="30.5546875" bestFit="1" customWidth="1"/>
    <col min="18" max="18" width="14.6640625" bestFit="1" customWidth="1"/>
    <col min="20" max="20" width="25.88671875" bestFit="1" customWidth="1"/>
    <col min="21" max="21" width="14.6640625" bestFit="1" customWidth="1"/>
    <col min="23" max="23" width="17.6640625" bestFit="1" customWidth="1"/>
    <col min="24" max="24" width="21.44140625" bestFit="1" customWidth="1"/>
    <col min="27" max="27" width="25.33203125" bestFit="1" customWidth="1"/>
    <col min="28" max="28" width="20.109375" bestFit="1" customWidth="1"/>
    <col min="30" max="30" width="17.44140625" bestFit="1" customWidth="1"/>
    <col min="31" max="31" width="14.6640625" bestFit="1" customWidth="1"/>
  </cols>
  <sheetData>
    <row r="2" spans="1:1" x14ac:dyDescent="0.3">
      <c r="A2" s="1" t="s">
        <v>202</v>
      </c>
    </row>
    <row r="18" spans="4:31" x14ac:dyDescent="0.3">
      <c r="D18" s="393" t="s">
        <v>203</v>
      </c>
      <c r="E18" s="394"/>
      <c r="F18" s="394"/>
      <c r="H18" s="393" t="s">
        <v>204</v>
      </c>
      <c r="I18" s="394"/>
      <c r="J18" s="394"/>
      <c r="N18" s="393" t="s">
        <v>205</v>
      </c>
      <c r="O18" s="394"/>
      <c r="Q18" s="393" t="s">
        <v>206</v>
      </c>
      <c r="R18" s="394"/>
      <c r="T18" s="393" t="s">
        <v>207</v>
      </c>
      <c r="U18" s="394"/>
      <c r="W18" s="393" t="s">
        <v>208</v>
      </c>
      <c r="X18" s="394"/>
      <c r="AA18" s="393" t="s">
        <v>209</v>
      </c>
      <c r="AB18" s="394"/>
      <c r="AD18" s="393" t="s">
        <v>210</v>
      </c>
      <c r="AE18" s="394"/>
    </row>
    <row r="19" spans="4:31" x14ac:dyDescent="0.3">
      <c r="D19" s="356" t="s">
        <v>2</v>
      </c>
      <c r="E19" s="357" t="s">
        <v>31</v>
      </c>
      <c r="H19" s="36" t="s">
        <v>168</v>
      </c>
      <c r="I19" t="s">
        <v>211</v>
      </c>
      <c r="N19" s="36" t="s">
        <v>212</v>
      </c>
      <c r="O19" t="s">
        <v>31</v>
      </c>
      <c r="Q19" s="36" t="s">
        <v>212</v>
      </c>
      <c r="R19" t="s">
        <v>44</v>
      </c>
      <c r="T19" s="36" t="s">
        <v>212</v>
      </c>
      <c r="U19" t="s">
        <v>22</v>
      </c>
      <c r="W19" s="36" t="s">
        <v>212</v>
      </c>
      <c r="X19" t="s">
        <v>142</v>
      </c>
      <c r="AA19" s="36" t="s">
        <v>212</v>
      </c>
      <c r="AB19" t="s">
        <v>31</v>
      </c>
      <c r="AD19" s="36" t="s">
        <v>212</v>
      </c>
      <c r="AE19" t="s">
        <v>22</v>
      </c>
    </row>
    <row r="20" spans="4:31" x14ac:dyDescent="0.3">
      <c r="D20" s="356" t="s">
        <v>168</v>
      </c>
      <c r="E20" s="357" t="s">
        <v>211</v>
      </c>
      <c r="F20" s="44"/>
      <c r="H20" s="36" t="s">
        <v>2</v>
      </c>
      <c r="I20" t="s">
        <v>213</v>
      </c>
      <c r="N20" s="36" t="s">
        <v>214</v>
      </c>
      <c r="O20" t="s">
        <v>211</v>
      </c>
      <c r="Q20" s="36" t="s">
        <v>214</v>
      </c>
      <c r="R20" t="s">
        <v>211</v>
      </c>
      <c r="T20" s="36" t="s">
        <v>214</v>
      </c>
      <c r="U20" t="s">
        <v>211</v>
      </c>
      <c r="W20" s="36" t="s">
        <v>214</v>
      </c>
      <c r="X20" t="s">
        <v>211</v>
      </c>
      <c r="AA20" s="36" t="s">
        <v>214</v>
      </c>
      <c r="AB20" t="s">
        <v>211</v>
      </c>
      <c r="AD20" s="36" t="s">
        <v>214</v>
      </c>
      <c r="AE20" t="s">
        <v>211</v>
      </c>
    </row>
    <row r="21" spans="4:31" x14ac:dyDescent="0.3">
      <c r="D21" s="44"/>
      <c r="E21" s="44"/>
      <c r="F21" s="44"/>
    </row>
    <row r="22" spans="4:31" x14ac:dyDescent="0.3">
      <c r="D22" s="356" t="s">
        <v>215</v>
      </c>
      <c r="E22" s="357" t="s">
        <v>158</v>
      </c>
      <c r="F22" s="357" t="s">
        <v>216</v>
      </c>
      <c r="G22" s="44"/>
      <c r="H22" s="36" t="s">
        <v>215</v>
      </c>
      <c r="I22" t="s">
        <v>158</v>
      </c>
      <c r="J22" t="s">
        <v>216</v>
      </c>
      <c r="N22" s="36" t="s">
        <v>215</v>
      </c>
      <c r="O22" t="s">
        <v>217</v>
      </c>
      <c r="Q22" s="36" t="s">
        <v>215</v>
      </c>
      <c r="R22" t="s">
        <v>218</v>
      </c>
      <c r="T22" s="36" t="s">
        <v>215</v>
      </c>
      <c r="U22" t="s">
        <v>218</v>
      </c>
      <c r="W22" s="36" t="s">
        <v>215</v>
      </c>
      <c r="X22" t="s">
        <v>217</v>
      </c>
      <c r="AA22" s="36" t="s">
        <v>215</v>
      </c>
      <c r="AB22" t="s">
        <v>219</v>
      </c>
      <c r="AD22" s="36" t="s">
        <v>215</v>
      </c>
      <c r="AE22" t="s">
        <v>219</v>
      </c>
    </row>
    <row r="23" spans="4:31" x14ac:dyDescent="0.3">
      <c r="D23" s="235" t="s">
        <v>220</v>
      </c>
      <c r="E23" s="240">
        <v>0.44970333333333329</v>
      </c>
      <c r="F23" s="237">
        <v>6</v>
      </c>
      <c r="G23" s="44"/>
      <c r="H23" s="235" t="s">
        <v>220</v>
      </c>
      <c r="I23" s="240">
        <v>0.6733253846153846</v>
      </c>
      <c r="J23" s="242">
        <v>78</v>
      </c>
      <c r="N23" s="37" t="s">
        <v>221</v>
      </c>
      <c r="O23">
        <v>1</v>
      </c>
      <c r="Q23" s="37" t="s">
        <v>222</v>
      </c>
      <c r="R23">
        <v>1</v>
      </c>
      <c r="T23" s="37" t="s">
        <v>223</v>
      </c>
      <c r="W23" s="37" t="s">
        <v>224</v>
      </c>
      <c r="X23">
        <v>1</v>
      </c>
      <c r="AA23" s="37" t="s">
        <v>225</v>
      </c>
      <c r="AB23">
        <v>1</v>
      </c>
      <c r="AD23" s="37" t="s">
        <v>223</v>
      </c>
    </row>
    <row r="24" spans="4:31" x14ac:dyDescent="0.3">
      <c r="D24" s="235" t="s">
        <v>226</v>
      </c>
      <c r="E24" s="240">
        <v>0.37133538461538462</v>
      </c>
      <c r="F24" s="237">
        <v>6.5</v>
      </c>
      <c r="G24" s="44"/>
      <c r="H24" s="235" t="s">
        <v>226</v>
      </c>
      <c r="I24" s="240">
        <v>2.7055294339622642</v>
      </c>
      <c r="J24" s="242">
        <v>79.5</v>
      </c>
      <c r="N24" s="37" t="s">
        <v>223</v>
      </c>
      <c r="O24">
        <v>1</v>
      </c>
      <c r="Q24" s="37" t="s">
        <v>227</v>
      </c>
      <c r="R24">
        <v>1</v>
      </c>
      <c r="W24" s="37" t="s">
        <v>228</v>
      </c>
      <c r="X24">
        <v>1</v>
      </c>
      <c r="AA24" s="37" t="s">
        <v>229</v>
      </c>
      <c r="AB24">
        <v>1</v>
      </c>
    </row>
    <row r="25" spans="4:31" x14ac:dyDescent="0.3">
      <c r="D25" s="235" t="s">
        <v>230</v>
      </c>
      <c r="E25" s="240">
        <v>0.91789714285714286</v>
      </c>
      <c r="F25" s="237">
        <v>7</v>
      </c>
      <c r="G25" s="44"/>
      <c r="H25" s="235" t="s">
        <v>230</v>
      </c>
      <c r="I25" s="240">
        <v>0.85241407407407399</v>
      </c>
      <c r="J25" s="242">
        <v>81</v>
      </c>
      <c r="Q25" s="37" t="s">
        <v>231</v>
      </c>
      <c r="R25">
        <v>1</v>
      </c>
      <c r="W25" s="37" t="s">
        <v>232</v>
      </c>
      <c r="X25">
        <v>1</v>
      </c>
      <c r="AA25" s="37" t="s">
        <v>233</v>
      </c>
      <c r="AB25">
        <v>1</v>
      </c>
    </row>
    <row r="26" spans="4:31" x14ac:dyDescent="0.3">
      <c r="D26" s="235" t="s">
        <v>234</v>
      </c>
      <c r="E26" s="240">
        <v>0.358848</v>
      </c>
      <c r="F26" s="237">
        <v>7.5</v>
      </c>
      <c r="H26" s="235" t="s">
        <v>234</v>
      </c>
      <c r="I26" s="240">
        <v>0.56714945454545451</v>
      </c>
      <c r="J26" s="242">
        <v>82.5</v>
      </c>
      <c r="Q26" s="37" t="s">
        <v>235</v>
      </c>
      <c r="R26">
        <v>1</v>
      </c>
      <c r="W26" s="37" t="s">
        <v>223</v>
      </c>
      <c r="X26">
        <v>3</v>
      </c>
      <c r="AA26" s="37" t="s">
        <v>236</v>
      </c>
      <c r="AB26">
        <v>1</v>
      </c>
    </row>
    <row r="27" spans="4:31" x14ac:dyDescent="0.3">
      <c r="D27" s="235" t="s">
        <v>237</v>
      </c>
      <c r="E27" s="240">
        <v>0.14790624999999999</v>
      </c>
      <c r="F27" s="237">
        <v>8</v>
      </c>
      <c r="H27" s="235" t="s">
        <v>237</v>
      </c>
      <c r="I27" s="240">
        <v>0.27155794117647059</v>
      </c>
      <c r="J27" s="242">
        <v>136</v>
      </c>
      <c r="Q27" s="37" t="s">
        <v>238</v>
      </c>
      <c r="R27">
        <v>1</v>
      </c>
      <c r="AA27" s="37" t="s">
        <v>239</v>
      </c>
      <c r="AB27">
        <v>1</v>
      </c>
    </row>
    <row r="28" spans="4:31" x14ac:dyDescent="0.3">
      <c r="D28" s="235" t="s">
        <v>223</v>
      </c>
      <c r="E28" s="241">
        <v>2.2456901108058611</v>
      </c>
      <c r="F28" s="237">
        <v>35</v>
      </c>
      <c r="H28" s="235" t="s">
        <v>223</v>
      </c>
      <c r="I28" s="240">
        <v>5.0699762883736481</v>
      </c>
      <c r="J28" s="242">
        <v>457</v>
      </c>
      <c r="Q28" s="37" t="s">
        <v>240</v>
      </c>
      <c r="R28">
        <v>1</v>
      </c>
      <c r="AA28" s="37" t="s">
        <v>241</v>
      </c>
      <c r="AB28">
        <v>1</v>
      </c>
    </row>
    <row r="29" spans="4:31" x14ac:dyDescent="0.3">
      <c r="Q29" s="37" t="s">
        <v>242</v>
      </c>
      <c r="R29">
        <v>1</v>
      </c>
      <c r="AA29" s="37" t="s">
        <v>223</v>
      </c>
      <c r="AB29">
        <v>6</v>
      </c>
    </row>
    <row r="30" spans="4:31" x14ac:dyDescent="0.3">
      <c r="Q30" s="37" t="s">
        <v>243</v>
      </c>
      <c r="R30">
        <v>1</v>
      </c>
    </row>
    <row r="31" spans="4:31" x14ac:dyDescent="0.3">
      <c r="Q31" s="37" t="s">
        <v>244</v>
      </c>
      <c r="R31">
        <v>1</v>
      </c>
    </row>
    <row r="32" spans="4:31" x14ac:dyDescent="0.3">
      <c r="Q32" s="37" t="s">
        <v>223</v>
      </c>
      <c r="R32">
        <v>9</v>
      </c>
    </row>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row r="1005" hidden="1" x14ac:dyDescent="0.3"/>
    <row r="1006" hidden="1" x14ac:dyDescent="0.3"/>
    <row r="1007" hidden="1" x14ac:dyDescent="0.3"/>
    <row r="1008"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row r="1028" hidden="1" x14ac:dyDescent="0.3"/>
    <row r="1029" hidden="1" x14ac:dyDescent="0.3"/>
    <row r="1030" hidden="1" x14ac:dyDescent="0.3"/>
    <row r="1031" hidden="1" x14ac:dyDescent="0.3"/>
    <row r="1032" hidden="1" x14ac:dyDescent="0.3"/>
    <row r="1033" hidden="1" x14ac:dyDescent="0.3"/>
    <row r="1034" hidden="1" x14ac:dyDescent="0.3"/>
    <row r="1035" hidden="1" x14ac:dyDescent="0.3"/>
    <row r="1036" hidden="1" x14ac:dyDescent="0.3"/>
    <row r="1037" hidden="1" x14ac:dyDescent="0.3"/>
    <row r="1038" hidden="1" x14ac:dyDescent="0.3"/>
    <row r="1039" hidden="1" x14ac:dyDescent="0.3"/>
    <row r="1040" hidden="1" x14ac:dyDescent="0.3"/>
    <row r="1041" hidden="1" x14ac:dyDescent="0.3"/>
    <row r="1042" hidden="1" x14ac:dyDescent="0.3"/>
    <row r="1043" hidden="1" x14ac:dyDescent="0.3"/>
    <row r="1044" hidden="1" x14ac:dyDescent="0.3"/>
    <row r="1045" hidden="1" x14ac:dyDescent="0.3"/>
    <row r="1046" hidden="1" x14ac:dyDescent="0.3"/>
    <row r="1047" hidden="1" x14ac:dyDescent="0.3"/>
    <row r="1048" hidden="1" x14ac:dyDescent="0.3"/>
    <row r="1049" hidden="1" x14ac:dyDescent="0.3"/>
    <row r="1050" hidden="1" x14ac:dyDescent="0.3"/>
    <row r="1051" hidden="1" x14ac:dyDescent="0.3"/>
    <row r="1052" hidden="1" x14ac:dyDescent="0.3"/>
    <row r="1053" hidden="1" x14ac:dyDescent="0.3"/>
    <row r="1054" hidden="1" x14ac:dyDescent="0.3"/>
    <row r="1055" hidden="1" x14ac:dyDescent="0.3"/>
    <row r="1056" hidden="1" x14ac:dyDescent="0.3"/>
    <row r="1057" hidden="1" x14ac:dyDescent="0.3"/>
    <row r="1058" hidden="1" x14ac:dyDescent="0.3"/>
    <row r="1059" hidden="1" x14ac:dyDescent="0.3"/>
    <row r="1060" hidden="1" x14ac:dyDescent="0.3"/>
    <row r="1061" hidden="1" x14ac:dyDescent="0.3"/>
    <row r="1062" hidden="1" x14ac:dyDescent="0.3"/>
    <row r="1063" hidden="1" x14ac:dyDescent="0.3"/>
    <row r="1064" hidden="1" x14ac:dyDescent="0.3"/>
    <row r="1065" hidden="1" x14ac:dyDescent="0.3"/>
    <row r="1066" hidden="1" x14ac:dyDescent="0.3"/>
    <row r="1067" hidden="1" x14ac:dyDescent="0.3"/>
    <row r="1068" hidden="1" x14ac:dyDescent="0.3"/>
    <row r="1069" hidden="1" x14ac:dyDescent="0.3"/>
    <row r="1070" hidden="1" x14ac:dyDescent="0.3"/>
    <row r="1071" hidden="1" x14ac:dyDescent="0.3"/>
    <row r="1072" hidden="1" x14ac:dyDescent="0.3"/>
    <row r="1073" hidden="1" x14ac:dyDescent="0.3"/>
    <row r="1074" hidden="1" x14ac:dyDescent="0.3"/>
    <row r="1075" hidden="1" x14ac:dyDescent="0.3"/>
    <row r="1076" hidden="1" x14ac:dyDescent="0.3"/>
    <row r="1077" hidden="1" x14ac:dyDescent="0.3"/>
    <row r="1078" hidden="1" x14ac:dyDescent="0.3"/>
    <row r="1079" hidden="1" x14ac:dyDescent="0.3"/>
    <row r="1080" hidden="1" x14ac:dyDescent="0.3"/>
    <row r="1081" hidden="1" x14ac:dyDescent="0.3"/>
    <row r="1082" hidden="1" x14ac:dyDescent="0.3"/>
    <row r="1083" hidden="1" x14ac:dyDescent="0.3"/>
    <row r="1084" hidden="1" x14ac:dyDescent="0.3"/>
    <row r="1085" hidden="1" x14ac:dyDescent="0.3"/>
    <row r="1086" hidden="1" x14ac:dyDescent="0.3"/>
    <row r="1087" hidden="1" x14ac:dyDescent="0.3"/>
    <row r="1088" hidden="1" x14ac:dyDescent="0.3"/>
    <row r="1089" hidden="1" x14ac:dyDescent="0.3"/>
    <row r="1090" hidden="1" x14ac:dyDescent="0.3"/>
    <row r="1091" hidden="1" x14ac:dyDescent="0.3"/>
    <row r="1092" hidden="1" x14ac:dyDescent="0.3"/>
    <row r="1093" hidden="1" x14ac:dyDescent="0.3"/>
    <row r="1094" hidden="1" x14ac:dyDescent="0.3"/>
    <row r="1095" hidden="1" x14ac:dyDescent="0.3"/>
    <row r="1096" hidden="1" x14ac:dyDescent="0.3"/>
    <row r="1097" hidden="1" x14ac:dyDescent="0.3"/>
    <row r="1098" hidden="1" x14ac:dyDescent="0.3"/>
    <row r="1099" hidden="1" x14ac:dyDescent="0.3"/>
    <row r="1100" hidden="1" x14ac:dyDescent="0.3"/>
    <row r="1101" hidden="1" x14ac:dyDescent="0.3"/>
    <row r="1102" hidden="1" x14ac:dyDescent="0.3"/>
    <row r="1103" hidden="1" x14ac:dyDescent="0.3"/>
    <row r="1104" hidden="1" x14ac:dyDescent="0.3"/>
    <row r="1105" hidden="1" x14ac:dyDescent="0.3"/>
    <row r="1106" hidden="1" x14ac:dyDescent="0.3"/>
    <row r="1107" hidden="1" x14ac:dyDescent="0.3"/>
    <row r="1108" hidden="1" x14ac:dyDescent="0.3"/>
    <row r="1109" hidden="1" x14ac:dyDescent="0.3"/>
    <row r="1110" hidden="1" x14ac:dyDescent="0.3"/>
    <row r="1111" hidden="1" x14ac:dyDescent="0.3"/>
    <row r="1112" hidden="1" x14ac:dyDescent="0.3"/>
    <row r="1113" hidden="1" x14ac:dyDescent="0.3"/>
    <row r="1114" hidden="1" x14ac:dyDescent="0.3"/>
    <row r="1115" hidden="1" x14ac:dyDescent="0.3"/>
    <row r="1116" hidden="1" x14ac:dyDescent="0.3"/>
    <row r="1117" hidden="1" x14ac:dyDescent="0.3"/>
    <row r="1118" hidden="1" x14ac:dyDescent="0.3"/>
    <row r="1119" hidden="1" x14ac:dyDescent="0.3"/>
    <row r="1120" hidden="1" x14ac:dyDescent="0.3"/>
    <row r="1121" hidden="1" x14ac:dyDescent="0.3"/>
    <row r="1122" hidden="1" x14ac:dyDescent="0.3"/>
    <row r="1123" hidden="1" x14ac:dyDescent="0.3"/>
    <row r="1124" hidden="1" x14ac:dyDescent="0.3"/>
    <row r="1125" hidden="1" x14ac:dyDescent="0.3"/>
    <row r="1126" hidden="1" x14ac:dyDescent="0.3"/>
    <row r="1127" hidden="1" x14ac:dyDescent="0.3"/>
    <row r="1128" hidden="1" x14ac:dyDescent="0.3"/>
    <row r="1129" hidden="1" x14ac:dyDescent="0.3"/>
    <row r="1130" hidden="1" x14ac:dyDescent="0.3"/>
    <row r="1131" hidden="1" x14ac:dyDescent="0.3"/>
    <row r="1132" hidden="1" x14ac:dyDescent="0.3"/>
    <row r="1133" hidden="1" x14ac:dyDescent="0.3"/>
    <row r="1134" hidden="1" x14ac:dyDescent="0.3"/>
    <row r="1135" hidden="1" x14ac:dyDescent="0.3"/>
    <row r="1136" hidden="1" x14ac:dyDescent="0.3"/>
    <row r="1137" hidden="1" x14ac:dyDescent="0.3"/>
    <row r="1138" hidden="1" x14ac:dyDescent="0.3"/>
    <row r="1139" hidden="1" x14ac:dyDescent="0.3"/>
    <row r="1140" hidden="1" x14ac:dyDescent="0.3"/>
    <row r="1141" hidden="1" x14ac:dyDescent="0.3"/>
    <row r="1142" hidden="1" x14ac:dyDescent="0.3"/>
    <row r="1143" hidden="1" x14ac:dyDescent="0.3"/>
    <row r="1144" hidden="1" x14ac:dyDescent="0.3"/>
    <row r="1145" hidden="1" x14ac:dyDescent="0.3"/>
    <row r="1146" hidden="1" x14ac:dyDescent="0.3"/>
    <row r="1147" hidden="1" x14ac:dyDescent="0.3"/>
    <row r="1148" hidden="1" x14ac:dyDescent="0.3"/>
    <row r="1149" hidden="1" x14ac:dyDescent="0.3"/>
    <row r="1150" hidden="1" x14ac:dyDescent="0.3"/>
    <row r="1151" hidden="1" x14ac:dyDescent="0.3"/>
    <row r="1152" hidden="1" x14ac:dyDescent="0.3"/>
    <row r="1153" hidden="1" x14ac:dyDescent="0.3"/>
    <row r="1154" hidden="1" x14ac:dyDescent="0.3"/>
    <row r="1155" hidden="1" x14ac:dyDescent="0.3"/>
    <row r="1156" hidden="1" x14ac:dyDescent="0.3"/>
    <row r="1157" hidden="1" x14ac:dyDescent="0.3"/>
    <row r="1158" hidden="1" x14ac:dyDescent="0.3"/>
    <row r="1159" hidden="1" x14ac:dyDescent="0.3"/>
    <row r="1160" hidden="1" x14ac:dyDescent="0.3"/>
    <row r="1161" hidden="1" x14ac:dyDescent="0.3"/>
    <row r="1162" hidden="1" x14ac:dyDescent="0.3"/>
    <row r="1163" hidden="1" x14ac:dyDescent="0.3"/>
    <row r="1164" hidden="1" x14ac:dyDescent="0.3"/>
    <row r="1165" hidden="1" x14ac:dyDescent="0.3"/>
    <row r="1166" hidden="1" x14ac:dyDescent="0.3"/>
    <row r="1167" hidden="1" x14ac:dyDescent="0.3"/>
    <row r="1168" hidden="1" x14ac:dyDescent="0.3"/>
    <row r="1169" hidden="1" x14ac:dyDescent="0.3"/>
    <row r="1170" hidden="1" x14ac:dyDescent="0.3"/>
    <row r="1171" hidden="1" x14ac:dyDescent="0.3"/>
    <row r="1172" hidden="1" x14ac:dyDescent="0.3"/>
    <row r="1173" hidden="1" x14ac:dyDescent="0.3"/>
    <row r="1174" hidden="1" x14ac:dyDescent="0.3"/>
    <row r="1175" hidden="1" x14ac:dyDescent="0.3"/>
    <row r="1176" hidden="1" x14ac:dyDescent="0.3"/>
    <row r="1177" hidden="1" x14ac:dyDescent="0.3"/>
    <row r="1178" hidden="1" x14ac:dyDescent="0.3"/>
    <row r="1179" hidden="1" x14ac:dyDescent="0.3"/>
    <row r="1180" hidden="1" x14ac:dyDescent="0.3"/>
    <row r="1181" hidden="1" x14ac:dyDescent="0.3"/>
    <row r="1182" hidden="1" x14ac:dyDescent="0.3"/>
    <row r="1183" hidden="1" x14ac:dyDescent="0.3"/>
    <row r="1184" hidden="1" x14ac:dyDescent="0.3"/>
    <row r="1185" hidden="1" x14ac:dyDescent="0.3"/>
    <row r="1186" hidden="1" x14ac:dyDescent="0.3"/>
    <row r="1187" hidden="1" x14ac:dyDescent="0.3"/>
    <row r="1188" hidden="1" x14ac:dyDescent="0.3"/>
    <row r="1189" hidden="1" x14ac:dyDescent="0.3"/>
    <row r="1190" hidden="1" x14ac:dyDescent="0.3"/>
    <row r="1191" hidden="1" x14ac:dyDescent="0.3"/>
    <row r="1192" hidden="1" x14ac:dyDescent="0.3"/>
    <row r="1193" hidden="1" x14ac:dyDescent="0.3"/>
    <row r="1194" hidden="1" x14ac:dyDescent="0.3"/>
    <row r="1195" hidden="1" x14ac:dyDescent="0.3"/>
    <row r="1196" hidden="1" x14ac:dyDescent="0.3"/>
    <row r="1197" hidden="1" x14ac:dyDescent="0.3"/>
    <row r="1198" hidden="1" x14ac:dyDescent="0.3"/>
    <row r="1199" hidden="1" x14ac:dyDescent="0.3"/>
    <row r="1200" hidden="1" x14ac:dyDescent="0.3"/>
    <row r="1201" hidden="1" x14ac:dyDescent="0.3"/>
    <row r="1202" hidden="1" x14ac:dyDescent="0.3"/>
    <row r="1203" hidden="1" x14ac:dyDescent="0.3"/>
    <row r="1204" hidden="1" x14ac:dyDescent="0.3"/>
    <row r="1205" hidden="1" x14ac:dyDescent="0.3"/>
    <row r="1206" hidden="1" x14ac:dyDescent="0.3"/>
    <row r="1207" hidden="1" x14ac:dyDescent="0.3"/>
    <row r="1208" hidden="1" x14ac:dyDescent="0.3"/>
    <row r="1209" hidden="1" x14ac:dyDescent="0.3"/>
    <row r="1210" hidden="1" x14ac:dyDescent="0.3"/>
    <row r="1211" hidden="1" x14ac:dyDescent="0.3"/>
    <row r="1212" hidden="1" x14ac:dyDescent="0.3"/>
    <row r="1213" hidden="1" x14ac:dyDescent="0.3"/>
    <row r="1214" hidden="1" x14ac:dyDescent="0.3"/>
    <row r="1215" hidden="1" x14ac:dyDescent="0.3"/>
    <row r="1216" hidden="1" x14ac:dyDescent="0.3"/>
    <row r="1217" hidden="1" x14ac:dyDescent="0.3"/>
    <row r="1218" hidden="1" x14ac:dyDescent="0.3"/>
    <row r="1219" hidden="1" x14ac:dyDescent="0.3"/>
    <row r="1220" hidden="1" x14ac:dyDescent="0.3"/>
    <row r="1221" hidden="1" x14ac:dyDescent="0.3"/>
    <row r="1222" hidden="1" x14ac:dyDescent="0.3"/>
    <row r="1223" hidden="1" x14ac:dyDescent="0.3"/>
    <row r="1224" hidden="1" x14ac:dyDescent="0.3"/>
    <row r="1225" hidden="1" x14ac:dyDescent="0.3"/>
    <row r="1226" hidden="1" x14ac:dyDescent="0.3"/>
    <row r="1227" hidden="1" x14ac:dyDescent="0.3"/>
    <row r="1228" hidden="1" x14ac:dyDescent="0.3"/>
    <row r="1229" hidden="1" x14ac:dyDescent="0.3"/>
    <row r="1230" hidden="1" x14ac:dyDescent="0.3"/>
    <row r="1231" hidden="1" x14ac:dyDescent="0.3"/>
    <row r="1232" hidden="1" x14ac:dyDescent="0.3"/>
    <row r="1233" hidden="1" x14ac:dyDescent="0.3"/>
    <row r="1234" hidden="1" x14ac:dyDescent="0.3"/>
    <row r="1235" hidden="1" x14ac:dyDescent="0.3"/>
    <row r="1236" hidden="1" x14ac:dyDescent="0.3"/>
    <row r="1237" hidden="1" x14ac:dyDescent="0.3"/>
    <row r="1238" hidden="1" x14ac:dyDescent="0.3"/>
    <row r="1239" hidden="1" x14ac:dyDescent="0.3"/>
    <row r="1240" hidden="1" x14ac:dyDescent="0.3"/>
    <row r="1241" hidden="1" x14ac:dyDescent="0.3"/>
    <row r="1242" hidden="1" x14ac:dyDescent="0.3"/>
    <row r="1243" hidden="1" x14ac:dyDescent="0.3"/>
    <row r="1244" hidden="1" x14ac:dyDescent="0.3"/>
    <row r="1245" hidden="1" x14ac:dyDescent="0.3"/>
    <row r="1246" hidden="1" x14ac:dyDescent="0.3"/>
    <row r="1247" hidden="1" x14ac:dyDescent="0.3"/>
    <row r="1248" hidden="1" x14ac:dyDescent="0.3"/>
    <row r="1249" hidden="1" x14ac:dyDescent="0.3"/>
    <row r="1250" hidden="1" x14ac:dyDescent="0.3"/>
    <row r="1251" hidden="1" x14ac:dyDescent="0.3"/>
    <row r="1252" hidden="1" x14ac:dyDescent="0.3"/>
    <row r="1253" hidden="1" x14ac:dyDescent="0.3"/>
    <row r="1254" hidden="1" x14ac:dyDescent="0.3"/>
    <row r="1255" hidden="1" x14ac:dyDescent="0.3"/>
    <row r="1256" hidden="1" x14ac:dyDescent="0.3"/>
    <row r="1257" hidden="1" x14ac:dyDescent="0.3"/>
    <row r="1258" hidden="1" x14ac:dyDescent="0.3"/>
    <row r="1259" hidden="1" x14ac:dyDescent="0.3"/>
    <row r="1260" hidden="1" x14ac:dyDescent="0.3"/>
    <row r="1261" hidden="1" x14ac:dyDescent="0.3"/>
    <row r="1262" hidden="1" x14ac:dyDescent="0.3"/>
    <row r="1263" hidden="1" x14ac:dyDescent="0.3"/>
    <row r="1264" hidden="1" x14ac:dyDescent="0.3"/>
    <row r="1265" hidden="1" x14ac:dyDescent="0.3"/>
    <row r="1266" hidden="1" x14ac:dyDescent="0.3"/>
    <row r="1267" hidden="1" x14ac:dyDescent="0.3"/>
    <row r="1268" hidden="1" x14ac:dyDescent="0.3"/>
    <row r="1269" hidden="1" x14ac:dyDescent="0.3"/>
    <row r="1270" hidden="1" x14ac:dyDescent="0.3"/>
    <row r="1271" hidden="1" x14ac:dyDescent="0.3"/>
    <row r="1272" hidden="1" x14ac:dyDescent="0.3"/>
    <row r="1273" hidden="1" x14ac:dyDescent="0.3"/>
    <row r="1274" hidden="1" x14ac:dyDescent="0.3"/>
    <row r="1275" hidden="1" x14ac:dyDescent="0.3"/>
    <row r="1276" hidden="1" x14ac:dyDescent="0.3"/>
    <row r="1277" hidden="1" x14ac:dyDescent="0.3"/>
    <row r="1278" hidden="1" x14ac:dyDescent="0.3"/>
    <row r="1279" hidden="1" x14ac:dyDescent="0.3"/>
    <row r="1280" hidden="1" x14ac:dyDescent="0.3"/>
    <row r="1281" hidden="1" x14ac:dyDescent="0.3"/>
    <row r="1282" hidden="1" x14ac:dyDescent="0.3"/>
    <row r="1283" hidden="1" x14ac:dyDescent="0.3"/>
    <row r="1284" hidden="1" x14ac:dyDescent="0.3"/>
    <row r="1285" hidden="1" x14ac:dyDescent="0.3"/>
    <row r="1286" hidden="1" x14ac:dyDescent="0.3"/>
    <row r="1287" hidden="1" x14ac:dyDescent="0.3"/>
    <row r="1288" hidden="1" x14ac:dyDescent="0.3"/>
    <row r="1289" hidden="1" x14ac:dyDescent="0.3"/>
    <row r="1290" hidden="1" x14ac:dyDescent="0.3"/>
    <row r="1291" hidden="1" x14ac:dyDescent="0.3"/>
    <row r="1292" hidden="1" x14ac:dyDescent="0.3"/>
    <row r="1293" hidden="1" x14ac:dyDescent="0.3"/>
    <row r="1294" hidden="1" x14ac:dyDescent="0.3"/>
    <row r="1295" hidden="1" x14ac:dyDescent="0.3"/>
    <row r="1296" hidden="1" x14ac:dyDescent="0.3"/>
    <row r="1297" hidden="1" x14ac:dyDescent="0.3"/>
    <row r="1298" hidden="1" x14ac:dyDescent="0.3"/>
    <row r="1299" hidden="1" x14ac:dyDescent="0.3"/>
    <row r="1300" hidden="1" x14ac:dyDescent="0.3"/>
    <row r="1301" hidden="1" x14ac:dyDescent="0.3"/>
    <row r="1302" hidden="1" x14ac:dyDescent="0.3"/>
    <row r="1303" hidden="1" x14ac:dyDescent="0.3"/>
    <row r="1304" hidden="1" x14ac:dyDescent="0.3"/>
    <row r="1305" hidden="1" x14ac:dyDescent="0.3"/>
    <row r="1306" hidden="1" x14ac:dyDescent="0.3"/>
    <row r="1307" hidden="1" x14ac:dyDescent="0.3"/>
    <row r="1308" hidden="1" x14ac:dyDescent="0.3"/>
    <row r="1309" hidden="1" x14ac:dyDescent="0.3"/>
    <row r="1310" hidden="1" x14ac:dyDescent="0.3"/>
    <row r="1311" hidden="1" x14ac:dyDescent="0.3"/>
    <row r="1312" hidden="1" x14ac:dyDescent="0.3"/>
    <row r="1313" hidden="1" x14ac:dyDescent="0.3"/>
    <row r="1314" hidden="1" x14ac:dyDescent="0.3"/>
    <row r="1315" hidden="1" x14ac:dyDescent="0.3"/>
    <row r="1316" hidden="1" x14ac:dyDescent="0.3"/>
    <row r="1317" hidden="1" x14ac:dyDescent="0.3"/>
    <row r="1318" hidden="1" x14ac:dyDescent="0.3"/>
    <row r="1319" hidden="1" x14ac:dyDescent="0.3"/>
    <row r="1320" hidden="1" x14ac:dyDescent="0.3"/>
    <row r="1321" hidden="1" x14ac:dyDescent="0.3"/>
    <row r="1322" hidden="1" x14ac:dyDescent="0.3"/>
    <row r="1323" hidden="1" x14ac:dyDescent="0.3"/>
    <row r="1324" hidden="1" x14ac:dyDescent="0.3"/>
    <row r="1325" hidden="1" x14ac:dyDescent="0.3"/>
    <row r="1326" hidden="1" x14ac:dyDescent="0.3"/>
    <row r="1327" hidden="1" x14ac:dyDescent="0.3"/>
    <row r="1330" spans="14:31" x14ac:dyDescent="0.3">
      <c r="N1330" s="393" t="s">
        <v>245</v>
      </c>
      <c r="O1330" s="394"/>
      <c r="Q1330" s="393" t="s">
        <v>246</v>
      </c>
      <c r="R1330" s="394"/>
      <c r="T1330" s="393" t="s">
        <v>247</v>
      </c>
      <c r="U1330" s="394"/>
      <c r="W1330" s="393" t="s">
        <v>248</v>
      </c>
      <c r="X1330" s="394"/>
      <c r="AA1330" s="393" t="s">
        <v>245</v>
      </c>
      <c r="AB1330" s="394"/>
      <c r="AD1330" s="393" t="s">
        <v>247</v>
      </c>
      <c r="AE1330" s="394"/>
    </row>
    <row r="1331" spans="14:31" x14ac:dyDescent="0.3">
      <c r="N1331" s="36" t="s">
        <v>212</v>
      </c>
      <c r="O1331" t="s">
        <v>31</v>
      </c>
      <c r="Q1331" s="36" t="s">
        <v>212</v>
      </c>
      <c r="R1331" t="s">
        <v>44</v>
      </c>
      <c r="T1331" s="36" t="s">
        <v>212</v>
      </c>
      <c r="U1331" t="s">
        <v>22</v>
      </c>
      <c r="W1331" s="36" t="s">
        <v>212</v>
      </c>
      <c r="X1331" t="s">
        <v>142</v>
      </c>
      <c r="AA1331" s="36" t="s">
        <v>212</v>
      </c>
      <c r="AB1331" t="s">
        <v>31</v>
      </c>
      <c r="AD1331" s="36" t="s">
        <v>212</v>
      </c>
      <c r="AE1331" t="s">
        <v>22</v>
      </c>
    </row>
    <row r="1332" spans="14:31" x14ac:dyDescent="0.3">
      <c r="N1332" s="36" t="s">
        <v>249</v>
      </c>
      <c r="O1332" t="s">
        <v>211</v>
      </c>
      <c r="Q1332" s="36" t="s">
        <v>249</v>
      </c>
      <c r="R1332" t="s">
        <v>211</v>
      </c>
      <c r="T1332" s="36" t="s">
        <v>249</v>
      </c>
      <c r="U1332" t="s">
        <v>211</v>
      </c>
      <c r="W1332" s="36" t="s">
        <v>249</v>
      </c>
      <c r="X1332" t="s">
        <v>211</v>
      </c>
      <c r="AA1332" s="36" t="s">
        <v>249</v>
      </c>
      <c r="AB1332" t="s">
        <v>211</v>
      </c>
      <c r="AD1332" s="36" t="s">
        <v>249</v>
      </c>
      <c r="AE1332" t="s">
        <v>211</v>
      </c>
    </row>
    <row r="1334" spans="14:31" x14ac:dyDescent="0.3">
      <c r="N1334" s="36" t="s">
        <v>215</v>
      </c>
      <c r="O1334" t="s">
        <v>218</v>
      </c>
      <c r="Q1334" s="36" t="s">
        <v>215</v>
      </c>
      <c r="R1334" t="s">
        <v>218</v>
      </c>
      <c r="T1334" s="36" t="s">
        <v>215</v>
      </c>
      <c r="U1334" t="s">
        <v>218</v>
      </c>
      <c r="W1334" s="36" t="s">
        <v>215</v>
      </c>
      <c r="X1334" t="s">
        <v>217</v>
      </c>
      <c r="AA1334" s="36" t="s">
        <v>215</v>
      </c>
      <c r="AB1334" t="s">
        <v>219</v>
      </c>
      <c r="AD1334" s="36" t="s">
        <v>215</v>
      </c>
      <c r="AE1334" t="s">
        <v>219</v>
      </c>
    </row>
    <row r="1335" spans="14:31" x14ac:dyDescent="0.3">
      <c r="N1335" s="37" t="s">
        <v>250</v>
      </c>
      <c r="O1335">
        <v>1</v>
      </c>
      <c r="Q1335" s="37" t="s">
        <v>227</v>
      </c>
      <c r="R1335">
        <v>1</v>
      </c>
      <c r="T1335" s="37" t="s">
        <v>251</v>
      </c>
      <c r="U1335">
        <v>1</v>
      </c>
      <c r="W1335" s="37" t="s">
        <v>228</v>
      </c>
      <c r="X1335">
        <v>1</v>
      </c>
      <c r="AA1335" s="37" t="s">
        <v>229</v>
      </c>
      <c r="AB1335">
        <v>1</v>
      </c>
      <c r="AD1335" s="37" t="s">
        <v>223</v>
      </c>
    </row>
    <row r="1336" spans="14:31" x14ac:dyDescent="0.3">
      <c r="N1336" s="37" t="s">
        <v>252</v>
      </c>
      <c r="O1336">
        <v>1</v>
      </c>
      <c r="Q1336" s="37" t="s">
        <v>231</v>
      </c>
      <c r="R1336">
        <v>1</v>
      </c>
      <c r="T1336" s="37" t="s">
        <v>223</v>
      </c>
      <c r="U1336">
        <v>1</v>
      </c>
      <c r="W1336" s="37" t="s">
        <v>223</v>
      </c>
      <c r="X1336">
        <v>1</v>
      </c>
      <c r="AA1336" s="37" t="s">
        <v>225</v>
      </c>
      <c r="AB1336">
        <v>1</v>
      </c>
    </row>
    <row r="1337" spans="14:31" x14ac:dyDescent="0.3">
      <c r="N1337" s="37" t="s">
        <v>223</v>
      </c>
      <c r="O1337">
        <v>2</v>
      </c>
      <c r="Q1337" s="37" t="s">
        <v>253</v>
      </c>
      <c r="R1337">
        <v>1</v>
      </c>
      <c r="AA1337" s="37" t="s">
        <v>233</v>
      </c>
      <c r="AB1337">
        <v>1</v>
      </c>
    </row>
    <row r="1338" spans="14:31" x14ac:dyDescent="0.3">
      <c r="Q1338" s="37" t="s">
        <v>238</v>
      </c>
      <c r="R1338">
        <v>1</v>
      </c>
      <c r="AA1338" s="37" t="s">
        <v>236</v>
      </c>
      <c r="AB1338">
        <v>1</v>
      </c>
    </row>
    <row r="1339" spans="14:31" x14ac:dyDescent="0.3">
      <c r="Q1339" s="37" t="s">
        <v>240</v>
      </c>
      <c r="R1339">
        <v>1</v>
      </c>
      <c r="AA1339" s="37" t="s">
        <v>239</v>
      </c>
      <c r="AB1339">
        <v>1</v>
      </c>
    </row>
    <row r="1340" spans="14:31" x14ac:dyDescent="0.3">
      <c r="Q1340" s="37" t="s">
        <v>254</v>
      </c>
      <c r="R1340">
        <v>1</v>
      </c>
      <c r="AA1340" s="37" t="s">
        <v>255</v>
      </c>
      <c r="AB1340">
        <v>1</v>
      </c>
    </row>
    <row r="1341" spans="14:31" x14ac:dyDescent="0.3">
      <c r="Q1341" s="37" t="s">
        <v>256</v>
      </c>
      <c r="R1341">
        <v>1</v>
      </c>
      <c r="AA1341" s="37" t="s">
        <v>241</v>
      </c>
      <c r="AB1341">
        <v>1</v>
      </c>
    </row>
    <row r="1342" spans="14:31" x14ac:dyDescent="0.3">
      <c r="Q1342" s="37" t="s">
        <v>243</v>
      </c>
      <c r="R1342">
        <v>1</v>
      </c>
      <c r="AA1342" s="37" t="s">
        <v>223</v>
      </c>
      <c r="AB1342">
        <v>7</v>
      </c>
    </row>
    <row r="1343" spans="14:31" x14ac:dyDescent="0.3">
      <c r="Q1343" s="37" t="s">
        <v>244</v>
      </c>
      <c r="R1343">
        <v>1</v>
      </c>
    </row>
    <row r="1344" spans="14:31" x14ac:dyDescent="0.3">
      <c r="Q1344" s="37" t="s">
        <v>223</v>
      </c>
      <c r="R1344">
        <v>9</v>
      </c>
    </row>
  </sheetData>
  <mergeCells count="14">
    <mergeCell ref="AD1330:AE1330"/>
    <mergeCell ref="H18:J18"/>
    <mergeCell ref="AD18:AE18"/>
    <mergeCell ref="D18:F18"/>
    <mergeCell ref="N1330:O1330"/>
    <mergeCell ref="N18:O18"/>
    <mergeCell ref="Q18:R18"/>
    <mergeCell ref="W1330:X1330"/>
    <mergeCell ref="T18:U18"/>
    <mergeCell ref="AA1330:AB1330"/>
    <mergeCell ref="W18:X18"/>
    <mergeCell ref="Q1330:R1330"/>
    <mergeCell ref="T1330:U1330"/>
    <mergeCell ref="AA18:AB18"/>
  </mergeCells>
  <pageMargins left="0.511811024" right="0.511811024" top="0.78740157499999996" bottom="0.78740157499999996" header="0.31496062000000002" footer="0.31496062000000002"/>
  <pageSetup paperSize="9" scale="93" orientation="landscape"/>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3"/>
  <sheetViews>
    <sheetView showGridLines="0" workbookViewId="0">
      <selection activeCell="B23" sqref="B23"/>
    </sheetView>
  </sheetViews>
  <sheetFormatPr defaultRowHeight="14.4" x14ac:dyDescent="0.3"/>
  <cols>
    <col min="1" max="1" width="7.44140625" bestFit="1" customWidth="1"/>
    <col min="2" max="2" width="43.33203125" bestFit="1" customWidth="1"/>
    <col min="3" max="3" width="24.5546875" bestFit="1" customWidth="1"/>
    <col min="4" max="4" width="17.88671875" bestFit="1" customWidth="1"/>
    <col min="5" max="5" width="14.44140625" style="65" bestFit="1" customWidth="1"/>
    <col min="6" max="6" width="15.44140625" style="65" customWidth="1"/>
    <col min="7" max="7" width="14.44140625" style="66" bestFit="1" customWidth="1"/>
    <col min="8" max="8" width="10.109375" customWidth="1"/>
    <col min="9" max="9" width="14" customWidth="1"/>
  </cols>
  <sheetData>
    <row r="1" spans="1:9" x14ac:dyDescent="0.3">
      <c r="A1" s="57" t="s">
        <v>6</v>
      </c>
      <c r="B1" s="57" t="s">
        <v>3</v>
      </c>
      <c r="C1" s="57" t="s">
        <v>4</v>
      </c>
      <c r="D1" s="57" t="s">
        <v>212</v>
      </c>
      <c r="E1" s="63" t="s">
        <v>257</v>
      </c>
      <c r="F1" s="63" t="s">
        <v>30</v>
      </c>
      <c r="G1" s="64" t="s">
        <v>258</v>
      </c>
      <c r="H1" s="57" t="s">
        <v>259</v>
      </c>
      <c r="I1" s="57" t="s">
        <v>260</v>
      </c>
    </row>
    <row r="2" spans="1:9" x14ac:dyDescent="0.3">
      <c r="A2">
        <v>1</v>
      </c>
      <c r="B2" s="1" t="s">
        <v>261</v>
      </c>
      <c r="C2" t="s">
        <v>63</v>
      </c>
      <c r="D2" t="s">
        <v>44</v>
      </c>
      <c r="E2" s="65">
        <v>33920</v>
      </c>
      <c r="F2" s="65">
        <v>3768</v>
      </c>
      <c r="G2" s="66">
        <v>160</v>
      </c>
      <c r="H2" t="s">
        <v>262</v>
      </c>
      <c r="I2" s="56">
        <v>0.5</v>
      </c>
    </row>
    <row r="3" spans="1:9" x14ac:dyDescent="0.3">
      <c r="A3">
        <v>1</v>
      </c>
      <c r="B3" s="1" t="s">
        <v>263</v>
      </c>
      <c r="C3" t="s">
        <v>63</v>
      </c>
      <c r="D3" t="s">
        <v>44</v>
      </c>
      <c r="E3" s="65">
        <v>55713</v>
      </c>
      <c r="F3" s="65">
        <v>6391</v>
      </c>
      <c r="G3" s="66">
        <v>292</v>
      </c>
      <c r="H3" t="s">
        <v>262</v>
      </c>
      <c r="I3" s="56">
        <v>0.3</v>
      </c>
    </row>
    <row r="4" spans="1:9" x14ac:dyDescent="0.3">
      <c r="A4">
        <v>1</v>
      </c>
      <c r="B4" s="1" t="s">
        <v>264</v>
      </c>
      <c r="C4" t="s">
        <v>69</v>
      </c>
      <c r="D4" t="s">
        <v>44</v>
      </c>
      <c r="E4" s="65">
        <v>26200</v>
      </c>
      <c r="F4" s="65">
        <v>3000</v>
      </c>
      <c r="G4" s="66">
        <v>80</v>
      </c>
      <c r="H4" t="s">
        <v>262</v>
      </c>
      <c r="I4" s="56">
        <v>0.9</v>
      </c>
    </row>
    <row r="5" spans="1:9" x14ac:dyDescent="0.3">
      <c r="A5">
        <v>1</v>
      </c>
      <c r="B5" s="1" t="s">
        <v>265</v>
      </c>
      <c r="C5" t="s">
        <v>47</v>
      </c>
      <c r="D5" t="s">
        <v>44</v>
      </c>
      <c r="E5" s="65">
        <v>51300</v>
      </c>
      <c r="F5" s="65">
        <v>1734</v>
      </c>
      <c r="G5" s="66">
        <v>270</v>
      </c>
      <c r="H5" t="s">
        <v>262</v>
      </c>
      <c r="I5" s="56">
        <v>0.9</v>
      </c>
    </row>
    <row r="6" spans="1:9" x14ac:dyDescent="0.3">
      <c r="A6">
        <v>1</v>
      </c>
      <c r="B6" s="1" t="s">
        <v>266</v>
      </c>
      <c r="C6" t="s">
        <v>53</v>
      </c>
      <c r="D6" t="s">
        <v>44</v>
      </c>
      <c r="E6" s="65">
        <v>1600</v>
      </c>
      <c r="F6" s="65">
        <v>2568</v>
      </c>
      <c r="G6" s="66">
        <v>16</v>
      </c>
      <c r="H6" t="s">
        <v>262</v>
      </c>
      <c r="I6" s="56">
        <v>0.8</v>
      </c>
    </row>
    <row r="7" spans="1:9" x14ac:dyDescent="0.3">
      <c r="A7">
        <v>1</v>
      </c>
      <c r="B7" s="1" t="s">
        <v>267</v>
      </c>
      <c r="C7" t="s">
        <v>47</v>
      </c>
      <c r="D7" t="s">
        <v>44</v>
      </c>
      <c r="E7" s="65">
        <v>81786</v>
      </c>
      <c r="F7" s="65">
        <v>7965</v>
      </c>
      <c r="G7" s="66">
        <v>430</v>
      </c>
      <c r="H7" t="s">
        <v>262</v>
      </c>
      <c r="I7" s="56">
        <v>0.5</v>
      </c>
    </row>
    <row r="8" spans="1:9" x14ac:dyDescent="0.3">
      <c r="A8">
        <v>1</v>
      </c>
      <c r="B8" s="1" t="s">
        <v>268</v>
      </c>
      <c r="C8" t="s">
        <v>53</v>
      </c>
      <c r="D8" t="s">
        <v>44</v>
      </c>
      <c r="E8" s="65">
        <v>1600</v>
      </c>
      <c r="F8" s="65">
        <v>3356</v>
      </c>
      <c r="G8" s="66">
        <v>16</v>
      </c>
      <c r="H8" t="s">
        <v>262</v>
      </c>
      <c r="I8" s="56">
        <v>0.5</v>
      </c>
    </row>
    <row r="9" spans="1:9" x14ac:dyDescent="0.3">
      <c r="A9">
        <v>1</v>
      </c>
      <c r="B9" s="1" t="s">
        <v>269</v>
      </c>
      <c r="C9" t="s">
        <v>270</v>
      </c>
      <c r="D9" t="s">
        <v>44</v>
      </c>
      <c r="E9" s="65">
        <v>0</v>
      </c>
      <c r="F9" s="65">
        <v>356.4</v>
      </c>
      <c r="G9" s="66">
        <v>0</v>
      </c>
      <c r="H9" t="s">
        <v>262</v>
      </c>
      <c r="I9" s="56">
        <v>0.5</v>
      </c>
    </row>
    <row r="10" spans="1:9" x14ac:dyDescent="0.3">
      <c r="A10">
        <v>1</v>
      </c>
      <c r="B10" s="1" t="s">
        <v>271</v>
      </c>
      <c r="C10" t="s">
        <v>47</v>
      </c>
      <c r="D10" t="s">
        <v>44</v>
      </c>
      <c r="E10" s="65">
        <v>118908</v>
      </c>
      <c r="F10" s="65">
        <v>13048</v>
      </c>
      <c r="G10" s="66">
        <v>540</v>
      </c>
      <c r="H10" t="s">
        <v>262</v>
      </c>
      <c r="I10" s="56">
        <v>0.8</v>
      </c>
    </row>
    <row r="11" spans="1:9" x14ac:dyDescent="0.3">
      <c r="A11">
        <v>1</v>
      </c>
      <c r="B11" s="1" t="s">
        <v>272</v>
      </c>
      <c r="C11" t="s">
        <v>53</v>
      </c>
      <c r="D11" t="s">
        <v>44</v>
      </c>
      <c r="E11" s="65">
        <v>1600</v>
      </c>
      <c r="F11" s="65">
        <v>6846</v>
      </c>
      <c r="G11" s="66">
        <v>16</v>
      </c>
      <c r="H11" t="s">
        <v>262</v>
      </c>
      <c r="I11" s="56">
        <v>0.8</v>
      </c>
    </row>
    <row r="12" spans="1:9" x14ac:dyDescent="0.3">
      <c r="A12">
        <v>1</v>
      </c>
      <c r="B12" s="1" t="s">
        <v>273</v>
      </c>
      <c r="C12" t="s">
        <v>47</v>
      </c>
      <c r="D12" t="s">
        <v>44</v>
      </c>
      <c r="E12" s="65">
        <v>38380</v>
      </c>
      <c r="F12" s="65">
        <v>1075</v>
      </c>
      <c r="G12" s="66">
        <v>190</v>
      </c>
      <c r="H12" t="s">
        <v>262</v>
      </c>
      <c r="I12" s="56">
        <v>0.3</v>
      </c>
    </row>
    <row r="13" spans="1:9" x14ac:dyDescent="0.3">
      <c r="A13">
        <v>1</v>
      </c>
      <c r="B13" s="1" t="s">
        <v>274</v>
      </c>
      <c r="C13" t="s">
        <v>53</v>
      </c>
      <c r="D13" t="s">
        <v>44</v>
      </c>
      <c r="E13" s="65">
        <v>1600</v>
      </c>
      <c r="F13" s="65">
        <v>2174</v>
      </c>
      <c r="G13" s="66">
        <v>16</v>
      </c>
      <c r="H13" t="s">
        <v>262</v>
      </c>
      <c r="I13" s="56">
        <v>0.3</v>
      </c>
    </row>
    <row r="14" spans="1:9" x14ac:dyDescent="0.3">
      <c r="A14">
        <v>1</v>
      </c>
      <c r="B14" s="1" t="s">
        <v>275</v>
      </c>
      <c r="C14" t="s">
        <v>54</v>
      </c>
      <c r="D14" t="s">
        <v>44</v>
      </c>
      <c r="E14" s="65">
        <v>23584</v>
      </c>
      <c r="F14" s="65">
        <v>142.56</v>
      </c>
      <c r="G14" s="66">
        <v>124</v>
      </c>
      <c r="H14" t="s">
        <v>262</v>
      </c>
      <c r="I14" s="56">
        <v>0.5</v>
      </c>
    </row>
    <row r="15" spans="1:9" x14ac:dyDescent="0.3">
      <c r="A15">
        <v>1</v>
      </c>
      <c r="B15" s="1" t="s">
        <v>276</v>
      </c>
      <c r="C15" t="s">
        <v>47</v>
      </c>
      <c r="D15" t="s">
        <v>44</v>
      </c>
      <c r="E15" s="65">
        <v>44000</v>
      </c>
      <c r="F15" s="65">
        <v>1378</v>
      </c>
      <c r="G15" s="66">
        <v>220</v>
      </c>
      <c r="H15" t="s">
        <v>262</v>
      </c>
      <c r="I15" s="56">
        <v>0.5</v>
      </c>
    </row>
    <row r="16" spans="1:9" x14ac:dyDescent="0.3">
      <c r="A16">
        <v>1</v>
      </c>
      <c r="B16" s="1" t="s">
        <v>277</v>
      </c>
      <c r="C16" t="s">
        <v>63</v>
      </c>
      <c r="D16" t="s">
        <v>44</v>
      </c>
      <c r="E16" s="65">
        <v>8000</v>
      </c>
      <c r="F16" s="65">
        <v>1964</v>
      </c>
      <c r="G16" s="66">
        <v>40</v>
      </c>
      <c r="H16" t="s">
        <v>262</v>
      </c>
      <c r="I16" s="56">
        <v>0.5</v>
      </c>
    </row>
    <row r="17" spans="1:9" x14ac:dyDescent="0.3">
      <c r="A17">
        <v>1</v>
      </c>
      <c r="B17" s="1" t="s">
        <v>278</v>
      </c>
      <c r="C17" t="s">
        <v>53</v>
      </c>
      <c r="D17" t="s">
        <v>44</v>
      </c>
      <c r="E17" s="65">
        <v>1600</v>
      </c>
      <c r="F17" s="65">
        <v>3442</v>
      </c>
      <c r="G17" s="66">
        <v>16</v>
      </c>
      <c r="H17" t="s">
        <v>262</v>
      </c>
      <c r="I17" s="56">
        <v>0.5</v>
      </c>
    </row>
    <row r="18" spans="1:9" x14ac:dyDescent="0.3">
      <c r="A18">
        <v>1</v>
      </c>
      <c r="B18" s="1" t="s">
        <v>279</v>
      </c>
      <c r="C18" t="s">
        <v>47</v>
      </c>
      <c r="D18" t="s">
        <v>44</v>
      </c>
      <c r="E18" s="65">
        <v>72000</v>
      </c>
      <c r="F18" s="65">
        <v>4215</v>
      </c>
      <c r="G18" s="66">
        <v>360</v>
      </c>
      <c r="H18" t="s">
        <v>262</v>
      </c>
      <c r="I18" s="56">
        <v>0.5</v>
      </c>
    </row>
    <row r="19" spans="1:9" x14ac:dyDescent="0.3">
      <c r="A19">
        <v>1</v>
      </c>
      <c r="B19" s="1" t="s">
        <v>280</v>
      </c>
      <c r="C19" t="s">
        <v>63</v>
      </c>
      <c r="D19" t="s">
        <v>44</v>
      </c>
      <c r="E19" s="65">
        <f>40*180</f>
        <v>7200</v>
      </c>
      <c r="F19" s="65">
        <v>1964.2</v>
      </c>
      <c r="G19" s="66">
        <v>8</v>
      </c>
      <c r="H19" t="s">
        <v>262</v>
      </c>
      <c r="I19" s="56">
        <v>0.5</v>
      </c>
    </row>
    <row r="20" spans="1:9" x14ac:dyDescent="0.3">
      <c r="A20">
        <v>1</v>
      </c>
      <c r="B20" s="1" t="s">
        <v>281</v>
      </c>
      <c r="C20" t="s">
        <v>53</v>
      </c>
      <c r="D20" t="s">
        <v>44</v>
      </c>
      <c r="E20" s="65">
        <v>1600</v>
      </c>
      <c r="F20" s="65">
        <v>5242</v>
      </c>
      <c r="G20" s="66">
        <v>16</v>
      </c>
      <c r="H20" t="s">
        <v>262</v>
      </c>
      <c r="I20" s="56">
        <v>0.5</v>
      </c>
    </row>
    <row r="21" spans="1:9" x14ac:dyDescent="0.3">
      <c r="A21">
        <v>1</v>
      </c>
      <c r="B21" s="1" t="s">
        <v>282</v>
      </c>
      <c r="C21" t="s">
        <v>69</v>
      </c>
      <c r="D21" t="s">
        <v>44</v>
      </c>
      <c r="E21" s="65">
        <v>26200</v>
      </c>
      <c r="F21" s="65">
        <v>3400</v>
      </c>
      <c r="G21" s="66">
        <v>80</v>
      </c>
      <c r="H21" t="s">
        <v>262</v>
      </c>
      <c r="I21" s="56">
        <v>0.3</v>
      </c>
    </row>
    <row r="22" spans="1:9" x14ac:dyDescent="0.3">
      <c r="A22">
        <v>1</v>
      </c>
      <c r="B22" s="1" t="s">
        <v>283</v>
      </c>
      <c r="C22" t="s">
        <v>284</v>
      </c>
      <c r="D22" t="s">
        <v>44</v>
      </c>
      <c r="E22" s="65">
        <v>3392</v>
      </c>
      <c r="F22" s="65">
        <v>356.4</v>
      </c>
      <c r="G22" s="66">
        <v>16</v>
      </c>
      <c r="H22" t="s">
        <v>262</v>
      </c>
      <c r="I22" s="56">
        <v>0.5</v>
      </c>
    </row>
    <row r="23" spans="1:9" x14ac:dyDescent="0.3">
      <c r="A23">
        <v>1</v>
      </c>
      <c r="B23" s="1" t="s">
        <v>285</v>
      </c>
      <c r="C23" t="s">
        <v>47</v>
      </c>
      <c r="D23" t="s">
        <v>44</v>
      </c>
      <c r="E23" s="65">
        <v>44000</v>
      </c>
      <c r="F23" s="65">
        <v>1102</v>
      </c>
      <c r="G23" s="66">
        <v>220</v>
      </c>
      <c r="H23" t="s">
        <v>262</v>
      </c>
      <c r="I23" s="56">
        <v>0.3</v>
      </c>
    </row>
    <row r="24" spans="1:9" x14ac:dyDescent="0.3">
      <c r="A24">
        <v>1</v>
      </c>
      <c r="B24" s="1" t="s">
        <v>286</v>
      </c>
      <c r="C24" t="s">
        <v>63</v>
      </c>
      <c r="D24" t="s">
        <v>44</v>
      </c>
      <c r="E24" s="65">
        <v>8000</v>
      </c>
      <c r="F24" s="65">
        <v>1865</v>
      </c>
      <c r="G24" s="66">
        <v>40</v>
      </c>
      <c r="H24" t="s">
        <v>262</v>
      </c>
      <c r="I24" s="56">
        <v>0.3</v>
      </c>
    </row>
    <row r="25" spans="1:9" x14ac:dyDescent="0.3">
      <c r="A25">
        <v>1</v>
      </c>
      <c r="B25" s="1" t="s">
        <v>287</v>
      </c>
      <c r="C25" t="s">
        <v>288</v>
      </c>
      <c r="D25" t="s">
        <v>44</v>
      </c>
      <c r="E25" s="65" t="s">
        <v>289</v>
      </c>
      <c r="F25" s="65" t="s">
        <v>289</v>
      </c>
      <c r="G25" s="65" t="s">
        <v>289</v>
      </c>
      <c r="H25" t="s">
        <v>262</v>
      </c>
      <c r="I25" s="56">
        <v>0.3</v>
      </c>
    </row>
    <row r="26" spans="1:9" x14ac:dyDescent="0.3">
      <c r="A26">
        <v>1</v>
      </c>
      <c r="B26" s="1" t="s">
        <v>290</v>
      </c>
      <c r="C26" t="s">
        <v>288</v>
      </c>
      <c r="D26" t="s">
        <v>44</v>
      </c>
      <c r="E26" s="65" t="s">
        <v>289</v>
      </c>
      <c r="F26" s="65" t="s">
        <v>289</v>
      </c>
      <c r="G26" s="66" t="s">
        <v>289</v>
      </c>
      <c r="H26" t="s">
        <v>262</v>
      </c>
      <c r="I26" s="56">
        <v>0.3</v>
      </c>
    </row>
    <row r="27" spans="1:9" x14ac:dyDescent="0.3">
      <c r="A27">
        <v>1</v>
      </c>
      <c r="B27" s="1" t="s">
        <v>291</v>
      </c>
      <c r="C27" t="s">
        <v>288</v>
      </c>
      <c r="D27" t="s">
        <v>44</v>
      </c>
      <c r="E27" s="65" t="s">
        <v>289</v>
      </c>
      <c r="F27" s="65" t="s">
        <v>289</v>
      </c>
      <c r="G27" s="66" t="s">
        <v>289</v>
      </c>
      <c r="H27" t="s">
        <v>262</v>
      </c>
      <c r="I27" s="56">
        <v>0.3</v>
      </c>
    </row>
    <row r="28" spans="1:9" x14ac:dyDescent="0.3">
      <c r="A28">
        <v>1</v>
      </c>
      <c r="B28" s="1" t="s">
        <v>292</v>
      </c>
      <c r="C28" t="s">
        <v>288</v>
      </c>
      <c r="D28" t="s">
        <v>44</v>
      </c>
      <c r="E28" s="65" t="s">
        <v>293</v>
      </c>
      <c r="F28" s="65" t="s">
        <v>293</v>
      </c>
      <c r="G28" s="65" t="s">
        <v>293</v>
      </c>
      <c r="H28" t="s">
        <v>262</v>
      </c>
      <c r="I28" s="56">
        <v>0.3</v>
      </c>
    </row>
    <row r="29" spans="1:9" x14ac:dyDescent="0.3">
      <c r="A29">
        <v>1</v>
      </c>
      <c r="B29" s="1" t="s">
        <v>294</v>
      </c>
      <c r="C29" t="s">
        <v>288</v>
      </c>
      <c r="D29" t="s">
        <v>44</v>
      </c>
      <c r="E29" s="65" t="s">
        <v>293</v>
      </c>
      <c r="F29" s="65" t="s">
        <v>293</v>
      </c>
      <c r="G29" s="65" t="s">
        <v>293</v>
      </c>
      <c r="H29" t="s">
        <v>262</v>
      </c>
      <c r="I29" s="56">
        <v>0.3</v>
      </c>
    </row>
    <row r="30" spans="1:9" x14ac:dyDescent="0.3">
      <c r="A30">
        <v>1</v>
      </c>
      <c r="B30" s="1" t="s">
        <v>295</v>
      </c>
      <c r="C30" t="s">
        <v>47</v>
      </c>
      <c r="D30" t="s">
        <v>22</v>
      </c>
      <c r="E30" s="65" t="s">
        <v>289</v>
      </c>
      <c r="F30" s="65" t="s">
        <v>289</v>
      </c>
      <c r="G30" s="65" t="s">
        <v>289</v>
      </c>
      <c r="H30" t="s">
        <v>262</v>
      </c>
      <c r="I30" s="56">
        <v>0.5</v>
      </c>
    </row>
    <row r="31" spans="1:9" x14ac:dyDescent="0.3">
      <c r="A31">
        <v>1</v>
      </c>
      <c r="B31" s="1" t="s">
        <v>296</v>
      </c>
      <c r="C31" t="s">
        <v>63</v>
      </c>
      <c r="D31" t="s">
        <v>22</v>
      </c>
      <c r="E31" s="65">
        <v>16000</v>
      </c>
      <c r="F31" s="65">
        <v>1558</v>
      </c>
      <c r="G31" s="66">
        <v>80</v>
      </c>
      <c r="H31" t="s">
        <v>262</v>
      </c>
      <c r="I31" s="56">
        <v>0.5</v>
      </c>
    </row>
    <row r="32" spans="1:9" x14ac:dyDescent="0.3">
      <c r="A32">
        <v>1</v>
      </c>
      <c r="B32" s="1" t="s">
        <v>297</v>
      </c>
      <c r="C32" t="s">
        <v>47</v>
      </c>
      <c r="D32" t="s">
        <v>22</v>
      </c>
      <c r="E32" s="65">
        <v>153599</v>
      </c>
      <c r="F32" s="65">
        <v>9247.44</v>
      </c>
      <c r="G32" s="66">
        <v>768</v>
      </c>
      <c r="H32" t="s">
        <v>262</v>
      </c>
      <c r="I32" s="56">
        <v>0.3</v>
      </c>
    </row>
    <row r="33" spans="1:11" x14ac:dyDescent="0.3">
      <c r="A33">
        <v>1</v>
      </c>
      <c r="B33" s="1" t="s">
        <v>298</v>
      </c>
      <c r="C33" t="s">
        <v>47</v>
      </c>
      <c r="D33" t="s">
        <v>22</v>
      </c>
      <c r="E33" s="65">
        <v>254760</v>
      </c>
      <c r="F33" s="65">
        <v>15786</v>
      </c>
      <c r="G33" s="66">
        <v>1158</v>
      </c>
      <c r="H33" t="s">
        <v>262</v>
      </c>
      <c r="I33" s="56">
        <v>0.3</v>
      </c>
    </row>
    <row r="34" spans="1:11" x14ac:dyDescent="0.3">
      <c r="A34">
        <v>1</v>
      </c>
      <c r="B34" s="1" t="s">
        <v>299</v>
      </c>
      <c r="C34" t="s">
        <v>63</v>
      </c>
      <c r="D34" t="s">
        <v>22</v>
      </c>
      <c r="E34" s="65">
        <v>20000</v>
      </c>
      <c r="F34" s="65">
        <v>5880</v>
      </c>
      <c r="G34" s="66">
        <v>80</v>
      </c>
      <c r="H34" t="s">
        <v>262</v>
      </c>
      <c r="I34" s="56">
        <v>0.3</v>
      </c>
    </row>
    <row r="35" spans="1:11" x14ac:dyDescent="0.3">
      <c r="A35">
        <v>1</v>
      </c>
      <c r="B35" s="1" t="s">
        <v>300</v>
      </c>
      <c r="C35" t="s">
        <v>301</v>
      </c>
      <c r="D35" t="s">
        <v>22</v>
      </c>
      <c r="E35" s="65">
        <v>130600</v>
      </c>
      <c r="F35" s="65">
        <v>16809</v>
      </c>
      <c r="G35" s="66">
        <v>653</v>
      </c>
      <c r="H35" t="s">
        <v>262</v>
      </c>
      <c r="I35" s="56">
        <v>0.3</v>
      </c>
      <c r="K35" s="56"/>
    </row>
    <row r="36" spans="1:11" x14ac:dyDescent="0.3">
      <c r="A36">
        <v>1</v>
      </c>
      <c r="B36" s="1" t="s">
        <v>302</v>
      </c>
      <c r="C36" t="s">
        <v>63</v>
      </c>
      <c r="D36" t="s">
        <v>22</v>
      </c>
      <c r="E36" s="65">
        <v>16000</v>
      </c>
      <c r="F36" s="65">
        <v>5880</v>
      </c>
      <c r="G36" s="66">
        <v>80</v>
      </c>
      <c r="H36" t="s">
        <v>262</v>
      </c>
      <c r="I36" s="56">
        <v>0.9</v>
      </c>
      <c r="K36" s="56"/>
    </row>
    <row r="37" spans="1:11" x14ac:dyDescent="0.3">
      <c r="A37">
        <v>1</v>
      </c>
      <c r="B37" s="1" t="s">
        <v>303</v>
      </c>
      <c r="C37" t="s">
        <v>304</v>
      </c>
      <c r="D37" t="s">
        <v>22</v>
      </c>
      <c r="E37" s="65">
        <v>72000</v>
      </c>
      <c r="F37" s="65">
        <v>8045</v>
      </c>
      <c r="G37" s="66">
        <v>360</v>
      </c>
      <c r="H37" t="s">
        <v>262</v>
      </c>
      <c r="I37" s="56">
        <v>0.3</v>
      </c>
      <c r="K37" s="56"/>
    </row>
    <row r="38" spans="1:11" x14ac:dyDescent="0.3">
      <c r="A38">
        <v>1</v>
      </c>
      <c r="B38" s="1" t="s">
        <v>305</v>
      </c>
      <c r="C38" t="s">
        <v>47</v>
      </c>
      <c r="D38" t="s">
        <v>22</v>
      </c>
      <c r="E38" s="65" t="s">
        <v>289</v>
      </c>
      <c r="F38" s="65" t="s">
        <v>289</v>
      </c>
      <c r="G38" s="65" t="s">
        <v>289</v>
      </c>
      <c r="H38" t="s">
        <v>262</v>
      </c>
      <c r="I38" s="56">
        <v>0.3</v>
      </c>
      <c r="K38" s="56"/>
    </row>
    <row r="39" spans="1:11" x14ac:dyDescent="0.3">
      <c r="A39">
        <v>1</v>
      </c>
      <c r="B39" s="1" t="s">
        <v>306</v>
      </c>
      <c r="C39" t="s">
        <v>63</v>
      </c>
      <c r="D39" t="s">
        <v>22</v>
      </c>
      <c r="E39" s="65" t="s">
        <v>289</v>
      </c>
      <c r="F39" s="65" t="s">
        <v>289</v>
      </c>
      <c r="G39" s="65" t="s">
        <v>289</v>
      </c>
      <c r="H39" t="s">
        <v>262</v>
      </c>
      <c r="I39" s="56">
        <v>0.3</v>
      </c>
      <c r="K39" s="56"/>
    </row>
    <row r="40" spans="1:11" x14ac:dyDescent="0.3">
      <c r="A40">
        <v>1</v>
      </c>
      <c r="B40" s="1" t="s">
        <v>307</v>
      </c>
      <c r="C40" t="s">
        <v>308</v>
      </c>
      <c r="D40" t="s">
        <v>22</v>
      </c>
      <c r="E40" s="65" t="s">
        <v>289</v>
      </c>
      <c r="F40" s="65" t="s">
        <v>289</v>
      </c>
      <c r="G40" s="65" t="s">
        <v>289</v>
      </c>
      <c r="H40" t="s">
        <v>262</v>
      </c>
      <c r="I40" s="56">
        <v>0.3</v>
      </c>
      <c r="K40" s="56"/>
    </row>
    <row r="41" spans="1:11" x14ac:dyDescent="0.3">
      <c r="A41">
        <v>1</v>
      </c>
      <c r="B41" s="1" t="s">
        <v>309</v>
      </c>
      <c r="C41" t="s">
        <v>47</v>
      </c>
      <c r="D41" t="s">
        <v>22</v>
      </c>
      <c r="E41" s="65">
        <v>315000</v>
      </c>
      <c r="F41" s="65">
        <v>32575</v>
      </c>
      <c r="G41" s="66">
        <v>1500</v>
      </c>
      <c r="H41" t="s">
        <v>262</v>
      </c>
      <c r="I41" s="56">
        <v>0.3</v>
      </c>
      <c r="K41" s="56"/>
    </row>
    <row r="42" spans="1:11" x14ac:dyDescent="0.3">
      <c r="A42">
        <v>1</v>
      </c>
      <c r="B42" s="1" t="s">
        <v>310</v>
      </c>
      <c r="C42" t="s">
        <v>47</v>
      </c>
      <c r="D42" t="s">
        <v>22</v>
      </c>
      <c r="E42" s="65">
        <v>47200</v>
      </c>
      <c r="F42" s="65">
        <v>2298.1</v>
      </c>
      <c r="G42" s="66">
        <v>236</v>
      </c>
      <c r="H42" t="s">
        <v>262</v>
      </c>
      <c r="I42" s="56">
        <v>0.3</v>
      </c>
      <c r="K42" s="56"/>
    </row>
    <row r="43" spans="1:11" x14ac:dyDescent="0.3">
      <c r="A43">
        <v>1</v>
      </c>
      <c r="B43" s="1" t="s">
        <v>311</v>
      </c>
      <c r="C43" t="s">
        <v>69</v>
      </c>
      <c r="D43" t="s">
        <v>22</v>
      </c>
      <c r="E43" s="65" t="s">
        <v>289</v>
      </c>
      <c r="F43" s="65" t="s">
        <v>289</v>
      </c>
      <c r="G43" s="65" t="s">
        <v>289</v>
      </c>
      <c r="H43" t="s">
        <v>262</v>
      </c>
      <c r="I43" s="56">
        <v>0.3</v>
      </c>
      <c r="K43" s="56"/>
    </row>
    <row r="44" spans="1:11" x14ac:dyDescent="0.3">
      <c r="A44">
        <v>1</v>
      </c>
      <c r="B44" s="1" t="s">
        <v>312</v>
      </c>
      <c r="C44" t="s">
        <v>47</v>
      </c>
      <c r="D44" t="s">
        <v>22</v>
      </c>
      <c r="E44" s="65" t="s">
        <v>289</v>
      </c>
      <c r="F44" s="65" t="s">
        <v>289</v>
      </c>
      <c r="G44" s="65" t="s">
        <v>289</v>
      </c>
      <c r="H44" t="s">
        <v>262</v>
      </c>
      <c r="I44" s="56">
        <v>0.3</v>
      </c>
      <c r="K44" s="56"/>
    </row>
    <row r="45" spans="1:11" x14ac:dyDescent="0.3">
      <c r="A45">
        <v>1</v>
      </c>
      <c r="B45" s="1" t="s">
        <v>313</v>
      </c>
      <c r="C45" t="s">
        <v>47</v>
      </c>
      <c r="D45" t="s">
        <v>22</v>
      </c>
      <c r="E45" s="65" t="s">
        <v>289</v>
      </c>
      <c r="F45" s="65" t="s">
        <v>289</v>
      </c>
      <c r="G45" s="65" t="s">
        <v>289</v>
      </c>
      <c r="H45" t="s">
        <v>262</v>
      </c>
      <c r="I45" s="56">
        <v>0.3</v>
      </c>
      <c r="K45" s="56"/>
    </row>
    <row r="46" spans="1:11" x14ac:dyDescent="0.3">
      <c r="A46">
        <v>1</v>
      </c>
      <c r="B46" s="1" t="s">
        <v>314</v>
      </c>
      <c r="C46" t="s">
        <v>47</v>
      </c>
      <c r="D46" t="s">
        <v>22</v>
      </c>
      <c r="E46" s="65" t="s">
        <v>289</v>
      </c>
      <c r="F46" s="65" t="s">
        <v>289</v>
      </c>
      <c r="G46" s="65" t="s">
        <v>289</v>
      </c>
      <c r="H46" t="s">
        <v>262</v>
      </c>
      <c r="I46" s="56">
        <v>0.3</v>
      </c>
      <c r="K46" s="56"/>
    </row>
    <row r="47" spans="1:11" x14ac:dyDescent="0.3">
      <c r="A47">
        <v>1</v>
      </c>
      <c r="B47" s="1" t="s">
        <v>315</v>
      </c>
      <c r="C47" t="s">
        <v>316</v>
      </c>
      <c r="D47" t="s">
        <v>22</v>
      </c>
      <c r="E47" s="65">
        <v>0</v>
      </c>
      <c r="F47" s="65">
        <v>66</v>
      </c>
      <c r="G47" s="66">
        <v>0</v>
      </c>
      <c r="H47" t="s">
        <v>262</v>
      </c>
      <c r="I47" s="56">
        <v>0.9</v>
      </c>
      <c r="K47" s="56"/>
    </row>
    <row r="48" spans="1:11" x14ac:dyDescent="0.3">
      <c r="A48">
        <v>1</v>
      </c>
      <c r="B48" s="1" t="s">
        <v>317</v>
      </c>
      <c r="C48" t="s">
        <v>318</v>
      </c>
      <c r="D48" t="s">
        <v>22</v>
      </c>
      <c r="E48" s="65">
        <v>63200</v>
      </c>
      <c r="F48" s="65">
        <v>0</v>
      </c>
      <c r="G48" s="66">
        <v>316</v>
      </c>
      <c r="H48" t="s">
        <v>319</v>
      </c>
      <c r="I48" s="56">
        <v>0.5</v>
      </c>
      <c r="K48" s="56"/>
    </row>
    <row r="49" spans="1:11" x14ac:dyDescent="0.3">
      <c r="A49">
        <v>1</v>
      </c>
      <c r="B49" s="1" t="s">
        <v>320</v>
      </c>
      <c r="C49" t="s">
        <v>47</v>
      </c>
      <c r="D49" t="s">
        <v>22</v>
      </c>
      <c r="E49" s="65" t="s">
        <v>289</v>
      </c>
      <c r="F49" s="65" t="s">
        <v>289</v>
      </c>
      <c r="G49" s="65" t="s">
        <v>289</v>
      </c>
      <c r="H49" t="s">
        <v>262</v>
      </c>
      <c r="I49" s="56">
        <v>0.3</v>
      </c>
      <c r="K49" s="56"/>
    </row>
    <row r="50" spans="1:11" x14ac:dyDescent="0.3">
      <c r="A50">
        <v>1</v>
      </c>
      <c r="B50" s="1" t="s">
        <v>51</v>
      </c>
      <c r="C50" t="s">
        <v>321</v>
      </c>
      <c r="D50" t="s">
        <v>22</v>
      </c>
      <c r="E50" s="65">
        <v>72000</v>
      </c>
      <c r="F50" s="65">
        <v>8241</v>
      </c>
      <c r="G50" s="66">
        <v>360</v>
      </c>
      <c r="H50" t="s">
        <v>262</v>
      </c>
      <c r="I50" s="56">
        <v>0.3</v>
      </c>
      <c r="K50" s="56"/>
    </row>
    <row r="51" spans="1:11" x14ac:dyDescent="0.3">
      <c r="A51">
        <v>1</v>
      </c>
      <c r="B51" s="1" t="s">
        <v>322</v>
      </c>
      <c r="C51" t="s">
        <v>63</v>
      </c>
      <c r="D51" t="s">
        <v>22</v>
      </c>
      <c r="E51" s="65">
        <v>16000</v>
      </c>
      <c r="F51" s="65">
        <v>18330</v>
      </c>
      <c r="G51" s="66">
        <v>80</v>
      </c>
      <c r="H51" t="s">
        <v>262</v>
      </c>
      <c r="I51" s="56">
        <v>0.9</v>
      </c>
      <c r="K51" s="56"/>
    </row>
    <row r="52" spans="1:11" x14ac:dyDescent="0.3">
      <c r="A52">
        <v>1</v>
      </c>
      <c r="B52" s="1" t="s">
        <v>323</v>
      </c>
      <c r="C52" t="s">
        <v>288</v>
      </c>
      <c r="D52" t="s">
        <v>22</v>
      </c>
      <c r="E52" s="65" t="s">
        <v>293</v>
      </c>
      <c r="F52" s="65" t="s">
        <v>293</v>
      </c>
      <c r="G52" s="65" t="s">
        <v>293</v>
      </c>
      <c r="H52" t="s">
        <v>262</v>
      </c>
      <c r="I52" s="56">
        <v>0.3</v>
      </c>
      <c r="K52" s="56"/>
    </row>
    <row r="53" spans="1:11" x14ac:dyDescent="0.3">
      <c r="A53">
        <v>1</v>
      </c>
      <c r="B53" s="1" t="s">
        <v>324</v>
      </c>
      <c r="C53" t="s">
        <v>288</v>
      </c>
      <c r="D53" t="s">
        <v>22</v>
      </c>
      <c r="E53" s="65" t="s">
        <v>289</v>
      </c>
      <c r="F53" s="65" t="s">
        <v>289</v>
      </c>
      <c r="G53" s="65" t="s">
        <v>289</v>
      </c>
      <c r="H53" t="s">
        <v>262</v>
      </c>
      <c r="I53" s="56">
        <v>0.3</v>
      </c>
      <c r="K53" s="56"/>
    </row>
    <row r="54" spans="1:11" x14ac:dyDescent="0.3">
      <c r="A54">
        <v>1</v>
      </c>
      <c r="B54" s="1" t="s">
        <v>325</v>
      </c>
      <c r="C54" t="s">
        <v>288</v>
      </c>
      <c r="D54" t="s">
        <v>22</v>
      </c>
      <c r="E54" s="65" t="s">
        <v>289</v>
      </c>
      <c r="F54" s="65" t="s">
        <v>289</v>
      </c>
      <c r="G54" s="65" t="s">
        <v>289</v>
      </c>
      <c r="H54" t="s">
        <v>262</v>
      </c>
      <c r="I54" s="56">
        <v>0.3</v>
      </c>
      <c r="K54" s="56"/>
    </row>
    <row r="55" spans="1:11" x14ac:dyDescent="0.3">
      <c r="A55">
        <v>1</v>
      </c>
      <c r="B55" s="1" t="s">
        <v>326</v>
      </c>
      <c r="C55" t="s">
        <v>288</v>
      </c>
      <c r="D55" t="s">
        <v>22</v>
      </c>
      <c r="E55" s="65" t="s">
        <v>293</v>
      </c>
      <c r="F55" s="65" t="s">
        <v>293</v>
      </c>
      <c r="G55" s="65" t="s">
        <v>293</v>
      </c>
      <c r="H55" t="s">
        <v>262</v>
      </c>
      <c r="I55" s="56">
        <v>0.3</v>
      </c>
      <c r="K55" s="56"/>
    </row>
    <row r="56" spans="1:11" x14ac:dyDescent="0.3">
      <c r="A56">
        <v>1</v>
      </c>
      <c r="B56" s="1" t="s">
        <v>327</v>
      </c>
      <c r="C56" t="s">
        <v>288</v>
      </c>
      <c r="D56" t="s">
        <v>22</v>
      </c>
      <c r="H56" t="s">
        <v>262</v>
      </c>
      <c r="I56" s="56">
        <v>0.3</v>
      </c>
      <c r="K56" s="56"/>
    </row>
    <row r="57" spans="1:11" x14ac:dyDescent="0.3">
      <c r="A57">
        <v>1</v>
      </c>
      <c r="B57" s="1" t="s">
        <v>328</v>
      </c>
      <c r="C57" t="s">
        <v>329</v>
      </c>
      <c r="D57" t="s">
        <v>31</v>
      </c>
      <c r="E57" s="65">
        <v>46200</v>
      </c>
      <c r="F57" s="65">
        <v>1460.47</v>
      </c>
      <c r="G57" s="66">
        <v>220</v>
      </c>
      <c r="H57" t="s">
        <v>262</v>
      </c>
      <c r="I57" s="56">
        <v>0.5</v>
      </c>
      <c r="K57" s="56"/>
    </row>
    <row r="58" spans="1:11" x14ac:dyDescent="0.3">
      <c r="A58">
        <v>1</v>
      </c>
      <c r="B58" s="1" t="s">
        <v>330</v>
      </c>
      <c r="C58" t="s">
        <v>47</v>
      </c>
      <c r="D58" t="s">
        <v>31</v>
      </c>
      <c r="E58" s="65" t="s">
        <v>289</v>
      </c>
      <c r="F58" s="65" t="s">
        <v>289</v>
      </c>
      <c r="G58" s="65" t="s">
        <v>289</v>
      </c>
      <c r="H58" t="s">
        <v>262</v>
      </c>
      <c r="I58" s="56">
        <v>0.3</v>
      </c>
      <c r="K58" s="56"/>
    </row>
    <row r="59" spans="1:11" x14ac:dyDescent="0.3">
      <c r="A59">
        <v>1</v>
      </c>
      <c r="B59" s="1" t="s">
        <v>331</v>
      </c>
      <c r="C59" t="s">
        <v>321</v>
      </c>
      <c r="D59" t="s">
        <v>31</v>
      </c>
      <c r="E59" s="65" t="s">
        <v>289</v>
      </c>
      <c r="F59" s="65" t="s">
        <v>289</v>
      </c>
      <c r="G59" s="66" t="s">
        <v>289</v>
      </c>
      <c r="H59" t="s">
        <v>262</v>
      </c>
      <c r="I59" s="56">
        <v>0.3</v>
      </c>
    </row>
    <row r="60" spans="1:11" x14ac:dyDescent="0.3">
      <c r="A60">
        <v>1</v>
      </c>
      <c r="B60" s="1" t="s">
        <v>332</v>
      </c>
      <c r="C60" t="s">
        <v>47</v>
      </c>
      <c r="D60" t="s">
        <v>31</v>
      </c>
      <c r="E60" s="65" t="s">
        <v>289</v>
      </c>
      <c r="F60" s="65" t="s">
        <v>289</v>
      </c>
      <c r="G60" s="66" t="s">
        <v>289</v>
      </c>
      <c r="H60" t="s">
        <v>262</v>
      </c>
      <c r="I60" s="56">
        <v>0.3</v>
      </c>
    </row>
    <row r="61" spans="1:11" x14ac:dyDescent="0.3">
      <c r="A61">
        <v>1</v>
      </c>
      <c r="B61" s="1" t="s">
        <v>333</v>
      </c>
      <c r="C61" t="s">
        <v>288</v>
      </c>
      <c r="D61" t="s">
        <v>31</v>
      </c>
      <c r="E61" s="65" t="s">
        <v>293</v>
      </c>
      <c r="F61" s="65" t="s">
        <v>293</v>
      </c>
      <c r="G61" s="65" t="s">
        <v>293</v>
      </c>
      <c r="H61" t="s">
        <v>262</v>
      </c>
      <c r="I61" s="56">
        <v>0.3</v>
      </c>
    </row>
    <row r="62" spans="1:11" x14ac:dyDescent="0.3">
      <c r="A62">
        <v>1</v>
      </c>
      <c r="B62" s="1" t="s">
        <v>334</v>
      </c>
      <c r="C62" t="s">
        <v>288</v>
      </c>
      <c r="D62" t="s">
        <v>31</v>
      </c>
      <c r="E62" s="65" t="s">
        <v>293</v>
      </c>
      <c r="F62" s="65" t="s">
        <v>293</v>
      </c>
      <c r="G62" s="65" t="s">
        <v>293</v>
      </c>
      <c r="H62" t="s">
        <v>262</v>
      </c>
      <c r="I62" s="56">
        <v>0.3</v>
      </c>
    </row>
    <row r="63" spans="1:11" x14ac:dyDescent="0.3">
      <c r="A63">
        <v>1</v>
      </c>
      <c r="B63" s="1" t="s">
        <v>335</v>
      </c>
      <c r="C63" t="s">
        <v>288</v>
      </c>
      <c r="D63" t="s">
        <v>31</v>
      </c>
      <c r="E63" s="65" t="s">
        <v>293</v>
      </c>
      <c r="F63" s="65" t="s">
        <v>293</v>
      </c>
      <c r="G63" s="65" t="s">
        <v>293</v>
      </c>
      <c r="H63" t="s">
        <v>262</v>
      </c>
      <c r="I63" s="56">
        <v>0.3</v>
      </c>
    </row>
    <row r="64" spans="1:11" x14ac:dyDescent="0.3">
      <c r="A64">
        <v>1</v>
      </c>
      <c r="B64" s="1" t="s">
        <v>336</v>
      </c>
      <c r="C64" t="s">
        <v>288</v>
      </c>
      <c r="D64" t="s">
        <v>31</v>
      </c>
      <c r="E64" s="65" t="s">
        <v>293</v>
      </c>
      <c r="F64" s="65" t="s">
        <v>293</v>
      </c>
      <c r="G64" s="65" t="s">
        <v>293</v>
      </c>
      <c r="H64" t="s">
        <v>262</v>
      </c>
      <c r="I64" s="56">
        <v>0.3</v>
      </c>
    </row>
    <row r="65" spans="1:9" x14ac:dyDescent="0.3">
      <c r="A65">
        <v>1</v>
      </c>
      <c r="B65" s="1" t="s">
        <v>337</v>
      </c>
      <c r="C65" t="s">
        <v>288</v>
      </c>
      <c r="D65" t="s">
        <v>31</v>
      </c>
      <c r="E65" s="65" t="s">
        <v>293</v>
      </c>
      <c r="F65" s="65" t="s">
        <v>293</v>
      </c>
      <c r="G65" s="65" t="s">
        <v>293</v>
      </c>
      <c r="H65" t="s">
        <v>262</v>
      </c>
      <c r="I65" s="56">
        <v>0.3</v>
      </c>
    </row>
    <row r="66" spans="1:9" x14ac:dyDescent="0.3">
      <c r="A66">
        <v>1</v>
      </c>
      <c r="B66" s="1" t="s">
        <v>338</v>
      </c>
      <c r="C66" t="s">
        <v>288</v>
      </c>
      <c r="D66" t="s">
        <v>31</v>
      </c>
      <c r="E66" s="65" t="s">
        <v>293</v>
      </c>
      <c r="F66" s="65" t="s">
        <v>293</v>
      </c>
      <c r="G66" s="65" t="s">
        <v>293</v>
      </c>
      <c r="H66" t="s">
        <v>262</v>
      </c>
      <c r="I66" s="56">
        <v>0.3</v>
      </c>
    </row>
    <row r="67" spans="1:9" x14ac:dyDescent="0.3">
      <c r="A67">
        <v>1</v>
      </c>
      <c r="B67" s="1" t="s">
        <v>339</v>
      </c>
      <c r="C67" t="s">
        <v>340</v>
      </c>
      <c r="D67" t="s">
        <v>31</v>
      </c>
      <c r="E67" s="65">
        <v>3360</v>
      </c>
      <c r="F67" s="65">
        <v>712.8</v>
      </c>
      <c r="G67" s="66">
        <v>16</v>
      </c>
      <c r="H67" t="s">
        <v>319</v>
      </c>
      <c r="I67" s="56">
        <v>0.3</v>
      </c>
    </row>
    <row r="68" spans="1:9" x14ac:dyDescent="0.3">
      <c r="A68">
        <v>1</v>
      </c>
      <c r="B68" s="1" t="s">
        <v>341</v>
      </c>
      <c r="C68" t="s">
        <v>342</v>
      </c>
      <c r="D68" t="s">
        <v>31</v>
      </c>
      <c r="E68" s="65">
        <v>16200</v>
      </c>
      <c r="F68" s="65">
        <v>712.8</v>
      </c>
      <c r="G68" s="66">
        <v>80</v>
      </c>
      <c r="H68" t="s">
        <v>319</v>
      </c>
      <c r="I68" s="56">
        <v>0.5</v>
      </c>
    </row>
    <row r="69" spans="1:9" x14ac:dyDescent="0.3">
      <c r="A69">
        <v>1</v>
      </c>
      <c r="B69" s="1" t="s">
        <v>343</v>
      </c>
      <c r="C69" t="s">
        <v>102</v>
      </c>
      <c r="D69" t="s">
        <v>31</v>
      </c>
      <c r="E69" s="65">
        <v>1600</v>
      </c>
      <c r="F69" s="65">
        <v>4718.3</v>
      </c>
      <c r="G69" s="66">
        <v>8</v>
      </c>
      <c r="H69" t="s">
        <v>319</v>
      </c>
      <c r="I69" s="56">
        <v>0.8</v>
      </c>
    </row>
    <row r="70" spans="1:9" x14ac:dyDescent="0.3">
      <c r="A70">
        <v>1</v>
      </c>
      <c r="B70" s="1" t="s">
        <v>344</v>
      </c>
      <c r="C70" t="s">
        <v>345</v>
      </c>
      <c r="D70" t="s">
        <v>31</v>
      </c>
      <c r="E70" s="65" t="s">
        <v>289</v>
      </c>
      <c r="F70" s="65" t="s">
        <v>289</v>
      </c>
      <c r="G70" s="66" t="s">
        <v>289</v>
      </c>
      <c r="H70" t="s">
        <v>319</v>
      </c>
      <c r="I70" s="56">
        <v>0.3</v>
      </c>
    </row>
    <row r="71" spans="1:9" x14ac:dyDescent="0.3">
      <c r="A71">
        <v>1</v>
      </c>
      <c r="B71" s="1" t="s">
        <v>346</v>
      </c>
      <c r="C71" t="s">
        <v>48</v>
      </c>
      <c r="D71" t="s">
        <v>31</v>
      </c>
      <c r="E71" s="65">
        <v>3360</v>
      </c>
      <c r="F71" s="65">
        <v>356.4</v>
      </c>
      <c r="G71" s="66">
        <v>16</v>
      </c>
      <c r="H71" t="s">
        <v>319</v>
      </c>
      <c r="I71" s="56">
        <v>0.3</v>
      </c>
    </row>
    <row r="72" spans="1:9" x14ac:dyDescent="0.3">
      <c r="A72">
        <v>1</v>
      </c>
      <c r="B72" s="1" t="s">
        <v>347</v>
      </c>
      <c r="C72" t="s">
        <v>348</v>
      </c>
      <c r="D72" t="s">
        <v>31</v>
      </c>
      <c r="E72" s="65">
        <v>25200</v>
      </c>
      <c r="F72" s="65">
        <v>1045.44</v>
      </c>
      <c r="G72" s="66">
        <v>120</v>
      </c>
      <c r="H72" t="s">
        <v>319</v>
      </c>
      <c r="I72" s="56">
        <v>0.3</v>
      </c>
    </row>
    <row r="73" spans="1:9" x14ac:dyDescent="0.3">
      <c r="A73">
        <v>1</v>
      </c>
      <c r="B73" s="1" t="s">
        <v>349</v>
      </c>
      <c r="C73" t="s">
        <v>144</v>
      </c>
      <c r="D73" t="s">
        <v>31</v>
      </c>
      <c r="E73" s="65">
        <v>3360</v>
      </c>
      <c r="F73" s="65">
        <v>712.8</v>
      </c>
      <c r="G73" s="66">
        <v>16</v>
      </c>
      <c r="H73" t="s">
        <v>319</v>
      </c>
      <c r="I73" s="56">
        <v>0.3</v>
      </c>
    </row>
    <row r="74" spans="1:9" x14ac:dyDescent="0.3">
      <c r="A74">
        <v>1</v>
      </c>
      <c r="B74" s="1" t="s">
        <v>350</v>
      </c>
      <c r="C74" t="s">
        <v>63</v>
      </c>
      <c r="D74" t="s">
        <v>31</v>
      </c>
      <c r="E74" s="65">
        <v>3360</v>
      </c>
      <c r="F74" s="65">
        <v>196.42</v>
      </c>
      <c r="G74" s="66">
        <v>16</v>
      </c>
      <c r="H74" t="s">
        <v>319</v>
      </c>
      <c r="I74" s="56">
        <v>0.5</v>
      </c>
    </row>
    <row r="75" spans="1:9" x14ac:dyDescent="0.3">
      <c r="A75">
        <v>1</v>
      </c>
      <c r="B75" s="1" t="s">
        <v>351</v>
      </c>
      <c r="C75" t="s">
        <v>352</v>
      </c>
      <c r="D75" t="s">
        <v>31</v>
      </c>
      <c r="E75" s="65">
        <v>5040</v>
      </c>
      <c r="F75" s="65">
        <v>1140.48</v>
      </c>
      <c r="G75" s="66">
        <v>24</v>
      </c>
      <c r="H75" t="s">
        <v>319</v>
      </c>
      <c r="I75" s="56">
        <v>0.8</v>
      </c>
    </row>
    <row r="76" spans="1:9" x14ac:dyDescent="0.3">
      <c r="A76">
        <v>1</v>
      </c>
      <c r="B76" s="1" t="s">
        <v>353</v>
      </c>
      <c r="C76" t="s">
        <v>117</v>
      </c>
      <c r="D76" t="s">
        <v>31</v>
      </c>
      <c r="E76" s="65">
        <v>0</v>
      </c>
      <c r="F76" s="65">
        <v>2613.6</v>
      </c>
      <c r="G76" s="66">
        <v>0</v>
      </c>
      <c r="H76" t="s">
        <v>319</v>
      </c>
      <c r="I76" s="56">
        <v>0.3</v>
      </c>
    </row>
    <row r="77" spans="1:9" x14ac:dyDescent="0.3">
      <c r="A77">
        <v>1</v>
      </c>
      <c r="B77" s="1" t="s">
        <v>354</v>
      </c>
      <c r="C77" t="s">
        <v>24</v>
      </c>
      <c r="D77" t="s">
        <v>31</v>
      </c>
      <c r="E77" s="65">
        <v>3360</v>
      </c>
      <c r="F77" s="65">
        <v>0</v>
      </c>
      <c r="G77" s="66">
        <v>16</v>
      </c>
      <c r="H77" t="s">
        <v>319</v>
      </c>
      <c r="I77" s="56">
        <v>0.3</v>
      </c>
    </row>
    <row r="78" spans="1:9" x14ac:dyDescent="0.3">
      <c r="A78">
        <v>1</v>
      </c>
      <c r="B78" s="1" t="s">
        <v>355</v>
      </c>
      <c r="C78" t="s">
        <v>69</v>
      </c>
      <c r="D78" t="s">
        <v>31</v>
      </c>
      <c r="E78" s="65">
        <v>13100</v>
      </c>
      <c r="F78" s="65">
        <v>1700</v>
      </c>
      <c r="G78" s="66">
        <v>80</v>
      </c>
      <c r="H78" t="s">
        <v>319</v>
      </c>
      <c r="I78" s="56">
        <v>0.3</v>
      </c>
    </row>
    <row r="79" spans="1:9" x14ac:dyDescent="0.3">
      <c r="A79">
        <v>1</v>
      </c>
      <c r="B79" s="1" t="s">
        <v>356</v>
      </c>
      <c r="C79" t="s">
        <v>52</v>
      </c>
      <c r="D79" t="s">
        <v>31</v>
      </c>
      <c r="E79" s="65" t="s">
        <v>289</v>
      </c>
      <c r="F79" s="65" t="s">
        <v>289</v>
      </c>
      <c r="G79" s="65" t="s">
        <v>289</v>
      </c>
      <c r="H79" t="s">
        <v>319</v>
      </c>
      <c r="I79" s="56">
        <v>0.3</v>
      </c>
    </row>
    <row r="80" spans="1:9" x14ac:dyDescent="0.3">
      <c r="A80">
        <v>1</v>
      </c>
      <c r="B80" s="1" t="s">
        <v>357</v>
      </c>
      <c r="C80" t="s">
        <v>40</v>
      </c>
      <c r="D80" t="s">
        <v>31</v>
      </c>
      <c r="E80" s="65">
        <v>10671</v>
      </c>
      <c r="F80" s="65">
        <v>1680</v>
      </c>
      <c r="G80" s="66">
        <v>8</v>
      </c>
      <c r="H80" t="s">
        <v>319</v>
      </c>
      <c r="I80" s="56">
        <v>0.3</v>
      </c>
    </row>
    <row r="81" spans="1:9" x14ac:dyDescent="0.3">
      <c r="A81">
        <v>1</v>
      </c>
      <c r="B81" s="1" t="s">
        <v>358</v>
      </c>
      <c r="C81" t="s">
        <v>52</v>
      </c>
      <c r="D81" t="s">
        <v>31</v>
      </c>
      <c r="E81" s="65">
        <v>8100</v>
      </c>
      <c r="F81" s="65">
        <v>1080</v>
      </c>
      <c r="G81" s="66">
        <v>60</v>
      </c>
      <c r="H81" t="s">
        <v>319</v>
      </c>
      <c r="I81" s="56">
        <v>0.3</v>
      </c>
    </row>
    <row r="82" spans="1:9" x14ac:dyDescent="0.3">
      <c r="A82">
        <v>1</v>
      </c>
      <c r="B82" s="1" t="s">
        <v>359</v>
      </c>
      <c r="C82" t="s">
        <v>54</v>
      </c>
      <c r="D82" t="s">
        <v>31</v>
      </c>
      <c r="E82" s="65">
        <v>29400</v>
      </c>
      <c r="F82" s="65">
        <v>0</v>
      </c>
      <c r="G82" s="66">
        <v>160</v>
      </c>
      <c r="H82" t="s">
        <v>319</v>
      </c>
      <c r="I82" s="56">
        <v>0.3</v>
      </c>
    </row>
    <row r="83" spans="1:9" x14ac:dyDescent="0.3">
      <c r="A83">
        <v>1</v>
      </c>
      <c r="B83" s="1" t="s">
        <v>360</v>
      </c>
      <c r="C83" t="s">
        <v>24</v>
      </c>
      <c r="D83" t="s">
        <v>31</v>
      </c>
      <c r="E83" s="65">
        <v>5040</v>
      </c>
      <c r="F83" s="65">
        <v>0</v>
      </c>
      <c r="G83" s="66">
        <v>28</v>
      </c>
      <c r="H83" t="s">
        <v>319</v>
      </c>
      <c r="I83" s="56">
        <v>0.3</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O36" sqref="O36"/>
    </sheetView>
  </sheetViews>
  <sheetFormatPr defaultRowHeight="14.4" x14ac:dyDescent="0.3"/>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R47"/>
  <sheetViews>
    <sheetView showGridLines="0" topLeftCell="DE1" workbookViewId="0">
      <selection activeCell="DQ18" sqref="DQ18"/>
    </sheetView>
  </sheetViews>
  <sheetFormatPr defaultRowHeight="14.4" outlineLevelCol="1" x14ac:dyDescent="0.3"/>
  <cols>
    <col min="1" max="1" width="29.109375" hidden="1" customWidth="1" outlineLevel="1"/>
    <col min="2" max="2" width="15.5546875" hidden="1" customWidth="1" outlineLevel="1"/>
    <col min="3" max="3" width="11.6640625" hidden="1" customWidth="1" outlineLevel="1"/>
    <col min="4" max="4" width="15.88671875" hidden="1" customWidth="1" outlineLevel="1"/>
    <col min="5" max="5" width="5.6640625" hidden="1" customWidth="1" outlineLevel="1"/>
    <col min="6" max="6" width="13.5546875" hidden="1" customWidth="1" outlineLevel="1"/>
    <col min="7" max="7" width="10.6640625" hidden="1" customWidth="1" outlineLevel="1"/>
    <col min="8" max="8" width="12.44140625" hidden="1" customWidth="1" outlineLevel="1"/>
    <col min="9" max="10" width="13.5546875" hidden="1" customWidth="1" outlineLevel="1"/>
    <col min="11" max="11" width="12.88671875" hidden="1" customWidth="1" outlineLevel="1"/>
    <col min="12" max="12" width="5" hidden="1" customWidth="1" outlineLevel="1"/>
    <col min="13" max="13" width="11.44140625" hidden="1" customWidth="1" outlineLevel="1"/>
    <col min="14" max="15" width="12.44140625" hidden="1" customWidth="1" outlineLevel="1"/>
    <col min="16" max="16" width="15.5546875" hidden="1" customWidth="1" outlineLevel="1"/>
    <col min="17" max="17" width="35.44140625" hidden="1" customWidth="1" outlineLevel="1"/>
    <col min="18" max="19" width="10.6640625" hidden="1" customWidth="1" outlineLevel="1"/>
    <col min="20" max="21" width="7.88671875" hidden="1" customWidth="1" outlineLevel="1"/>
    <col min="22" max="22" width="5.6640625" hidden="1" customWidth="1" outlineLevel="1"/>
    <col min="23" max="23" width="10.44140625" hidden="1" customWidth="1" outlineLevel="1"/>
    <col min="24" max="24" width="7" hidden="1" customWidth="1" outlineLevel="1"/>
    <col min="25" max="25" width="10.6640625" hidden="1" customWidth="1" outlineLevel="1"/>
    <col min="26" max="26" width="14.6640625" hidden="1" customWidth="1" outlineLevel="1"/>
    <col min="27" max="27" width="7.44140625" hidden="1" customWidth="1" outlineLevel="1"/>
    <col min="28" max="28" width="24.5546875" hidden="1" customWidth="1" outlineLevel="1"/>
    <col min="29" max="29" width="5" hidden="1" customWidth="1" outlineLevel="1"/>
    <col min="30" max="30" width="12.44140625" hidden="1" customWidth="1" outlineLevel="1"/>
    <col min="31" max="32" width="13.5546875" hidden="1" customWidth="1" outlineLevel="1"/>
    <col min="33" max="33" width="5.6640625" style="72" hidden="1" customWidth="1" outlineLevel="1"/>
    <col min="34" max="34" width="35.44140625" hidden="1" customWidth="1" outlineLevel="1"/>
    <col min="35" max="35" width="15.5546875" hidden="1" customWidth="1" outlineLevel="1"/>
    <col min="36" max="36" width="10.6640625" hidden="1" customWidth="1" outlineLevel="1"/>
    <col min="37" max="37" width="7.88671875" hidden="1" customWidth="1" outlineLevel="1"/>
    <col min="38" max="38" width="5.6640625" hidden="1" customWidth="1" outlineLevel="1"/>
    <col min="39" max="39" width="10.44140625" hidden="1" customWidth="1" outlineLevel="1"/>
    <col min="40" max="40" width="14.44140625" hidden="1" customWidth="1" outlineLevel="1"/>
    <col min="41" max="41" width="10.5546875" hidden="1" customWidth="1" outlineLevel="1"/>
    <col min="42" max="42" width="8" hidden="1" customWidth="1" outlineLevel="1"/>
    <col min="43" max="43" width="19.5546875" hidden="1" customWidth="1" outlineLevel="1"/>
    <col min="44" max="44" width="24.5546875" hidden="1" customWidth="1" outlineLevel="1"/>
    <col min="45" max="45" width="5" hidden="1" customWidth="1" outlineLevel="1"/>
    <col min="46" max="46" width="12.44140625" hidden="1" customWidth="1" outlineLevel="1"/>
    <col min="47" max="48" width="13.5546875" hidden="1" customWidth="1" outlineLevel="1"/>
    <col min="49" max="49" width="8.88671875" hidden="1" customWidth="1" outlineLevel="1"/>
    <col min="50" max="50" width="9.109375" customWidth="1" collapsed="1"/>
    <col min="51" max="51" width="29.109375" hidden="1" customWidth="1" outlineLevel="1"/>
    <col min="52" max="52" width="15.5546875" hidden="1" customWidth="1" outlineLevel="1"/>
    <col min="53" max="53" width="11.6640625" hidden="1" customWidth="1" outlineLevel="1"/>
    <col min="54" max="54" width="15.88671875" hidden="1" customWidth="1" outlineLevel="1"/>
    <col min="55" max="55" width="5.6640625" hidden="1" customWidth="1" outlineLevel="1"/>
    <col min="56" max="56" width="13.5546875" hidden="1" customWidth="1" outlineLevel="1"/>
    <col min="57" max="57" width="10.6640625" hidden="1" customWidth="1" outlineLevel="1"/>
    <col min="58" max="58" width="16.5546875" hidden="1" customWidth="1" outlineLevel="1"/>
    <col min="59" max="60" width="13.5546875" hidden="1" customWidth="1" outlineLevel="1"/>
    <col min="61" max="61" width="12.88671875" hidden="1" customWidth="1" outlineLevel="1"/>
    <col min="62" max="62" width="5" hidden="1" customWidth="1" outlineLevel="1"/>
    <col min="63" max="63" width="11.44140625" hidden="1" customWidth="1" outlineLevel="1"/>
    <col min="64" max="65" width="12.44140625" hidden="1" customWidth="1" outlineLevel="1"/>
    <col min="66" max="66" width="15.5546875" hidden="1" customWidth="1" outlineLevel="1"/>
    <col min="67" max="67" width="35.44140625" hidden="1" customWidth="1" outlineLevel="1"/>
    <col min="68" max="69" width="10.6640625" hidden="1" customWidth="1" outlineLevel="1"/>
    <col min="70" max="71" width="7.88671875" hidden="1" customWidth="1" outlineLevel="1"/>
    <col min="72" max="72" width="5.6640625" hidden="1" customWidth="1" outlineLevel="1"/>
    <col min="73" max="73" width="10.44140625" hidden="1" customWidth="1" outlineLevel="1"/>
    <col min="74" max="74" width="7" hidden="1" customWidth="1" outlineLevel="1"/>
    <col min="75" max="75" width="10.6640625" hidden="1" customWidth="1" outlineLevel="1"/>
    <col min="76" max="76" width="14.6640625" hidden="1" customWidth="1" outlineLevel="1"/>
    <col min="77" max="77" width="7.44140625" hidden="1" customWidth="1" outlineLevel="1"/>
    <col min="78" max="78" width="24.5546875" hidden="1" customWidth="1" outlineLevel="1"/>
    <col min="79" max="79" width="5" hidden="1" customWidth="1" outlineLevel="1"/>
    <col min="80" max="80" width="12.44140625" hidden="1" customWidth="1" outlineLevel="1"/>
    <col min="81" max="82" width="13.5546875" hidden="1" customWidth="1" outlineLevel="1"/>
    <col min="83" max="83" width="5.6640625" style="72" hidden="1" customWidth="1" outlineLevel="1"/>
    <col min="84" max="84" width="35.44140625" hidden="1" customWidth="1" outlineLevel="1"/>
    <col min="85" max="85" width="15.5546875" hidden="1" customWidth="1" outlineLevel="1"/>
    <col min="86" max="86" width="10.6640625" hidden="1" customWidth="1" outlineLevel="1"/>
    <col min="87" max="87" width="7.88671875" hidden="1" customWidth="1" outlineLevel="1"/>
    <col min="88" max="88" width="5.6640625" hidden="1" customWidth="1" outlineLevel="1"/>
    <col min="89" max="89" width="10.44140625" hidden="1" customWidth="1" outlineLevel="1"/>
    <col min="90" max="90" width="14.44140625" hidden="1" customWidth="1" outlineLevel="1"/>
    <col min="91" max="91" width="10.5546875" hidden="1" customWidth="1" outlineLevel="1"/>
    <col min="92" max="92" width="8" hidden="1" customWidth="1" outlineLevel="1"/>
    <col min="93" max="93" width="19.5546875" hidden="1" customWidth="1" outlineLevel="1"/>
    <col min="94" max="94" width="24.5546875" hidden="1" customWidth="1" outlineLevel="1"/>
    <col min="95" max="95" width="5" hidden="1" customWidth="1" outlineLevel="1"/>
    <col min="96" max="96" width="12.44140625" hidden="1" customWidth="1" outlineLevel="1"/>
    <col min="97" max="98" width="13.5546875" hidden="1" customWidth="1" outlineLevel="1"/>
    <col min="99" max="99" width="8.88671875" customWidth="1" collapsed="1"/>
    <col min="101" max="101" width="46.33203125" bestFit="1" customWidth="1"/>
    <col min="102" max="103" width="12.33203125" bestFit="1" customWidth="1"/>
    <col min="104" max="104" width="7.88671875" bestFit="1" customWidth="1"/>
    <col min="106" max="106" width="10.44140625" bestFit="1" customWidth="1"/>
    <col min="107" max="107" width="7.109375" bestFit="1" customWidth="1"/>
    <col min="108" max="108" width="17.88671875" bestFit="1" customWidth="1"/>
    <col min="109" max="109" width="10" bestFit="1" customWidth="1"/>
    <col min="110" max="110" width="8.5546875" bestFit="1" customWidth="1"/>
    <col min="111" max="111" width="26.88671875" bestFit="1" customWidth="1"/>
    <col min="112" max="112" width="5.109375" bestFit="1" customWidth="1"/>
    <col min="113" max="115" width="13" bestFit="1" customWidth="1"/>
    <col min="117" max="117" width="46.33203125" bestFit="1" customWidth="1"/>
    <col min="118" max="119" width="10.44140625" bestFit="1" customWidth="1"/>
    <col min="120" max="120" width="7.6640625" bestFit="1" customWidth="1"/>
    <col min="123" max="123" width="10.33203125" bestFit="1" customWidth="1"/>
    <col min="124" max="124" width="7" bestFit="1" customWidth="1"/>
    <col min="125" max="125" width="11.6640625" bestFit="1" customWidth="1"/>
    <col min="126" max="126" width="11" bestFit="1" customWidth="1"/>
    <col min="127" max="127" width="7.33203125" bestFit="1" customWidth="1"/>
    <col min="128" max="128" width="26.88671875" bestFit="1" customWidth="1"/>
    <col min="129" max="129" width="5" bestFit="1" customWidth="1"/>
    <col min="130" max="132" width="12.88671875" bestFit="1" customWidth="1"/>
    <col min="134" max="134" width="46.33203125" bestFit="1" customWidth="1"/>
    <col min="135" max="136" width="10.44140625" bestFit="1" customWidth="1"/>
    <col min="137" max="137" width="7.6640625" bestFit="1" customWidth="1"/>
    <col min="139" max="139" width="10.33203125" bestFit="1" customWidth="1"/>
    <col min="140" max="140" width="7" bestFit="1" customWidth="1"/>
    <col min="141" max="141" width="11.5546875" bestFit="1" customWidth="1"/>
    <col min="142" max="142" width="10" bestFit="1" customWidth="1"/>
    <col min="143" max="143" width="14.33203125" bestFit="1" customWidth="1"/>
    <col min="144" max="144" width="26.88671875" bestFit="1" customWidth="1"/>
    <col min="145" max="145" width="5" bestFit="1" customWidth="1"/>
    <col min="146" max="148" width="12.88671875" bestFit="1" customWidth="1"/>
  </cols>
  <sheetData>
    <row r="1" spans="1:148" x14ac:dyDescent="0.3">
      <c r="A1" s="1" t="s">
        <v>361</v>
      </c>
      <c r="Q1" s="1" t="str">
        <f>A1</f>
        <v>RELATÓTIO APURAÇÃO OBJETIVOS DE FEVEREIRO 2026</v>
      </c>
      <c r="AH1" s="1" t="str">
        <f>Q1</f>
        <v>RELATÓTIO APURAÇÃO OBJETIVOS DE FEVEREIRO 2026</v>
      </c>
      <c r="AY1" s="1" t="s">
        <v>362</v>
      </c>
      <c r="BO1" s="1" t="str">
        <f>AY1</f>
        <v>RELATÓTIO APURAÇÃO OBJETIVOS DE MARÇO 2026</v>
      </c>
      <c r="CF1" s="1" t="str">
        <f>BO1</f>
        <v>RELATÓTIO APURAÇÃO OBJETIVOS DE MARÇO 2026</v>
      </c>
      <c r="CW1" s="1" t="s">
        <v>362</v>
      </c>
      <c r="DM1" s="1" t="str">
        <f>CW1</f>
        <v>RELATÓTIO APURAÇÃO OBJETIVOS DE MARÇO 2026</v>
      </c>
      <c r="ED1" s="1" t="str">
        <f>DM1</f>
        <v>RELATÓTIO APURAÇÃO OBJETIVOS DE MARÇO 2026</v>
      </c>
    </row>
    <row r="2" spans="1:148" x14ac:dyDescent="0.3">
      <c r="A2" s="1" t="s">
        <v>363</v>
      </c>
      <c r="Q2" s="1" t="str">
        <f>A2</f>
        <v>APURAÇÃO: 02/03/2026</v>
      </c>
      <c r="AH2" s="1" t="str">
        <f>Q2</f>
        <v>APURAÇÃO: 02/03/2026</v>
      </c>
      <c r="AY2" s="1" t="s">
        <v>364</v>
      </c>
      <c r="BO2" s="1" t="str">
        <f>AY2</f>
        <v>APURAÇÃO: 02/04/2026</v>
      </c>
      <c r="CF2" s="1" t="str">
        <f>BO2</f>
        <v>APURAÇÃO: 02/04/2026</v>
      </c>
      <c r="CW2" s="1" t="s">
        <v>365</v>
      </c>
      <c r="DM2" s="1" t="str">
        <f>CW2</f>
        <v>APURAÇÃO: 03/05/2026</v>
      </c>
      <c r="ED2" s="1" t="str">
        <f>DM2</f>
        <v>APURAÇÃO: 03/05/2026</v>
      </c>
    </row>
    <row r="3" spans="1:148" x14ac:dyDescent="0.3">
      <c r="A3" s="1" t="s">
        <v>366</v>
      </c>
      <c r="Q3" s="1" t="str">
        <f>A3</f>
        <v>PERÍODO: 01/02/2026 até 28/02/2026</v>
      </c>
      <c r="V3" s="72"/>
      <c r="AH3" s="1" t="str">
        <f>Q3</f>
        <v>PERÍODO: 01/02/2026 até 28/02/2026</v>
      </c>
      <c r="AY3" s="1" t="s">
        <v>367</v>
      </c>
      <c r="BO3" s="1" t="str">
        <f>AY3</f>
        <v>PERÍODO: 01/03/2026 até 31/03/2026</v>
      </c>
      <c r="BT3" s="72"/>
      <c r="CF3" s="1" t="str">
        <f>BO3</f>
        <v>PERÍODO: 01/03/2026 até 31/03/2026</v>
      </c>
      <c r="CW3" s="1" t="s">
        <v>368</v>
      </c>
      <c r="DM3" s="1" t="str">
        <f>CW3</f>
        <v>PERÍODO: 01/04/2026 até 30/04/2026</v>
      </c>
      <c r="DR3" s="72"/>
      <c r="ED3" s="1" t="str">
        <f>DM3</f>
        <v>PERÍODO: 01/04/2026 até 30/04/2026</v>
      </c>
    </row>
    <row r="4" spans="1:148" x14ac:dyDescent="0.3">
      <c r="P4" s="72"/>
      <c r="V4" s="72"/>
      <c r="BN4" s="72"/>
      <c r="BT4" s="72"/>
      <c r="DR4" s="72"/>
    </row>
    <row r="5" spans="1:148" x14ac:dyDescent="0.3">
      <c r="A5" s="395" t="s">
        <v>185</v>
      </c>
      <c r="B5" s="394"/>
      <c r="C5" s="394"/>
      <c r="D5" s="394"/>
      <c r="E5" s="283"/>
      <c r="F5" s="282" t="s">
        <v>369</v>
      </c>
      <c r="G5" s="282"/>
      <c r="H5" s="282"/>
      <c r="I5" s="282"/>
      <c r="J5" s="282"/>
      <c r="K5" s="282"/>
      <c r="L5" s="282"/>
      <c r="M5" s="282"/>
      <c r="N5" s="282"/>
      <c r="O5" s="282"/>
      <c r="P5" s="287"/>
      <c r="Q5" s="282"/>
      <c r="R5" s="281"/>
      <c r="S5" s="281"/>
      <c r="T5" s="281"/>
      <c r="U5" s="281"/>
      <c r="V5" s="284"/>
      <c r="W5" s="282" t="s">
        <v>369</v>
      </c>
      <c r="X5" s="281"/>
      <c r="Y5" s="281"/>
      <c r="Z5" s="281"/>
      <c r="AA5" s="281"/>
      <c r="AB5" s="281"/>
      <c r="AC5" s="281"/>
      <c r="AD5" s="281"/>
      <c r="AE5" s="281"/>
      <c r="AF5" s="281"/>
      <c r="AG5" s="283"/>
      <c r="AH5" s="281" t="s">
        <v>187</v>
      </c>
      <c r="AI5" s="281"/>
      <c r="AJ5" s="281"/>
      <c r="AK5" s="281"/>
      <c r="AM5" s="282" t="s">
        <v>369</v>
      </c>
      <c r="AN5" s="281"/>
      <c r="AO5" s="281"/>
      <c r="AP5" s="281"/>
      <c r="AQ5" s="281"/>
      <c r="AR5" s="281"/>
      <c r="AS5" s="281"/>
      <c r="AT5" s="281"/>
      <c r="AU5" s="281"/>
      <c r="AV5" s="281"/>
      <c r="AY5" s="395" t="s">
        <v>185</v>
      </c>
      <c r="AZ5" s="394"/>
      <c r="BA5" s="394"/>
      <c r="BB5" s="394"/>
      <c r="BC5" s="283"/>
      <c r="BD5" s="282" t="s">
        <v>369</v>
      </c>
      <c r="BE5" s="282"/>
      <c r="BF5" s="282"/>
      <c r="BG5" s="282"/>
      <c r="BH5" s="282"/>
      <c r="BI5" s="282"/>
      <c r="BJ5" s="282"/>
      <c r="BK5" s="282"/>
      <c r="BL5" s="282"/>
      <c r="BM5" s="282"/>
      <c r="BN5" s="287"/>
      <c r="BO5" s="282" t="s">
        <v>186</v>
      </c>
      <c r="BP5" s="281"/>
      <c r="BQ5" s="281"/>
      <c r="BR5" s="281"/>
      <c r="BS5" s="281"/>
      <c r="BT5" s="284"/>
      <c r="BU5" s="282" t="s">
        <v>369</v>
      </c>
      <c r="BV5" s="281"/>
      <c r="BW5" s="281"/>
      <c r="BX5" s="281"/>
      <c r="BY5" s="281"/>
      <c r="BZ5" s="281"/>
      <c r="CA5" s="281"/>
      <c r="CB5" s="281"/>
      <c r="CC5" s="281"/>
      <c r="CD5" s="281"/>
      <c r="CE5" s="283"/>
      <c r="CF5" s="281" t="s">
        <v>187</v>
      </c>
      <c r="CG5" s="281"/>
      <c r="CH5" s="281"/>
      <c r="CI5" s="281"/>
      <c r="CK5" s="282" t="s">
        <v>369</v>
      </c>
      <c r="CL5" s="281"/>
      <c r="CM5" s="281"/>
      <c r="CN5" s="281"/>
      <c r="CO5" s="281"/>
      <c r="CP5" s="281"/>
      <c r="CQ5" s="281"/>
      <c r="CR5" s="281"/>
      <c r="CS5" s="281"/>
      <c r="CT5" s="281"/>
      <c r="CW5" s="396" t="s">
        <v>185</v>
      </c>
      <c r="CX5" s="394"/>
      <c r="CY5" s="394"/>
      <c r="CZ5" s="394"/>
      <c r="DA5" s="335"/>
      <c r="DB5" s="336" t="s">
        <v>369</v>
      </c>
      <c r="DC5" s="336"/>
      <c r="DD5" s="336"/>
      <c r="DE5" s="336"/>
      <c r="DF5" s="336"/>
      <c r="DG5" s="336"/>
      <c r="DH5" s="336"/>
      <c r="DI5" s="336"/>
      <c r="DJ5" s="336"/>
      <c r="DK5" s="336"/>
      <c r="DM5" s="282" t="s">
        <v>186</v>
      </c>
      <c r="DN5" s="281"/>
      <c r="DO5" s="281"/>
      <c r="DP5" s="281"/>
      <c r="DQ5" s="281"/>
      <c r="DR5" s="284"/>
      <c r="DS5" s="282" t="s">
        <v>369</v>
      </c>
      <c r="DT5" s="281"/>
      <c r="DU5" s="281"/>
      <c r="DV5" s="281"/>
      <c r="DW5" s="281"/>
      <c r="DX5" s="281"/>
      <c r="DY5" s="281"/>
      <c r="DZ5" s="281"/>
      <c r="EA5" s="281"/>
      <c r="EB5" s="281"/>
      <c r="ED5" s="281" t="s">
        <v>187</v>
      </c>
      <c r="EE5" s="281"/>
      <c r="EF5" s="281"/>
      <c r="EG5" s="281"/>
      <c r="EI5" s="282" t="s">
        <v>369</v>
      </c>
      <c r="EJ5" s="281"/>
      <c r="EK5" s="281"/>
      <c r="EL5" s="281"/>
      <c r="EM5" s="281"/>
      <c r="EN5" s="281"/>
      <c r="EO5" s="281"/>
      <c r="EP5" s="281"/>
      <c r="EQ5" s="281"/>
      <c r="ER5" s="281"/>
    </row>
    <row r="6" spans="1:148" x14ac:dyDescent="0.3">
      <c r="A6" s="113"/>
      <c r="B6" s="114" t="s">
        <v>156</v>
      </c>
      <c r="C6" s="115" t="s">
        <v>188</v>
      </c>
      <c r="D6" s="115" t="s">
        <v>158</v>
      </c>
      <c r="F6" s="281" t="s">
        <v>185</v>
      </c>
      <c r="G6" s="281"/>
      <c r="H6" s="281"/>
      <c r="I6" s="281"/>
      <c r="J6" s="281" t="s">
        <v>185</v>
      </c>
      <c r="K6" s="281"/>
      <c r="L6" s="281"/>
      <c r="M6" s="281"/>
      <c r="N6" s="281"/>
      <c r="O6" s="281"/>
      <c r="P6" s="72"/>
      <c r="Q6" s="113"/>
      <c r="R6" s="114" t="s">
        <v>156</v>
      </c>
      <c r="S6" s="115" t="s">
        <v>188</v>
      </c>
      <c r="T6" s="115" t="s">
        <v>158</v>
      </c>
      <c r="U6" s="115"/>
      <c r="V6" s="285"/>
      <c r="W6" s="281" t="s">
        <v>186</v>
      </c>
      <c r="X6" s="281"/>
      <c r="Y6" s="281"/>
      <c r="Z6" s="281"/>
      <c r="AA6" s="281"/>
      <c r="AB6" s="281"/>
      <c r="AC6" s="281"/>
      <c r="AD6" s="281"/>
      <c r="AE6" s="281"/>
      <c r="AF6" s="281"/>
      <c r="AH6" s="113"/>
      <c r="AI6" s="114" t="s">
        <v>156</v>
      </c>
      <c r="AJ6" s="115" t="s">
        <v>188</v>
      </c>
      <c r="AK6" s="115" t="s">
        <v>158</v>
      </c>
      <c r="AM6" s="281" t="s">
        <v>187</v>
      </c>
      <c r="AN6" s="267"/>
      <c r="AO6" s="267"/>
      <c r="AP6" s="267"/>
      <c r="AQ6" s="267"/>
      <c r="AR6" s="267"/>
      <c r="AS6" s="267"/>
      <c r="AT6" s="267"/>
      <c r="AU6" s="267"/>
      <c r="AV6" s="267"/>
      <c r="AY6" s="113"/>
      <c r="AZ6" s="114" t="s">
        <v>156</v>
      </c>
      <c r="BA6" s="115" t="s">
        <v>188</v>
      </c>
      <c r="BB6" s="115" t="s">
        <v>158</v>
      </c>
      <c r="BD6" s="281" t="s">
        <v>185</v>
      </c>
      <c r="BE6" s="281"/>
      <c r="BF6" s="281"/>
      <c r="BG6" s="281"/>
      <c r="BH6" s="281" t="s">
        <v>185</v>
      </c>
      <c r="BI6" s="281"/>
      <c r="BJ6" s="281"/>
      <c r="BK6" s="281"/>
      <c r="BL6" s="281"/>
      <c r="BM6" s="281"/>
      <c r="BN6" s="72"/>
      <c r="BO6" s="113"/>
      <c r="BP6" s="114" t="s">
        <v>156</v>
      </c>
      <c r="BQ6" s="115" t="s">
        <v>188</v>
      </c>
      <c r="BR6" s="115" t="s">
        <v>158</v>
      </c>
      <c r="BS6" s="115"/>
      <c r="BT6" s="285"/>
      <c r="BU6" s="281" t="s">
        <v>186</v>
      </c>
      <c r="BV6" s="281"/>
      <c r="BW6" s="281"/>
      <c r="BX6" s="281"/>
      <c r="BY6" s="281"/>
      <c r="BZ6" s="281"/>
      <c r="CA6" s="281"/>
      <c r="CB6" s="281"/>
      <c r="CC6" s="281"/>
      <c r="CD6" s="281"/>
      <c r="CF6" s="113"/>
      <c r="CG6" s="114" t="s">
        <v>156</v>
      </c>
      <c r="CH6" s="115" t="s">
        <v>188</v>
      </c>
      <c r="CI6" s="115" t="s">
        <v>158</v>
      </c>
      <c r="CK6" s="281" t="s">
        <v>187</v>
      </c>
      <c r="CL6" s="267"/>
      <c r="CM6" s="267"/>
      <c r="CN6" s="267"/>
      <c r="CO6" s="267"/>
      <c r="CP6" s="267"/>
      <c r="CQ6" s="267"/>
      <c r="CR6" s="267"/>
      <c r="CS6" s="267"/>
      <c r="CT6" s="267"/>
      <c r="CW6" s="337"/>
      <c r="CX6" s="338" t="s">
        <v>156</v>
      </c>
      <c r="CY6" s="339" t="s">
        <v>188</v>
      </c>
      <c r="CZ6" s="339" t="s">
        <v>158</v>
      </c>
      <c r="DA6" s="111"/>
      <c r="DB6" s="340" t="s">
        <v>185</v>
      </c>
      <c r="DC6" s="340"/>
      <c r="DD6" s="340"/>
      <c r="DE6" s="340"/>
      <c r="DF6" s="340" t="s">
        <v>185</v>
      </c>
      <c r="DG6" s="340"/>
      <c r="DH6" s="340"/>
      <c r="DI6" s="340"/>
      <c r="DJ6" s="340"/>
      <c r="DK6" s="340"/>
      <c r="DM6" s="113"/>
      <c r="DN6" s="114" t="s">
        <v>156</v>
      </c>
      <c r="DO6" s="115" t="s">
        <v>188</v>
      </c>
      <c r="DP6" s="115" t="s">
        <v>158</v>
      </c>
      <c r="DQ6" s="115"/>
      <c r="DR6" s="285"/>
      <c r="DS6" s="281" t="s">
        <v>186</v>
      </c>
      <c r="DT6" s="281"/>
      <c r="DU6" s="281"/>
      <c r="DV6" s="281"/>
      <c r="DW6" s="281"/>
      <c r="DX6" s="281"/>
      <c r="DY6" s="281"/>
      <c r="DZ6" s="281"/>
      <c r="EA6" s="281"/>
      <c r="EB6" s="281"/>
      <c r="ED6" s="113"/>
      <c r="EE6" s="114" t="s">
        <v>156</v>
      </c>
      <c r="EF6" s="115" t="s">
        <v>188</v>
      </c>
      <c r="EG6" s="115" t="s">
        <v>158</v>
      </c>
      <c r="EI6" s="281" t="s">
        <v>187</v>
      </c>
      <c r="EJ6" s="267"/>
      <c r="EK6" s="267"/>
      <c r="EL6" s="267"/>
      <c r="EM6" s="267"/>
      <c r="EN6" s="267"/>
      <c r="EO6" s="267"/>
      <c r="EP6" s="267"/>
      <c r="EQ6" s="267"/>
      <c r="ER6" s="267"/>
    </row>
    <row r="7" spans="1:148" x14ac:dyDescent="0.3">
      <c r="A7" s="116" t="s">
        <v>370</v>
      </c>
      <c r="B7" s="117">
        <v>15</v>
      </c>
      <c r="C7" s="118">
        <v>26</v>
      </c>
      <c r="D7" s="119">
        <f t="shared" ref="D7:D12" si="0">C7/B7</f>
        <v>1.7333333333333334</v>
      </c>
      <c r="F7" s="270" t="s">
        <v>0</v>
      </c>
      <c r="G7" s="271" t="s">
        <v>1</v>
      </c>
      <c r="H7" s="272" t="s">
        <v>2</v>
      </c>
      <c r="I7" s="272" t="s">
        <v>3</v>
      </c>
      <c r="J7" s="272" t="s">
        <v>4</v>
      </c>
      <c r="K7" s="272" t="s">
        <v>5</v>
      </c>
      <c r="L7" s="272" t="s">
        <v>6</v>
      </c>
      <c r="M7" s="272" t="s">
        <v>7</v>
      </c>
      <c r="N7" s="272" t="s">
        <v>8</v>
      </c>
      <c r="O7" s="272" t="s">
        <v>9</v>
      </c>
      <c r="P7" s="72"/>
      <c r="Q7" s="116" t="s">
        <v>189</v>
      </c>
      <c r="R7" s="117">
        <v>15</v>
      </c>
      <c r="S7" s="118">
        <v>16</v>
      </c>
      <c r="T7" s="119">
        <f t="shared" ref="T7:T12" si="1">S7/R7</f>
        <v>1.0666666666666667</v>
      </c>
      <c r="U7" s="119"/>
      <c r="V7" s="286"/>
      <c r="W7" s="270" t="s">
        <v>0</v>
      </c>
      <c r="X7" s="271" t="s">
        <v>1</v>
      </c>
      <c r="Y7" s="272" t="s">
        <v>2</v>
      </c>
      <c r="Z7" s="272" t="s">
        <v>3</v>
      </c>
      <c r="AA7" s="272" t="s">
        <v>4</v>
      </c>
      <c r="AB7" s="272" t="s">
        <v>5</v>
      </c>
      <c r="AC7" s="272" t="s">
        <v>6</v>
      </c>
      <c r="AD7" s="272" t="s">
        <v>7</v>
      </c>
      <c r="AE7" s="272" t="s">
        <v>8</v>
      </c>
      <c r="AF7" s="272" t="s">
        <v>9</v>
      </c>
      <c r="AH7" s="116" t="s">
        <v>189</v>
      </c>
      <c r="AI7" s="117">
        <v>15</v>
      </c>
      <c r="AJ7" s="118">
        <v>17</v>
      </c>
      <c r="AK7" s="119">
        <f t="shared" ref="AK7:AK12" si="2">AJ7/AI7</f>
        <v>1.1333333333333333</v>
      </c>
      <c r="AM7" s="270" t="s">
        <v>0</v>
      </c>
      <c r="AN7" s="271" t="s">
        <v>1</v>
      </c>
      <c r="AO7" s="272" t="s">
        <v>2</v>
      </c>
      <c r="AP7" s="272" t="s">
        <v>3</v>
      </c>
      <c r="AQ7" s="272" t="s">
        <v>4</v>
      </c>
      <c r="AR7" s="272" t="s">
        <v>5</v>
      </c>
      <c r="AS7" s="272" t="s">
        <v>6</v>
      </c>
      <c r="AT7" s="272" t="s">
        <v>7</v>
      </c>
      <c r="AU7" s="272" t="s">
        <v>8</v>
      </c>
      <c r="AV7" s="272" t="s">
        <v>9</v>
      </c>
      <c r="AY7" s="116" t="s">
        <v>370</v>
      </c>
      <c r="AZ7" s="117">
        <v>15</v>
      </c>
      <c r="BA7" s="118">
        <v>21</v>
      </c>
      <c r="BB7" s="119">
        <f t="shared" ref="BB7:BB12" si="3">BA7/AZ7</f>
        <v>1.4</v>
      </c>
      <c r="BD7" s="270" t="s">
        <v>0</v>
      </c>
      <c r="BE7" s="271" t="s">
        <v>1</v>
      </c>
      <c r="BF7" s="272" t="s">
        <v>2</v>
      </c>
      <c r="BG7" s="272" t="s">
        <v>3</v>
      </c>
      <c r="BH7" s="272" t="s">
        <v>4</v>
      </c>
      <c r="BI7" s="272" t="s">
        <v>5</v>
      </c>
      <c r="BJ7" s="272" t="s">
        <v>6</v>
      </c>
      <c r="BK7" s="272" t="s">
        <v>7</v>
      </c>
      <c r="BL7" s="272" t="s">
        <v>8</v>
      </c>
      <c r="BM7" s="272" t="s">
        <v>9</v>
      </c>
      <c r="BN7" s="72"/>
      <c r="BO7" s="116" t="s">
        <v>189</v>
      </c>
      <c r="BP7" s="117">
        <v>15</v>
      </c>
      <c r="BQ7" s="118">
        <v>18</v>
      </c>
      <c r="BR7" s="119">
        <f t="shared" ref="BR7:BR12" si="4">BQ7/BP7</f>
        <v>1.2</v>
      </c>
      <c r="BS7" s="119"/>
      <c r="BT7" s="286"/>
      <c r="BU7" s="270" t="s">
        <v>0</v>
      </c>
      <c r="BV7" s="271" t="s">
        <v>1</v>
      </c>
      <c r="BW7" s="272" t="s">
        <v>2</v>
      </c>
      <c r="BX7" s="272" t="s">
        <v>3</v>
      </c>
      <c r="BY7" s="272" t="s">
        <v>4</v>
      </c>
      <c r="BZ7" s="272" t="s">
        <v>5</v>
      </c>
      <c r="CA7" s="272" t="s">
        <v>6</v>
      </c>
      <c r="CB7" s="272" t="s">
        <v>7</v>
      </c>
      <c r="CC7" s="272" t="s">
        <v>8</v>
      </c>
      <c r="CD7" s="272" t="s">
        <v>9</v>
      </c>
      <c r="CF7" s="116" t="s">
        <v>189</v>
      </c>
      <c r="CG7" s="117">
        <v>15</v>
      </c>
      <c r="CH7" s="118">
        <v>7</v>
      </c>
      <c r="CI7" s="119">
        <f t="shared" ref="CI7:CI12" si="5">CH7/CG7</f>
        <v>0.46666666666666667</v>
      </c>
      <c r="CK7" s="270" t="s">
        <v>0</v>
      </c>
      <c r="CL7" s="271" t="s">
        <v>1</v>
      </c>
      <c r="CM7" s="272" t="s">
        <v>2</v>
      </c>
      <c r="CN7" s="272" t="s">
        <v>3</v>
      </c>
      <c r="CO7" s="272" t="s">
        <v>4</v>
      </c>
      <c r="CP7" s="272" t="s">
        <v>5</v>
      </c>
      <c r="CQ7" s="272" t="s">
        <v>6</v>
      </c>
      <c r="CR7" s="272" t="s">
        <v>7</v>
      </c>
      <c r="CS7" s="272" t="s">
        <v>8</v>
      </c>
      <c r="CT7" s="272" t="s">
        <v>9</v>
      </c>
      <c r="CW7" s="341" t="s">
        <v>370</v>
      </c>
      <c r="CX7" s="224">
        <v>15</v>
      </c>
      <c r="CY7" s="342">
        <v>9</v>
      </c>
      <c r="CZ7" s="343">
        <f t="shared" ref="CZ7:CZ12" si="6">CY7/CX7</f>
        <v>0.6</v>
      </c>
      <c r="DA7" s="111"/>
      <c r="DB7" s="270" t="s">
        <v>0</v>
      </c>
      <c r="DC7" s="271" t="s">
        <v>1</v>
      </c>
      <c r="DD7" s="272" t="s">
        <v>2</v>
      </c>
      <c r="DE7" s="272" t="s">
        <v>3</v>
      </c>
      <c r="DF7" s="272" t="s">
        <v>4</v>
      </c>
      <c r="DG7" s="272" t="s">
        <v>5</v>
      </c>
      <c r="DH7" s="272" t="s">
        <v>6</v>
      </c>
      <c r="DI7" s="272" t="s">
        <v>7</v>
      </c>
      <c r="DJ7" s="272" t="s">
        <v>8</v>
      </c>
      <c r="DK7" s="272" t="s">
        <v>9</v>
      </c>
      <c r="DM7" s="116" t="s">
        <v>189</v>
      </c>
      <c r="DN7" s="117">
        <v>15</v>
      </c>
      <c r="DO7" s="118">
        <v>7</v>
      </c>
      <c r="DP7" s="119">
        <f t="shared" ref="DP7:DP12" si="7">DO7/DN7</f>
        <v>0.46666666666666667</v>
      </c>
      <c r="DQ7" s="119"/>
      <c r="DR7" s="286"/>
      <c r="DS7" s="270" t="s">
        <v>0</v>
      </c>
      <c r="DT7" s="271" t="s">
        <v>1</v>
      </c>
      <c r="DU7" s="272" t="s">
        <v>2</v>
      </c>
      <c r="DV7" s="272" t="s">
        <v>3</v>
      </c>
      <c r="DW7" s="272" t="s">
        <v>4</v>
      </c>
      <c r="DX7" s="272" t="s">
        <v>5</v>
      </c>
      <c r="DY7" s="272" t="s">
        <v>6</v>
      </c>
      <c r="DZ7" s="272" t="s">
        <v>7</v>
      </c>
      <c r="EA7" s="272" t="s">
        <v>8</v>
      </c>
      <c r="EB7" s="272" t="s">
        <v>9</v>
      </c>
      <c r="ED7" s="116" t="s">
        <v>189</v>
      </c>
      <c r="EE7" s="117">
        <v>15</v>
      </c>
      <c r="EF7" s="118">
        <v>2</v>
      </c>
      <c r="EG7" s="119">
        <f t="shared" ref="EG7:EG12" si="8">EF7/EE7</f>
        <v>0.13333333333333333</v>
      </c>
      <c r="EI7" s="270" t="s">
        <v>0</v>
      </c>
      <c r="EJ7" s="271" t="s">
        <v>1</v>
      </c>
      <c r="EK7" s="272" t="s">
        <v>2</v>
      </c>
      <c r="EL7" s="272" t="s">
        <v>3</v>
      </c>
      <c r="EM7" s="272" t="s">
        <v>4</v>
      </c>
      <c r="EN7" s="272" t="s">
        <v>5</v>
      </c>
      <c r="EO7" s="272" t="s">
        <v>6</v>
      </c>
      <c r="EP7" s="272" t="s">
        <v>7</v>
      </c>
      <c r="EQ7" s="272" t="s">
        <v>8</v>
      </c>
      <c r="ER7" s="272" t="s">
        <v>9</v>
      </c>
    </row>
    <row r="8" spans="1:148" x14ac:dyDescent="0.3">
      <c r="A8" s="116" t="s">
        <v>371</v>
      </c>
      <c r="B8" s="117">
        <v>12</v>
      </c>
      <c r="C8" s="118">
        <v>31</v>
      </c>
      <c r="D8" s="119">
        <f t="shared" si="0"/>
        <v>2.5833333333333335</v>
      </c>
      <c r="F8" s="273">
        <v>46059</v>
      </c>
      <c r="G8" s="274">
        <v>137739</v>
      </c>
      <c r="H8" s="275" t="s">
        <v>31</v>
      </c>
      <c r="I8" s="275" t="s">
        <v>73</v>
      </c>
      <c r="J8" s="275" t="s">
        <v>52</v>
      </c>
      <c r="K8" s="275" t="s">
        <v>41</v>
      </c>
      <c r="L8" s="275">
        <v>1</v>
      </c>
      <c r="M8" s="276">
        <v>8100</v>
      </c>
      <c r="N8" s="276">
        <v>8100</v>
      </c>
      <c r="O8" s="276">
        <v>9720</v>
      </c>
      <c r="Q8" s="116" t="s">
        <v>190</v>
      </c>
      <c r="R8" s="117">
        <v>12</v>
      </c>
      <c r="S8" s="118">
        <v>13</v>
      </c>
      <c r="T8" s="119">
        <f t="shared" si="1"/>
        <v>1.0833333333333333</v>
      </c>
      <c r="U8" s="119"/>
      <c r="V8" s="286"/>
      <c r="W8" s="273">
        <v>46055</v>
      </c>
      <c r="X8" s="274">
        <v>130904</v>
      </c>
      <c r="Y8" s="275" t="s">
        <v>44</v>
      </c>
      <c r="Z8" s="275" t="s">
        <v>68</v>
      </c>
      <c r="AA8" s="275" t="s">
        <v>69</v>
      </c>
      <c r="AB8" s="275" t="s">
        <v>41</v>
      </c>
      <c r="AC8" s="275">
        <v>1</v>
      </c>
      <c r="AD8" s="276">
        <v>22270</v>
      </c>
      <c r="AE8" s="276">
        <v>22270</v>
      </c>
      <c r="AF8" s="276">
        <v>22270</v>
      </c>
      <c r="AH8" s="116" t="s">
        <v>190</v>
      </c>
      <c r="AI8" s="117">
        <v>12</v>
      </c>
      <c r="AJ8" s="118">
        <v>15</v>
      </c>
      <c r="AK8" s="119">
        <f t="shared" si="2"/>
        <v>1.25</v>
      </c>
      <c r="AM8" s="273">
        <v>46055</v>
      </c>
      <c r="AN8" s="274">
        <v>128860</v>
      </c>
      <c r="AO8" s="275" t="s">
        <v>22</v>
      </c>
      <c r="AP8" s="275" t="s">
        <v>70</v>
      </c>
      <c r="AQ8" s="275" t="s">
        <v>24</v>
      </c>
      <c r="AR8" s="275" t="s">
        <v>25</v>
      </c>
      <c r="AS8" s="275">
        <v>110</v>
      </c>
      <c r="AT8" s="276">
        <v>185</v>
      </c>
      <c r="AU8" s="276">
        <v>20350</v>
      </c>
      <c r="AV8" s="276">
        <v>20350</v>
      </c>
      <c r="AY8" s="116" t="s">
        <v>371</v>
      </c>
      <c r="AZ8" s="117">
        <v>12</v>
      </c>
      <c r="BA8" s="118">
        <v>16</v>
      </c>
      <c r="BB8" s="119">
        <f t="shared" si="3"/>
        <v>1.3333333333333333</v>
      </c>
      <c r="BD8" s="291">
        <v>46083</v>
      </c>
      <c r="BE8" s="292">
        <v>137844</v>
      </c>
      <c r="BF8" s="292" t="s">
        <v>31</v>
      </c>
      <c r="BG8" s="292" t="s">
        <v>94</v>
      </c>
      <c r="BH8" s="292" t="s">
        <v>35</v>
      </c>
      <c r="BI8" s="292" t="s">
        <v>35</v>
      </c>
      <c r="BJ8" s="293">
        <v>3</v>
      </c>
      <c r="BK8" s="294">
        <v>176</v>
      </c>
      <c r="BL8" s="295">
        <v>528</v>
      </c>
      <c r="BM8" s="299">
        <v>528</v>
      </c>
      <c r="BO8" s="116" t="s">
        <v>190</v>
      </c>
      <c r="BP8" s="117">
        <v>12</v>
      </c>
      <c r="BQ8" s="118">
        <v>16</v>
      </c>
      <c r="BR8" s="119">
        <f t="shared" si="4"/>
        <v>1.3333333333333333</v>
      </c>
      <c r="BS8" s="119"/>
      <c r="BT8" s="286"/>
      <c r="BU8" s="291">
        <v>46092</v>
      </c>
      <c r="BV8" s="292">
        <v>139463</v>
      </c>
      <c r="BW8" s="292" t="s">
        <v>44</v>
      </c>
      <c r="BX8" s="292" t="s">
        <v>101</v>
      </c>
      <c r="BY8" s="292" t="s">
        <v>47</v>
      </c>
      <c r="BZ8" s="292" t="s">
        <v>25</v>
      </c>
      <c r="CA8" s="293">
        <v>340</v>
      </c>
      <c r="CB8" s="294">
        <v>171</v>
      </c>
      <c r="CC8" s="295">
        <v>58140</v>
      </c>
      <c r="CD8" s="295">
        <v>58140</v>
      </c>
      <c r="CF8" s="116" t="s">
        <v>190</v>
      </c>
      <c r="CG8" s="117">
        <v>12</v>
      </c>
      <c r="CH8" s="118">
        <v>6</v>
      </c>
      <c r="CI8" s="119">
        <f t="shared" si="5"/>
        <v>0.5</v>
      </c>
      <c r="CK8" s="300" t="s">
        <v>0</v>
      </c>
      <c r="CL8" s="301" t="s">
        <v>1</v>
      </c>
      <c r="CM8" s="301" t="s">
        <v>2</v>
      </c>
      <c r="CN8" s="301" t="s">
        <v>3</v>
      </c>
      <c r="CO8" s="301" t="s">
        <v>4</v>
      </c>
      <c r="CP8" s="301" t="s">
        <v>5</v>
      </c>
      <c r="CQ8" s="301" t="s">
        <v>6</v>
      </c>
      <c r="CR8" s="301" t="s">
        <v>7</v>
      </c>
      <c r="CS8" s="301" t="s">
        <v>8</v>
      </c>
      <c r="CT8" s="301" t="s">
        <v>9</v>
      </c>
      <c r="CW8" s="341" t="s">
        <v>371</v>
      </c>
      <c r="CX8" s="224">
        <v>12</v>
      </c>
      <c r="CY8" s="342">
        <v>13</v>
      </c>
      <c r="CZ8" s="343">
        <f t="shared" si="6"/>
        <v>1.0833333333333333</v>
      </c>
      <c r="DA8" s="111"/>
      <c r="DB8" s="332">
        <v>46119</v>
      </c>
      <c r="DC8" s="333">
        <v>138780</v>
      </c>
      <c r="DD8" s="333" t="s">
        <v>31</v>
      </c>
      <c r="DE8" s="333" t="s">
        <v>100</v>
      </c>
      <c r="DF8" s="333" t="s">
        <v>35</v>
      </c>
      <c r="DG8" s="333" t="s">
        <v>35</v>
      </c>
      <c r="DH8" s="333">
        <v>8</v>
      </c>
      <c r="DI8" s="334">
        <v>176</v>
      </c>
      <c r="DJ8" s="334">
        <v>1408</v>
      </c>
      <c r="DK8" s="334">
        <v>1408</v>
      </c>
      <c r="DM8" s="116" t="s">
        <v>190</v>
      </c>
      <c r="DN8" s="117">
        <v>12</v>
      </c>
      <c r="DO8" s="118">
        <v>7</v>
      </c>
      <c r="DP8" s="119">
        <f t="shared" si="7"/>
        <v>0.58333333333333337</v>
      </c>
      <c r="DQ8" s="119"/>
      <c r="DR8" s="286"/>
      <c r="DS8" s="316">
        <v>46113</v>
      </c>
      <c r="DT8" s="199">
        <v>138583</v>
      </c>
      <c r="DU8" s="199" t="s">
        <v>44</v>
      </c>
      <c r="DV8" s="199" t="s">
        <v>119</v>
      </c>
      <c r="DW8" s="199" t="s">
        <v>63</v>
      </c>
      <c r="DX8" s="199" t="s">
        <v>41</v>
      </c>
      <c r="DY8" s="199">
        <v>1</v>
      </c>
      <c r="DZ8" s="317">
        <v>24000</v>
      </c>
      <c r="EA8" s="317">
        <v>24000</v>
      </c>
      <c r="EB8" s="317">
        <v>24000</v>
      </c>
      <c r="ED8" s="116" t="s">
        <v>190</v>
      </c>
      <c r="EE8" s="117">
        <v>12</v>
      </c>
      <c r="EF8" s="118">
        <v>2</v>
      </c>
      <c r="EG8" s="119">
        <f t="shared" si="8"/>
        <v>0.16666666666666666</v>
      </c>
      <c r="EI8" s="325" t="s">
        <v>0</v>
      </c>
      <c r="EJ8" s="326" t="s">
        <v>1</v>
      </c>
      <c r="EK8" s="326" t="s">
        <v>2</v>
      </c>
      <c r="EL8" s="326" t="s">
        <v>3</v>
      </c>
      <c r="EM8" s="326" t="s">
        <v>4</v>
      </c>
      <c r="EN8" s="326" t="s">
        <v>5</v>
      </c>
      <c r="EO8" s="326" t="s">
        <v>6</v>
      </c>
      <c r="EP8" s="326" t="s">
        <v>7</v>
      </c>
      <c r="EQ8" s="326" t="s">
        <v>8</v>
      </c>
      <c r="ER8" s="326" t="s">
        <v>9</v>
      </c>
    </row>
    <row r="9" spans="1:148" x14ac:dyDescent="0.3">
      <c r="A9" s="116" t="s">
        <v>372</v>
      </c>
      <c r="B9" s="120">
        <v>6500</v>
      </c>
      <c r="C9" s="121">
        <v>2413.6799999999998</v>
      </c>
      <c r="D9" s="119">
        <f t="shared" si="0"/>
        <v>0.37133538461538457</v>
      </c>
      <c r="F9" s="273">
        <v>46059</v>
      </c>
      <c r="G9" s="274">
        <v>137739</v>
      </c>
      <c r="H9" s="275" t="s">
        <v>31</v>
      </c>
      <c r="I9" s="275" t="s">
        <v>73</v>
      </c>
      <c r="J9" s="275" t="s">
        <v>52</v>
      </c>
      <c r="K9" s="275" t="s">
        <v>30</v>
      </c>
      <c r="L9" s="275">
        <v>1</v>
      </c>
      <c r="M9" s="276">
        <v>1080</v>
      </c>
      <c r="N9" s="276">
        <v>1080</v>
      </c>
      <c r="O9" s="276">
        <v>1296</v>
      </c>
      <c r="Q9" s="116" t="s">
        <v>173</v>
      </c>
      <c r="R9" s="120">
        <v>10000</v>
      </c>
      <c r="S9" s="121">
        <v>14107.5</v>
      </c>
      <c r="T9" s="119">
        <f t="shared" si="1"/>
        <v>1.4107499999999999</v>
      </c>
      <c r="U9" s="119"/>
      <c r="V9" s="286"/>
      <c r="W9" s="273">
        <v>46055</v>
      </c>
      <c r="X9" s="274">
        <v>130904</v>
      </c>
      <c r="Y9" s="275" t="s">
        <v>44</v>
      </c>
      <c r="Z9" s="275" t="s">
        <v>68</v>
      </c>
      <c r="AA9" s="275" t="s">
        <v>69</v>
      </c>
      <c r="AB9" s="275" t="s">
        <v>30</v>
      </c>
      <c r="AC9" s="275">
        <v>1</v>
      </c>
      <c r="AD9" s="276">
        <v>3000</v>
      </c>
      <c r="AE9" s="276">
        <v>3000</v>
      </c>
      <c r="AF9" s="276">
        <v>3600</v>
      </c>
      <c r="AH9" s="116" t="s">
        <v>173</v>
      </c>
      <c r="AI9" s="120">
        <v>10000</v>
      </c>
      <c r="AJ9" s="121">
        <v>55175.35</v>
      </c>
      <c r="AK9" s="119">
        <f t="shared" si="2"/>
        <v>5.5175349999999996</v>
      </c>
      <c r="AM9" s="273">
        <v>46055</v>
      </c>
      <c r="AN9" s="274">
        <v>128860</v>
      </c>
      <c r="AO9" s="275" t="s">
        <v>22</v>
      </c>
      <c r="AP9" s="275" t="s">
        <v>70</v>
      </c>
      <c r="AQ9" s="275" t="s">
        <v>63</v>
      </c>
      <c r="AR9" s="275" t="s">
        <v>30</v>
      </c>
      <c r="AS9" s="275">
        <v>15</v>
      </c>
      <c r="AT9" s="276">
        <v>87</v>
      </c>
      <c r="AU9" s="276">
        <v>1305</v>
      </c>
      <c r="AV9" s="276">
        <v>1305</v>
      </c>
      <c r="AY9" s="116" t="s">
        <v>373</v>
      </c>
      <c r="AZ9" s="120">
        <v>7000</v>
      </c>
      <c r="BA9" s="121">
        <v>6425.28</v>
      </c>
      <c r="BB9" s="119">
        <f t="shared" si="3"/>
        <v>0.91789714285714286</v>
      </c>
      <c r="BD9" s="291">
        <v>46083</v>
      </c>
      <c r="BE9" s="292">
        <v>138891</v>
      </c>
      <c r="BF9" s="292" t="s">
        <v>31</v>
      </c>
      <c r="BG9" s="292" t="s">
        <v>95</v>
      </c>
      <c r="BH9" s="292" t="s">
        <v>89</v>
      </c>
      <c r="BI9" s="292" t="s">
        <v>25</v>
      </c>
      <c r="BJ9" s="293">
        <v>8</v>
      </c>
      <c r="BK9" s="294">
        <v>210</v>
      </c>
      <c r="BL9" s="295">
        <v>1680</v>
      </c>
      <c r="BM9" s="299">
        <v>2016</v>
      </c>
      <c r="BO9" s="116" t="s">
        <v>173</v>
      </c>
      <c r="BP9" s="120">
        <v>10000</v>
      </c>
      <c r="BQ9" s="121">
        <v>16288.54</v>
      </c>
      <c r="BR9" s="119">
        <f t="shared" si="4"/>
        <v>1.628854</v>
      </c>
      <c r="BS9" s="119"/>
      <c r="BT9" s="286"/>
      <c r="BU9" s="291">
        <v>46092</v>
      </c>
      <c r="BV9" s="292">
        <v>139463</v>
      </c>
      <c r="BW9" s="292" t="s">
        <v>44</v>
      </c>
      <c r="BX9" s="292" t="s">
        <v>101</v>
      </c>
      <c r="BY9" s="292" t="s">
        <v>63</v>
      </c>
      <c r="BZ9" s="292" t="s">
        <v>25</v>
      </c>
      <c r="CA9" s="293">
        <v>60</v>
      </c>
      <c r="CB9" s="294">
        <v>171</v>
      </c>
      <c r="CC9" s="295">
        <v>10260</v>
      </c>
      <c r="CD9" s="295">
        <v>10260</v>
      </c>
      <c r="CF9" s="116" t="s">
        <v>173</v>
      </c>
      <c r="CG9" s="120">
        <v>10000</v>
      </c>
      <c r="CH9" s="121">
        <v>301.26</v>
      </c>
      <c r="CI9" s="119">
        <f t="shared" si="5"/>
        <v>3.0126E-2</v>
      </c>
      <c r="CK9" s="291">
        <v>46092</v>
      </c>
      <c r="CL9" s="292">
        <v>128860</v>
      </c>
      <c r="CM9" s="292" t="s">
        <v>22</v>
      </c>
      <c r="CN9" s="292" t="s">
        <v>70</v>
      </c>
      <c r="CO9" s="292" t="s">
        <v>24</v>
      </c>
      <c r="CP9" s="292" t="s">
        <v>25</v>
      </c>
      <c r="CQ9" s="293">
        <v>40</v>
      </c>
      <c r="CR9" s="294">
        <v>185</v>
      </c>
      <c r="CS9" s="295">
        <v>7400</v>
      </c>
      <c r="CT9" s="299">
        <v>7400</v>
      </c>
      <c r="CW9" s="341" t="s">
        <v>373</v>
      </c>
      <c r="CX9" s="344">
        <v>7500</v>
      </c>
      <c r="CY9" s="345">
        <v>2691.36</v>
      </c>
      <c r="CZ9" s="343">
        <f t="shared" si="6"/>
        <v>0.358848</v>
      </c>
      <c r="DA9" s="111"/>
      <c r="DB9" s="332">
        <v>46119</v>
      </c>
      <c r="DC9" s="333">
        <v>138897</v>
      </c>
      <c r="DD9" s="333" t="s">
        <v>31</v>
      </c>
      <c r="DE9" s="333" t="s">
        <v>49</v>
      </c>
      <c r="DF9" s="333" t="s">
        <v>35</v>
      </c>
      <c r="DG9" s="333" t="s">
        <v>35</v>
      </c>
      <c r="DH9" s="333">
        <v>64</v>
      </c>
      <c r="DI9" s="334">
        <v>156.25</v>
      </c>
      <c r="DJ9" s="334">
        <v>10000</v>
      </c>
      <c r="DK9" s="334">
        <v>10000</v>
      </c>
      <c r="DM9" s="116" t="s">
        <v>173</v>
      </c>
      <c r="DN9" s="120">
        <v>10000</v>
      </c>
      <c r="DO9" s="121">
        <v>5224.6499999999996</v>
      </c>
      <c r="DP9" s="119">
        <f t="shared" si="7"/>
        <v>0.52246499999999996</v>
      </c>
      <c r="DQ9" s="119"/>
      <c r="DR9" s="286"/>
      <c r="DS9" s="316">
        <v>46113</v>
      </c>
      <c r="DT9" s="199">
        <v>138583</v>
      </c>
      <c r="DU9" s="199" t="s">
        <v>44</v>
      </c>
      <c r="DV9" s="199" t="s">
        <v>119</v>
      </c>
      <c r="DW9" s="199" t="s">
        <v>63</v>
      </c>
      <c r="DX9" s="199" t="s">
        <v>25</v>
      </c>
      <c r="DY9" s="199">
        <v>100</v>
      </c>
      <c r="DZ9" s="317">
        <v>212</v>
      </c>
      <c r="EA9" s="317">
        <v>21200</v>
      </c>
      <c r="EB9" s="317">
        <v>21200</v>
      </c>
      <c r="ED9" s="116" t="s">
        <v>173</v>
      </c>
      <c r="EE9" s="120">
        <v>10000</v>
      </c>
      <c r="EF9" s="121">
        <v>7680.6</v>
      </c>
      <c r="EG9" s="119">
        <f t="shared" si="8"/>
        <v>0.76806000000000008</v>
      </c>
      <c r="EI9" s="316">
        <v>46119</v>
      </c>
      <c r="EJ9" s="199">
        <v>138641</v>
      </c>
      <c r="EK9" s="199" t="s">
        <v>22</v>
      </c>
      <c r="EL9" s="199" t="s">
        <v>87</v>
      </c>
      <c r="EM9" s="199" t="s">
        <v>54</v>
      </c>
      <c r="EN9" s="199" t="s">
        <v>30</v>
      </c>
      <c r="EO9" s="199">
        <v>10</v>
      </c>
      <c r="EP9" s="317">
        <v>142.56</v>
      </c>
      <c r="EQ9" s="317">
        <v>1425.6</v>
      </c>
      <c r="ER9" s="317">
        <v>1425.6</v>
      </c>
    </row>
    <row r="10" spans="1:148" x14ac:dyDescent="0.3">
      <c r="A10" s="116" t="s">
        <v>374</v>
      </c>
      <c r="B10" s="120">
        <v>26500</v>
      </c>
      <c r="C10" s="122">
        <f>C9+S9+AJ9</f>
        <v>71696.53</v>
      </c>
      <c r="D10" s="119">
        <f t="shared" si="0"/>
        <v>2.7055294339622642</v>
      </c>
      <c r="F10" s="273">
        <v>46059</v>
      </c>
      <c r="G10" s="274">
        <v>137720</v>
      </c>
      <c r="H10" s="275" t="s">
        <v>31</v>
      </c>
      <c r="I10" s="275" t="s">
        <v>74</v>
      </c>
      <c r="J10" s="275" t="s">
        <v>63</v>
      </c>
      <c r="K10" s="275" t="s">
        <v>30</v>
      </c>
      <c r="L10" s="275">
        <v>5</v>
      </c>
      <c r="M10" s="276">
        <v>115</v>
      </c>
      <c r="N10" s="276">
        <v>575</v>
      </c>
      <c r="O10" s="276">
        <v>690</v>
      </c>
      <c r="Q10" s="116" t="s">
        <v>166</v>
      </c>
      <c r="R10" s="120">
        <v>26500</v>
      </c>
      <c r="S10" s="122">
        <f>C10</f>
        <v>71696.53</v>
      </c>
      <c r="T10" s="119">
        <f t="shared" si="1"/>
        <v>2.7055294339622642</v>
      </c>
      <c r="U10" s="119"/>
      <c r="V10" s="286"/>
      <c r="W10" s="273">
        <v>46059</v>
      </c>
      <c r="X10" s="274">
        <v>137190</v>
      </c>
      <c r="Y10" s="275" t="s">
        <v>44</v>
      </c>
      <c r="Z10" s="275" t="s">
        <v>72</v>
      </c>
      <c r="AA10" s="275" t="s">
        <v>47</v>
      </c>
      <c r="AB10" s="275" t="s">
        <v>25</v>
      </c>
      <c r="AC10" s="275">
        <v>290</v>
      </c>
      <c r="AD10" s="276">
        <v>200</v>
      </c>
      <c r="AE10" s="276">
        <v>58000</v>
      </c>
      <c r="AF10" s="276">
        <v>58000</v>
      </c>
      <c r="AH10" s="116" t="s">
        <v>166</v>
      </c>
      <c r="AI10" s="120">
        <v>26500</v>
      </c>
      <c r="AJ10" s="122">
        <f>C10</f>
        <v>71696.53</v>
      </c>
      <c r="AK10" s="119">
        <f t="shared" si="2"/>
        <v>2.7055294339622642</v>
      </c>
      <c r="AM10" s="273">
        <v>46055</v>
      </c>
      <c r="AN10" s="274">
        <v>128860</v>
      </c>
      <c r="AO10" s="275" t="s">
        <v>22</v>
      </c>
      <c r="AP10" s="275" t="s">
        <v>70</v>
      </c>
      <c r="AQ10" s="275" t="s">
        <v>71</v>
      </c>
      <c r="AR10" s="275" t="s">
        <v>30</v>
      </c>
      <c r="AS10" s="275">
        <v>10</v>
      </c>
      <c r="AT10" s="276">
        <v>43.5</v>
      </c>
      <c r="AU10" s="276">
        <v>435</v>
      </c>
      <c r="AV10" s="276">
        <v>435</v>
      </c>
      <c r="AY10" s="116" t="s">
        <v>374</v>
      </c>
      <c r="AZ10" s="120">
        <v>27000</v>
      </c>
      <c r="BA10" s="122">
        <f>BA9+BQ9+CH9</f>
        <v>23015.079999999998</v>
      </c>
      <c r="BB10" s="119">
        <f t="shared" si="3"/>
        <v>0.85241037037037026</v>
      </c>
      <c r="BD10" s="291">
        <v>46083</v>
      </c>
      <c r="BE10" s="292">
        <v>138891</v>
      </c>
      <c r="BF10" s="292" t="s">
        <v>31</v>
      </c>
      <c r="BG10" s="292" t="s">
        <v>95</v>
      </c>
      <c r="BH10" s="292" t="s">
        <v>89</v>
      </c>
      <c r="BI10" s="292" t="s">
        <v>30</v>
      </c>
      <c r="BJ10" s="293">
        <v>1</v>
      </c>
      <c r="BK10" s="294">
        <v>356.4</v>
      </c>
      <c r="BL10" s="295">
        <v>356.4</v>
      </c>
      <c r="BM10" s="299">
        <v>427.67999999999989</v>
      </c>
      <c r="BO10" s="116" t="s">
        <v>166</v>
      </c>
      <c r="BP10" s="120">
        <v>27000</v>
      </c>
      <c r="BQ10" s="122">
        <f>BA10</f>
        <v>23015.079999999998</v>
      </c>
      <c r="BR10" s="119">
        <f t="shared" si="4"/>
        <v>0.85241037037037026</v>
      </c>
      <c r="BS10" s="119"/>
      <c r="BT10" s="286"/>
      <c r="BU10" s="291">
        <v>46092</v>
      </c>
      <c r="BV10" s="292">
        <v>139463</v>
      </c>
      <c r="BW10" s="292" t="s">
        <v>44</v>
      </c>
      <c r="BX10" s="292" t="s">
        <v>101</v>
      </c>
      <c r="BY10" s="292" t="s">
        <v>54</v>
      </c>
      <c r="BZ10" s="292" t="s">
        <v>25</v>
      </c>
      <c r="CA10" s="293">
        <v>48</v>
      </c>
      <c r="CB10" s="294">
        <v>171</v>
      </c>
      <c r="CC10" s="295">
        <v>0</v>
      </c>
      <c r="CD10" s="295">
        <v>0</v>
      </c>
      <c r="CF10" s="116" t="s">
        <v>166</v>
      </c>
      <c r="CG10" s="120">
        <v>27000</v>
      </c>
      <c r="CH10" s="122">
        <f>BA10</f>
        <v>23015.079999999998</v>
      </c>
      <c r="CI10" s="119">
        <f t="shared" si="5"/>
        <v>0.85241037037037026</v>
      </c>
      <c r="CK10" s="291">
        <v>46100</v>
      </c>
      <c r="CL10" s="292">
        <v>140072</v>
      </c>
      <c r="CM10" s="292" t="s">
        <v>22</v>
      </c>
      <c r="CN10" s="292" t="s">
        <v>110</v>
      </c>
      <c r="CO10" s="292" t="s">
        <v>111</v>
      </c>
      <c r="CP10" s="292" t="s">
        <v>30</v>
      </c>
      <c r="CQ10" s="293">
        <v>1</v>
      </c>
      <c r="CR10" s="294">
        <v>301.26</v>
      </c>
      <c r="CS10" s="295">
        <v>301.26</v>
      </c>
      <c r="CT10" s="299">
        <v>301.26</v>
      </c>
      <c r="CW10" s="341" t="s">
        <v>374</v>
      </c>
      <c r="CX10" s="344">
        <v>27500</v>
      </c>
      <c r="CY10" s="346">
        <f>CY9+DO9+EF9</f>
        <v>15596.61</v>
      </c>
      <c r="CZ10" s="343">
        <f t="shared" si="6"/>
        <v>0.56714945454545451</v>
      </c>
      <c r="DA10" s="111"/>
      <c r="DB10" s="332">
        <v>46119</v>
      </c>
      <c r="DC10" s="333">
        <v>140964</v>
      </c>
      <c r="DD10" s="333" t="s">
        <v>31</v>
      </c>
      <c r="DE10" s="333" t="s">
        <v>120</v>
      </c>
      <c r="DF10" s="333" t="s">
        <v>121</v>
      </c>
      <c r="DG10" s="333" t="s">
        <v>25</v>
      </c>
      <c r="DH10" s="333">
        <v>16</v>
      </c>
      <c r="DI10" s="334">
        <v>210</v>
      </c>
      <c r="DJ10" s="334">
        <v>3360</v>
      </c>
      <c r="DK10" s="334">
        <v>4032</v>
      </c>
      <c r="DM10" s="116" t="s">
        <v>166</v>
      </c>
      <c r="DN10" s="120">
        <v>27000</v>
      </c>
      <c r="DO10" s="122">
        <f>CY10</f>
        <v>15596.61</v>
      </c>
      <c r="DP10" s="119">
        <f t="shared" si="7"/>
        <v>0.57765222222222223</v>
      </c>
      <c r="DQ10" s="119"/>
      <c r="DR10" s="286"/>
      <c r="DS10" s="316">
        <v>46113</v>
      </c>
      <c r="DT10" s="199">
        <v>138583</v>
      </c>
      <c r="DU10" s="199" t="s">
        <v>44</v>
      </c>
      <c r="DV10" s="199" t="s">
        <v>119</v>
      </c>
      <c r="DW10" s="199" t="s">
        <v>63</v>
      </c>
      <c r="DX10" s="199" t="s">
        <v>30</v>
      </c>
      <c r="DY10" s="199">
        <v>61</v>
      </c>
      <c r="DZ10" s="317">
        <v>85.65</v>
      </c>
      <c r="EA10" s="317">
        <v>5224.6500000000005</v>
      </c>
      <c r="EB10" s="317">
        <v>5224.6500000000005</v>
      </c>
      <c r="ED10" s="116" t="s">
        <v>166</v>
      </c>
      <c r="EE10" s="120">
        <v>27000</v>
      </c>
      <c r="EF10" s="122">
        <f>CY10</f>
        <v>15596.61</v>
      </c>
      <c r="EG10" s="119">
        <f t="shared" si="8"/>
        <v>0.57765222222222223</v>
      </c>
      <c r="EI10" s="316">
        <v>46120</v>
      </c>
      <c r="EJ10" s="199">
        <v>138614</v>
      </c>
      <c r="EK10" s="199" t="s">
        <v>22</v>
      </c>
      <c r="EL10" s="199" t="s">
        <v>87</v>
      </c>
      <c r="EM10" s="199" t="s">
        <v>123</v>
      </c>
      <c r="EN10" s="199" t="s">
        <v>30</v>
      </c>
      <c r="EO10" s="199">
        <v>60</v>
      </c>
      <c r="EP10" s="317">
        <v>19.25</v>
      </c>
      <c r="EQ10" s="317">
        <v>1155</v>
      </c>
      <c r="ER10" s="317">
        <v>1155</v>
      </c>
    </row>
    <row r="11" spans="1:148" x14ac:dyDescent="0.3">
      <c r="A11" s="116" t="s">
        <v>375</v>
      </c>
      <c r="B11" s="120">
        <v>90000</v>
      </c>
      <c r="C11" s="122">
        <v>96796.800000000003</v>
      </c>
      <c r="D11" s="119">
        <f t="shared" si="0"/>
        <v>1.07552</v>
      </c>
      <c r="F11" s="273">
        <v>46059</v>
      </c>
      <c r="G11" s="274">
        <v>137481</v>
      </c>
      <c r="H11" s="275" t="s">
        <v>31</v>
      </c>
      <c r="I11" s="275" t="s">
        <v>75</v>
      </c>
      <c r="J11" s="275" t="s">
        <v>24</v>
      </c>
      <c r="K11" s="275" t="s">
        <v>25</v>
      </c>
      <c r="L11" s="275">
        <v>8</v>
      </c>
      <c r="M11" s="276">
        <v>189</v>
      </c>
      <c r="N11" s="276">
        <v>1512</v>
      </c>
      <c r="O11" s="276">
        <v>1814.4</v>
      </c>
      <c r="Q11" s="116" t="s">
        <v>174</v>
      </c>
      <c r="R11" s="120">
        <v>90000</v>
      </c>
      <c r="S11" s="122">
        <v>97230</v>
      </c>
      <c r="T11" s="119">
        <f t="shared" si="1"/>
        <v>1.0803333333333334</v>
      </c>
      <c r="U11" s="119"/>
      <c r="V11" s="286"/>
      <c r="W11" s="273">
        <v>46059</v>
      </c>
      <c r="X11" s="274">
        <v>137370</v>
      </c>
      <c r="Y11" s="275" t="s">
        <v>44</v>
      </c>
      <c r="Z11" s="275" t="s">
        <v>72</v>
      </c>
      <c r="AA11" s="275" t="s">
        <v>47</v>
      </c>
      <c r="AB11" s="275" t="s">
        <v>30</v>
      </c>
      <c r="AC11" s="275">
        <v>20</v>
      </c>
      <c r="AD11" s="276">
        <v>255</v>
      </c>
      <c r="AE11" s="276">
        <v>5100</v>
      </c>
      <c r="AF11" s="276">
        <v>5100</v>
      </c>
      <c r="AH11" s="116" t="s">
        <v>174</v>
      </c>
      <c r="AI11" s="120">
        <v>90000</v>
      </c>
      <c r="AJ11" s="122">
        <v>367161.59999999998</v>
      </c>
      <c r="AK11" s="119">
        <f t="shared" si="2"/>
        <v>4.0795733333333333</v>
      </c>
      <c r="AM11" s="273">
        <v>46065</v>
      </c>
      <c r="AN11" s="274">
        <v>128860</v>
      </c>
      <c r="AO11" s="275" t="s">
        <v>22</v>
      </c>
      <c r="AP11" s="275" t="s">
        <v>70</v>
      </c>
      <c r="AQ11" s="275" t="s">
        <v>56</v>
      </c>
      <c r="AR11" s="275" t="s">
        <v>30</v>
      </c>
      <c r="AS11" s="275">
        <v>1</v>
      </c>
      <c r="AT11" s="276">
        <v>356.4</v>
      </c>
      <c r="AU11" s="276">
        <v>356.4</v>
      </c>
      <c r="AV11" s="276">
        <v>427.67999999999989</v>
      </c>
      <c r="AY11" s="116" t="s">
        <v>375</v>
      </c>
      <c r="AZ11" s="120">
        <v>90000</v>
      </c>
      <c r="BA11" s="122">
        <v>72913.14</v>
      </c>
      <c r="BB11" s="119">
        <f t="shared" si="3"/>
        <v>0.81014600000000003</v>
      </c>
      <c r="BD11" s="291">
        <v>46092</v>
      </c>
      <c r="BE11" s="292">
        <v>134510</v>
      </c>
      <c r="BF11" s="292" t="s">
        <v>31</v>
      </c>
      <c r="BG11" s="292" t="s">
        <v>96</v>
      </c>
      <c r="BH11" s="292" t="s">
        <v>24</v>
      </c>
      <c r="BI11" s="292" t="s">
        <v>25</v>
      </c>
      <c r="BJ11" s="293">
        <v>14</v>
      </c>
      <c r="BK11" s="294">
        <v>178.5</v>
      </c>
      <c r="BL11" s="295">
        <v>2499</v>
      </c>
      <c r="BM11" s="299">
        <v>2998.8</v>
      </c>
      <c r="BO11" s="116" t="s">
        <v>174</v>
      </c>
      <c r="BP11" s="120">
        <v>90000</v>
      </c>
      <c r="BQ11" s="122">
        <v>99854.09</v>
      </c>
      <c r="BR11" s="119">
        <f t="shared" si="4"/>
        <v>1.1094898888888889</v>
      </c>
      <c r="BS11" s="119"/>
      <c r="BT11" s="286"/>
      <c r="BU11" s="291">
        <v>46092</v>
      </c>
      <c r="BV11" s="292">
        <v>139465</v>
      </c>
      <c r="BW11" s="292" t="s">
        <v>44</v>
      </c>
      <c r="BX11" s="292" t="s">
        <v>101</v>
      </c>
      <c r="BY11" s="292" t="s">
        <v>102</v>
      </c>
      <c r="BZ11" s="292" t="s">
        <v>30</v>
      </c>
      <c r="CA11" s="293">
        <v>1</v>
      </c>
      <c r="CB11" s="294">
        <v>3844.54</v>
      </c>
      <c r="CC11" s="295">
        <v>3844.54</v>
      </c>
      <c r="CD11" s="295">
        <v>3844.54</v>
      </c>
      <c r="CF11" s="116" t="s">
        <v>174</v>
      </c>
      <c r="CG11" s="120">
        <v>90000</v>
      </c>
      <c r="CH11" s="122">
        <v>7400</v>
      </c>
      <c r="CI11" s="119">
        <f t="shared" si="5"/>
        <v>8.2222222222222224E-2</v>
      </c>
      <c r="CK11" s="302" t="s">
        <v>150</v>
      </c>
      <c r="CL11" s="303"/>
      <c r="CM11" s="303"/>
      <c r="CN11" s="303"/>
      <c r="CO11" s="303"/>
      <c r="CP11" s="303"/>
      <c r="CQ11" s="303"/>
      <c r="CR11" s="303"/>
      <c r="CS11" s="304">
        <v>7701.26</v>
      </c>
      <c r="CT11" s="304">
        <v>7701.26</v>
      </c>
      <c r="CW11" s="341" t="s">
        <v>375</v>
      </c>
      <c r="CX11" s="344">
        <v>90000</v>
      </c>
      <c r="CY11" s="346">
        <v>55648</v>
      </c>
      <c r="CZ11" s="343">
        <f t="shared" si="6"/>
        <v>0.61831111111111114</v>
      </c>
      <c r="DA11" s="111"/>
      <c r="DB11" s="332">
        <v>46119</v>
      </c>
      <c r="DC11" s="333">
        <v>140964</v>
      </c>
      <c r="DD11" s="333" t="s">
        <v>31</v>
      </c>
      <c r="DE11" s="333" t="s">
        <v>120</v>
      </c>
      <c r="DF11" s="333" t="s">
        <v>121</v>
      </c>
      <c r="DG11" s="333" t="s">
        <v>30</v>
      </c>
      <c r="DH11" s="333">
        <v>1</v>
      </c>
      <c r="DI11" s="334">
        <v>712.8</v>
      </c>
      <c r="DJ11" s="334">
        <v>712.8</v>
      </c>
      <c r="DK11" s="334">
        <v>855.3599999999999</v>
      </c>
      <c r="DM11" s="116" t="s">
        <v>174</v>
      </c>
      <c r="DN11" s="120">
        <v>90000</v>
      </c>
      <c r="DO11" s="122">
        <v>45200</v>
      </c>
      <c r="DP11" s="119">
        <f t="shared" si="7"/>
        <v>0.50222222222222224</v>
      </c>
      <c r="DQ11" s="119"/>
      <c r="DR11" s="286"/>
      <c r="DS11" s="318" t="s">
        <v>150</v>
      </c>
      <c r="DT11" s="322"/>
      <c r="DU11" s="322"/>
      <c r="DV11" s="322"/>
      <c r="DW11" s="322"/>
      <c r="DX11" s="322"/>
      <c r="DY11" s="323"/>
      <c r="DZ11" s="324"/>
      <c r="EA11" s="319">
        <f>SUM(EA8:EA10)</f>
        <v>50424.65</v>
      </c>
      <c r="EB11" s="319">
        <f>SUM(EB8:EB10)</f>
        <v>50424.65</v>
      </c>
      <c r="ED11" s="116" t="s">
        <v>174</v>
      </c>
      <c r="EE11" s="120">
        <v>90000</v>
      </c>
      <c r="EF11" s="122">
        <v>38800.639999999999</v>
      </c>
      <c r="EG11" s="119">
        <f t="shared" si="8"/>
        <v>0.43111822222222224</v>
      </c>
      <c r="EI11" s="316">
        <v>46126</v>
      </c>
      <c r="EJ11" s="199">
        <v>125596</v>
      </c>
      <c r="EK11" s="199" t="s">
        <v>22</v>
      </c>
      <c r="EL11" s="199" t="s">
        <v>67</v>
      </c>
      <c r="EM11" s="199" t="s">
        <v>24</v>
      </c>
      <c r="EN11" s="199" t="s">
        <v>25</v>
      </c>
      <c r="EO11" s="199">
        <v>43</v>
      </c>
      <c r="EP11" s="317">
        <v>169.78</v>
      </c>
      <c r="EQ11" s="317">
        <v>7300.54</v>
      </c>
      <c r="ER11" s="317">
        <v>7300.54</v>
      </c>
    </row>
    <row r="12" spans="1:148" x14ac:dyDescent="0.3">
      <c r="A12" s="116" t="s">
        <v>376</v>
      </c>
      <c r="B12" s="120">
        <f>90000*3</f>
        <v>270000</v>
      </c>
      <c r="C12" s="258">
        <f>C11+S11+AJ11</f>
        <v>561188.39999999991</v>
      </c>
      <c r="D12" s="119">
        <f t="shared" si="0"/>
        <v>2.0784755555555554</v>
      </c>
      <c r="F12" s="273">
        <v>46066</v>
      </c>
      <c r="G12" s="274">
        <v>138101</v>
      </c>
      <c r="H12" s="275" t="s">
        <v>31</v>
      </c>
      <c r="I12" s="275" t="s">
        <v>77</v>
      </c>
      <c r="J12" s="275" t="s">
        <v>24</v>
      </c>
      <c r="K12" s="275" t="s">
        <v>25</v>
      </c>
      <c r="L12" s="275">
        <v>24</v>
      </c>
      <c r="M12" s="276">
        <v>125</v>
      </c>
      <c r="N12" s="276">
        <v>3000</v>
      </c>
      <c r="O12" s="276">
        <v>3600</v>
      </c>
      <c r="Q12" s="116" t="s">
        <v>376</v>
      </c>
      <c r="R12" s="120">
        <f>90000*3</f>
        <v>270000</v>
      </c>
      <c r="S12" s="258">
        <f>C12</f>
        <v>561188.39999999991</v>
      </c>
      <c r="T12" s="119">
        <f t="shared" si="1"/>
        <v>2.0784755555555554</v>
      </c>
      <c r="U12" s="119"/>
      <c r="V12" s="286"/>
      <c r="W12" s="273">
        <v>46059</v>
      </c>
      <c r="X12" s="274">
        <v>137370</v>
      </c>
      <c r="Y12" s="275" t="s">
        <v>44</v>
      </c>
      <c r="Z12" s="275" t="s">
        <v>72</v>
      </c>
      <c r="AA12" s="275" t="s">
        <v>63</v>
      </c>
      <c r="AB12" s="275" t="s">
        <v>30</v>
      </c>
      <c r="AC12" s="275">
        <v>20</v>
      </c>
      <c r="AD12" s="276">
        <v>90</v>
      </c>
      <c r="AE12" s="276">
        <v>1800</v>
      </c>
      <c r="AF12" s="276">
        <v>1800</v>
      </c>
      <c r="AH12" s="116" t="s">
        <v>376</v>
      </c>
      <c r="AI12" s="120">
        <f>90000*3</f>
        <v>270000</v>
      </c>
      <c r="AJ12" s="258">
        <f>C12</f>
        <v>561188.39999999991</v>
      </c>
      <c r="AK12" s="119">
        <f t="shared" si="2"/>
        <v>2.0784755555555554</v>
      </c>
      <c r="AM12" s="273">
        <v>46078</v>
      </c>
      <c r="AN12" s="274" t="s">
        <v>81</v>
      </c>
      <c r="AO12" s="275" t="s">
        <v>22</v>
      </c>
      <c r="AP12" s="275" t="s">
        <v>82</v>
      </c>
      <c r="AQ12" s="275" t="s">
        <v>47</v>
      </c>
      <c r="AR12" s="275" t="s">
        <v>25</v>
      </c>
      <c r="AS12" s="275">
        <v>316</v>
      </c>
      <c r="AT12" s="276">
        <v>200</v>
      </c>
      <c r="AU12" s="276">
        <v>63200</v>
      </c>
      <c r="AV12" s="276">
        <v>63200</v>
      </c>
      <c r="AY12" s="116" t="s">
        <v>376</v>
      </c>
      <c r="AZ12" s="120">
        <f>90000*3</f>
        <v>270000</v>
      </c>
      <c r="BA12" s="258">
        <f>BA11+BQ11+CH11</f>
        <v>180167.22999999998</v>
      </c>
      <c r="BB12" s="119">
        <f t="shared" si="3"/>
        <v>0.66728603703703693</v>
      </c>
      <c r="BD12" s="291">
        <v>46092</v>
      </c>
      <c r="BE12" s="292">
        <v>139165</v>
      </c>
      <c r="BF12" s="292" t="s">
        <v>31</v>
      </c>
      <c r="BG12" s="292" t="s">
        <v>93</v>
      </c>
      <c r="BH12" s="292" t="s">
        <v>40</v>
      </c>
      <c r="BI12" s="292" t="s">
        <v>41</v>
      </c>
      <c r="BJ12" s="293">
        <v>1</v>
      </c>
      <c r="BK12" s="294">
        <v>7472.2</v>
      </c>
      <c r="BL12" s="295">
        <v>7472.2</v>
      </c>
      <c r="BM12" s="299">
        <v>8966.64</v>
      </c>
      <c r="BO12" s="116" t="s">
        <v>376</v>
      </c>
      <c r="BP12" s="120">
        <f>90000*3</f>
        <v>270000</v>
      </c>
      <c r="BQ12" s="258">
        <f>BA12</f>
        <v>180167.22999999998</v>
      </c>
      <c r="BR12" s="119">
        <f t="shared" si="4"/>
        <v>0.66728603703703693</v>
      </c>
      <c r="BS12" s="119"/>
      <c r="BT12" s="286"/>
      <c r="BU12" s="291">
        <v>46092</v>
      </c>
      <c r="BV12" s="292">
        <v>139463</v>
      </c>
      <c r="BW12" s="292" t="s">
        <v>44</v>
      </c>
      <c r="BX12" s="292" t="s">
        <v>101</v>
      </c>
      <c r="BY12" s="292" t="s">
        <v>47</v>
      </c>
      <c r="BZ12" s="292" t="s">
        <v>30</v>
      </c>
      <c r="CA12" s="293" t="s">
        <v>103</v>
      </c>
      <c r="CB12" s="294">
        <v>285.62</v>
      </c>
      <c r="CC12" s="295">
        <v>4284.3</v>
      </c>
      <c r="CD12" s="295">
        <v>4284.3</v>
      </c>
      <c r="CF12" s="116" t="s">
        <v>376</v>
      </c>
      <c r="CG12" s="120">
        <f>90000*3</f>
        <v>270000</v>
      </c>
      <c r="CH12" s="258">
        <f>BA12</f>
        <v>180167.22999999998</v>
      </c>
      <c r="CI12" s="119">
        <f t="shared" si="5"/>
        <v>0.66728603703703693</v>
      </c>
      <c r="CK12" s="247"/>
      <c r="CL12" s="248"/>
      <c r="CM12" s="246"/>
      <c r="CN12" s="246"/>
      <c r="CO12" s="246"/>
      <c r="CP12" s="246"/>
      <c r="CQ12" s="246"/>
      <c r="CR12" s="249"/>
      <c r="CS12" s="249"/>
      <c r="CT12" s="249"/>
      <c r="CW12" s="341" t="s">
        <v>376</v>
      </c>
      <c r="CX12" s="344">
        <f>90000*3</f>
        <v>270000</v>
      </c>
      <c r="CY12" s="347">
        <f>CY11+DO11+EF11</f>
        <v>139648.64000000001</v>
      </c>
      <c r="CZ12" s="343">
        <f t="shared" si="6"/>
        <v>0.51721718518518522</v>
      </c>
      <c r="DA12" s="111"/>
      <c r="DB12" s="332">
        <v>46120</v>
      </c>
      <c r="DC12" s="333">
        <v>140153</v>
      </c>
      <c r="DD12" s="333" t="s">
        <v>31</v>
      </c>
      <c r="DE12" s="333" t="s">
        <v>122</v>
      </c>
      <c r="DF12" s="333" t="s">
        <v>35</v>
      </c>
      <c r="DG12" s="333" t="s">
        <v>35</v>
      </c>
      <c r="DH12" s="333">
        <v>48</v>
      </c>
      <c r="DI12" s="334">
        <v>176</v>
      </c>
      <c r="DJ12" s="334">
        <v>8448</v>
      </c>
      <c r="DK12" s="334">
        <v>8448</v>
      </c>
      <c r="DM12" s="116" t="s">
        <v>376</v>
      </c>
      <c r="DN12" s="120">
        <f>90000*3</f>
        <v>270000</v>
      </c>
      <c r="DO12" s="258">
        <f>CY12</f>
        <v>139648.64000000001</v>
      </c>
      <c r="DP12" s="119">
        <f t="shared" si="7"/>
        <v>0.51721718518518522</v>
      </c>
      <c r="DQ12" s="119"/>
      <c r="DR12" s="286"/>
      <c r="DS12" s="311"/>
      <c r="DT12" s="312"/>
      <c r="DU12" s="312"/>
      <c r="DV12" s="312"/>
      <c r="DW12" s="312"/>
      <c r="DX12" s="312"/>
      <c r="DY12" s="313"/>
      <c r="DZ12" s="314"/>
      <c r="EA12" s="315"/>
      <c r="EB12" s="315"/>
      <c r="ED12" s="116" t="s">
        <v>376</v>
      </c>
      <c r="EE12" s="120">
        <f>90000*3</f>
        <v>270000</v>
      </c>
      <c r="EF12" s="258">
        <f>CY12</f>
        <v>139648.64000000001</v>
      </c>
      <c r="EG12" s="119">
        <f t="shared" si="8"/>
        <v>0.51721718518518522</v>
      </c>
      <c r="EI12" s="316">
        <v>46140</v>
      </c>
      <c r="EJ12" s="199">
        <v>142146</v>
      </c>
      <c r="EK12" s="199" t="s">
        <v>22</v>
      </c>
      <c r="EL12" s="199" t="s">
        <v>87</v>
      </c>
      <c r="EM12" s="199" t="s">
        <v>69</v>
      </c>
      <c r="EN12" s="199" t="s">
        <v>41</v>
      </c>
      <c r="EO12" s="199">
        <v>1</v>
      </c>
      <c r="EP12" s="317">
        <v>10500</v>
      </c>
      <c r="EQ12" s="317">
        <v>10500</v>
      </c>
      <c r="ER12" s="317">
        <v>10500</v>
      </c>
    </row>
    <row r="13" spans="1:148" ht="18" customHeight="1" x14ac:dyDescent="0.35">
      <c r="A13" s="259" t="str">
        <f>IF(C9&lt;6500,"NÃO CUMPRIU A META INDIVIDUAL","CUMPRIU A META INDIVIDUAL")</f>
        <v>NÃO CUMPRIU A META INDIVIDUAL</v>
      </c>
      <c r="B13" s="257"/>
      <c r="C13" s="257"/>
      <c r="D13" s="256"/>
      <c r="F13" s="273">
        <v>46070</v>
      </c>
      <c r="G13" s="274" t="s">
        <v>78</v>
      </c>
      <c r="H13" s="275" t="s">
        <v>31</v>
      </c>
      <c r="I13" s="275" t="s">
        <v>79</v>
      </c>
      <c r="J13" s="275" t="s">
        <v>35</v>
      </c>
      <c r="K13" s="275" t="s">
        <v>35</v>
      </c>
      <c r="L13" s="275">
        <v>236</v>
      </c>
      <c r="M13" s="276">
        <v>176</v>
      </c>
      <c r="N13" s="276">
        <v>41536</v>
      </c>
      <c r="O13" s="276">
        <v>41536</v>
      </c>
      <c r="Q13" s="268" t="str">
        <f>IF(S9&lt;6500,"NÃO CUMPRIU A META INDIVIDUAL","CUMPRIU A META INDIVIDUAL")</f>
        <v>CUMPRIU A META INDIVIDUAL</v>
      </c>
      <c r="R13" s="269"/>
      <c r="S13" s="269"/>
      <c r="T13" s="267"/>
      <c r="U13" s="267"/>
      <c r="V13" s="72"/>
      <c r="W13" s="273">
        <v>46059</v>
      </c>
      <c r="X13" s="274">
        <v>137370</v>
      </c>
      <c r="Y13" s="275" t="s">
        <v>44</v>
      </c>
      <c r="Z13" s="275" t="s">
        <v>72</v>
      </c>
      <c r="AA13" s="275" t="s">
        <v>48</v>
      </c>
      <c r="AB13" s="275" t="s">
        <v>30</v>
      </c>
      <c r="AC13" s="275">
        <v>1</v>
      </c>
      <c r="AD13" s="276">
        <v>330</v>
      </c>
      <c r="AE13" s="276">
        <v>330</v>
      </c>
      <c r="AF13" s="276">
        <v>330</v>
      </c>
      <c r="AH13" s="268" t="str">
        <f>IF(AJ10&lt;6500,"NÃO CUMPRIU A META INDIVIDUAL","CUMPRIU A META INDIVIDUAL")</f>
        <v>CUMPRIU A META INDIVIDUAL</v>
      </c>
      <c r="AI13" s="269"/>
      <c r="AJ13" s="269"/>
      <c r="AK13" s="267"/>
      <c r="AM13" s="273">
        <v>46078</v>
      </c>
      <c r="AN13" s="274" t="s">
        <v>81</v>
      </c>
      <c r="AO13" s="275" t="s">
        <v>22</v>
      </c>
      <c r="AP13" s="275" t="s">
        <v>82</v>
      </c>
      <c r="AQ13" s="275" t="s">
        <v>47</v>
      </c>
      <c r="AR13" s="275" t="s">
        <v>41</v>
      </c>
      <c r="AS13" s="275">
        <v>1</v>
      </c>
      <c r="AT13" s="276">
        <v>35502.9</v>
      </c>
      <c r="AU13" s="276">
        <v>35502.9</v>
      </c>
      <c r="AV13" s="276">
        <v>35502.9</v>
      </c>
      <c r="AY13" s="259" t="str">
        <f>IF(BA9&lt;7000,"NÃO CUMPRIU A META INDIVIDUAL","CUMPRIU A META INDIVIDUAL")</f>
        <v>NÃO CUMPRIU A META INDIVIDUAL</v>
      </c>
      <c r="AZ13" s="257"/>
      <c r="BA13" s="257"/>
      <c r="BB13" s="256"/>
      <c r="BD13" s="291">
        <v>46092</v>
      </c>
      <c r="BE13" s="292">
        <v>138115</v>
      </c>
      <c r="BF13" s="292" t="s">
        <v>31</v>
      </c>
      <c r="BG13" s="292" t="s">
        <v>97</v>
      </c>
      <c r="BH13" s="292" t="s">
        <v>35</v>
      </c>
      <c r="BI13" s="292" t="s">
        <v>35</v>
      </c>
      <c r="BJ13" s="293">
        <v>6</v>
      </c>
      <c r="BK13" s="294">
        <v>176</v>
      </c>
      <c r="BL13" s="295">
        <v>1056</v>
      </c>
      <c r="BM13" s="299">
        <v>1056</v>
      </c>
      <c r="BO13" s="268" t="str">
        <f>IF(BQ9&lt;10000,"NÃO CUMPRIU A META INDIVIDUAL","CUMPRIU A META INDIVIDUAL")</f>
        <v>CUMPRIU A META INDIVIDUAL</v>
      </c>
      <c r="BP13" s="269"/>
      <c r="BQ13" s="269"/>
      <c r="BR13" s="267"/>
      <c r="BS13" s="267"/>
      <c r="BT13" s="72"/>
      <c r="BU13" s="291">
        <v>46092</v>
      </c>
      <c r="BV13" s="292">
        <v>139463</v>
      </c>
      <c r="BW13" s="292" t="s">
        <v>44</v>
      </c>
      <c r="BX13" s="292" t="s">
        <v>101</v>
      </c>
      <c r="BY13" s="292" t="s">
        <v>54</v>
      </c>
      <c r="BZ13" s="292" t="s">
        <v>30</v>
      </c>
      <c r="CA13" s="293" t="s">
        <v>103</v>
      </c>
      <c r="CB13" s="294">
        <v>148</v>
      </c>
      <c r="CC13" s="295">
        <v>2220</v>
      </c>
      <c r="CD13" s="295">
        <v>2220</v>
      </c>
      <c r="CF13" s="289" t="str">
        <f>IF(CH9&lt;10000,"NÃO CUMPRIU A META INDIVIDUAL","CUMPRIU A META INDIVIDUAL")</f>
        <v>NÃO CUMPRIU A META INDIVIDUAL</v>
      </c>
      <c r="CG13" s="290"/>
      <c r="CH13" s="290"/>
      <c r="CI13" s="256"/>
      <c r="CK13" s="247"/>
      <c r="CL13" s="248"/>
      <c r="CM13" s="246"/>
      <c r="CN13" s="246"/>
      <c r="CO13" s="246"/>
      <c r="CP13" s="246"/>
      <c r="CQ13" s="246"/>
      <c r="CR13" s="249"/>
      <c r="CS13" s="249"/>
      <c r="CT13" s="249"/>
      <c r="CW13" s="348" t="str">
        <f>IF(CY9&lt;7000,"NÃO CUMPRIU A META INDIVIDUAL","CUMPRIU A META INDIVIDUAL")</f>
        <v>NÃO CUMPRIU A META INDIVIDUAL</v>
      </c>
      <c r="CX13" s="349"/>
      <c r="CY13" s="349"/>
      <c r="CZ13" s="350"/>
      <c r="DA13" s="111"/>
      <c r="DB13" s="332">
        <v>46126</v>
      </c>
      <c r="DC13" s="333">
        <v>141238</v>
      </c>
      <c r="DD13" s="333" t="s">
        <v>31</v>
      </c>
      <c r="DE13" s="333" t="s">
        <v>57</v>
      </c>
      <c r="DF13" s="333" t="s">
        <v>69</v>
      </c>
      <c r="DG13" s="333" t="s">
        <v>30</v>
      </c>
      <c r="DH13" s="333">
        <v>1</v>
      </c>
      <c r="DI13" s="334">
        <v>1530</v>
      </c>
      <c r="DJ13" s="334">
        <v>1530</v>
      </c>
      <c r="DK13" s="334">
        <v>1836</v>
      </c>
      <c r="DM13" s="289" t="str">
        <f>IF(DO9&lt;10000,"NÃO CUMPRIU A META INDIVIDUAL","CUMPRIU A META INDIVIDUAL")</f>
        <v>NÃO CUMPRIU A META INDIVIDUAL</v>
      </c>
      <c r="DN13" s="290"/>
      <c r="DO13" s="290"/>
      <c r="DP13" s="256"/>
      <c r="DQ13" s="256"/>
      <c r="DR13" s="72"/>
      <c r="DS13" s="311"/>
      <c r="DT13" s="312"/>
      <c r="DU13" s="312"/>
      <c r="DV13" s="312"/>
      <c r="DW13" s="312"/>
      <c r="DX13" s="312"/>
      <c r="DY13" s="313"/>
      <c r="DZ13" s="314"/>
      <c r="EA13" s="315"/>
      <c r="EB13" s="315"/>
      <c r="ED13" s="289" t="str">
        <f>IF(EF9&lt;10000,"NÃO CUMPRIU A META INDIVIDUAL","CUMPRIU A META INDIVIDUAL")</f>
        <v>NÃO CUMPRIU A META INDIVIDUAL</v>
      </c>
      <c r="EE13" s="290"/>
      <c r="EF13" s="290"/>
      <c r="EG13" s="256"/>
      <c r="EI13" s="316">
        <v>46140</v>
      </c>
      <c r="EJ13" s="199">
        <v>142146</v>
      </c>
      <c r="EK13" s="199" t="s">
        <v>22</v>
      </c>
      <c r="EL13" s="199" t="s">
        <v>87</v>
      </c>
      <c r="EM13" s="199" t="s">
        <v>69</v>
      </c>
      <c r="EN13" s="199" t="s">
        <v>30</v>
      </c>
      <c r="EO13" s="199">
        <v>1</v>
      </c>
      <c r="EP13" s="317">
        <v>1700</v>
      </c>
      <c r="EQ13" s="317">
        <v>1700</v>
      </c>
      <c r="ER13" s="317">
        <v>1700</v>
      </c>
    </row>
    <row r="14" spans="1:148" ht="18" customHeight="1" x14ac:dyDescent="0.35">
      <c r="A14" s="266" t="str">
        <f>IF(C10&lt;26500,"NÃO CUMPRIU A META EQUIPE","CUMPRIU A META EQUIPE")</f>
        <v>CUMPRIU A META EQUIPE</v>
      </c>
      <c r="B14" s="266"/>
      <c r="C14" s="266"/>
      <c r="D14" s="267"/>
      <c r="F14" s="273">
        <v>46072</v>
      </c>
      <c r="G14" s="274">
        <v>135372</v>
      </c>
      <c r="H14" s="275" t="s">
        <v>31</v>
      </c>
      <c r="I14" s="275" t="s">
        <v>70</v>
      </c>
      <c r="J14" s="275" t="s">
        <v>35</v>
      </c>
      <c r="K14" s="275" t="s">
        <v>35</v>
      </c>
      <c r="L14" s="275">
        <v>24</v>
      </c>
      <c r="M14" s="276">
        <v>176</v>
      </c>
      <c r="N14" s="276">
        <v>4224</v>
      </c>
      <c r="O14" s="276">
        <v>4224</v>
      </c>
      <c r="Q14" s="266" t="str">
        <f>IF(S10&lt;26500,"NÃO CUMPRIU A META EQUIPE","CUMPRIU A META EQUIPE")</f>
        <v>CUMPRIU A META EQUIPE</v>
      </c>
      <c r="R14" s="266"/>
      <c r="S14" s="266"/>
      <c r="T14" s="267"/>
      <c r="U14" s="267"/>
      <c r="V14" s="72"/>
      <c r="W14" s="273">
        <v>46065</v>
      </c>
      <c r="X14" s="274">
        <v>138938</v>
      </c>
      <c r="Y14" s="275" t="s">
        <v>44</v>
      </c>
      <c r="Z14" s="275" t="s">
        <v>76</v>
      </c>
      <c r="AA14" s="275" t="s">
        <v>63</v>
      </c>
      <c r="AB14" s="275" t="s">
        <v>25</v>
      </c>
      <c r="AC14" s="275">
        <v>80</v>
      </c>
      <c r="AD14" s="276">
        <v>212</v>
      </c>
      <c r="AE14" s="276">
        <v>16960</v>
      </c>
      <c r="AF14" s="276">
        <v>16960</v>
      </c>
      <c r="AH14" s="266" t="str">
        <f>IF(AJ11&lt;26500,"NÃO CUMPRIU A META EQUIPE","CUMPRIU A META EQUIPE")</f>
        <v>CUMPRIU A META EQUIPE</v>
      </c>
      <c r="AI14" s="266"/>
      <c r="AJ14" s="266"/>
      <c r="AK14" s="267"/>
      <c r="AM14" s="273">
        <v>46078</v>
      </c>
      <c r="AN14" s="274" t="s">
        <v>81</v>
      </c>
      <c r="AO14" s="275" t="s">
        <v>22</v>
      </c>
      <c r="AP14" s="275" t="s">
        <v>82</v>
      </c>
      <c r="AQ14" s="275" t="s">
        <v>47</v>
      </c>
      <c r="AR14" s="275" t="s">
        <v>30</v>
      </c>
      <c r="AS14" s="275">
        <v>15</v>
      </c>
      <c r="AT14" s="276">
        <v>275.62</v>
      </c>
      <c r="AU14" s="276">
        <v>4134.3</v>
      </c>
      <c r="AV14" s="276">
        <v>4134.3</v>
      </c>
      <c r="AY14" s="288" t="str">
        <f>IF(BA10&lt;27000,"NÃO CUMPRIU A META EQUIPE","CUMPRIU A META EQUIPE")</f>
        <v>NÃO CUMPRIU A META EQUIPE</v>
      </c>
      <c r="AZ14" s="288"/>
      <c r="BA14" s="288"/>
      <c r="BB14" s="256"/>
      <c r="BD14" s="291">
        <v>46092</v>
      </c>
      <c r="BE14" s="292">
        <v>137749</v>
      </c>
      <c r="BF14" s="292" t="s">
        <v>31</v>
      </c>
      <c r="BG14" s="292" t="s">
        <v>98</v>
      </c>
      <c r="BH14" s="292" t="s">
        <v>35</v>
      </c>
      <c r="BI14" s="292" t="s">
        <v>35</v>
      </c>
      <c r="BJ14" s="293">
        <v>20</v>
      </c>
      <c r="BK14" s="294">
        <v>176</v>
      </c>
      <c r="BL14" s="295">
        <v>3520</v>
      </c>
      <c r="BM14" s="295">
        <v>3520</v>
      </c>
      <c r="BO14" s="288" t="str">
        <f>IF(BQ10&lt;26500,"NÃO CUMPRIU A META EQUIPE","CUMPRIU A META EQUIPE")</f>
        <v>NÃO CUMPRIU A META EQUIPE</v>
      </c>
      <c r="BP14" s="288"/>
      <c r="BQ14" s="288"/>
      <c r="BR14" s="256"/>
      <c r="BS14" s="256"/>
      <c r="BT14" s="72"/>
      <c r="BU14" s="291">
        <v>46092</v>
      </c>
      <c r="BV14" s="292">
        <v>139463</v>
      </c>
      <c r="BW14" s="292" t="s">
        <v>44</v>
      </c>
      <c r="BX14" s="292" t="s">
        <v>101</v>
      </c>
      <c r="BY14" s="292" t="s">
        <v>89</v>
      </c>
      <c r="BZ14" s="292" t="s">
        <v>30</v>
      </c>
      <c r="CA14" s="293">
        <v>1</v>
      </c>
      <c r="CB14" s="294">
        <v>356.4</v>
      </c>
      <c r="CC14" s="295">
        <v>356.4</v>
      </c>
      <c r="CD14" s="295">
        <v>356.4</v>
      </c>
      <c r="CF14" s="288" t="str">
        <f>IF(CH11&lt;26500,"NÃO CUMPRIU A META EQUIPE","CUMPRIU A META EQUIPE")</f>
        <v>NÃO CUMPRIU A META EQUIPE</v>
      </c>
      <c r="CG14" s="288"/>
      <c r="CH14" s="288"/>
      <c r="CI14" s="256"/>
      <c r="CK14" s="247"/>
      <c r="CL14" s="248"/>
      <c r="CM14" s="246"/>
      <c r="CN14" s="246"/>
      <c r="CO14" s="246"/>
      <c r="CP14" s="246"/>
      <c r="CQ14" s="246"/>
      <c r="CR14" s="249"/>
      <c r="CS14" s="249"/>
      <c r="CT14" s="249"/>
      <c r="CW14" s="351" t="str">
        <f>IF(CY10&lt;27000,"NÃO CUMPRIU A META EQUIPE","CUMPRIU A META EQUIPE")</f>
        <v>NÃO CUMPRIU A META EQUIPE</v>
      </c>
      <c r="CX14" s="351"/>
      <c r="CY14" s="351"/>
      <c r="CZ14" s="350"/>
      <c r="DA14" s="111"/>
      <c r="DB14" s="332">
        <v>46126</v>
      </c>
      <c r="DC14" s="333">
        <v>141238</v>
      </c>
      <c r="DD14" s="333" t="s">
        <v>31</v>
      </c>
      <c r="DE14" s="333" t="s">
        <v>57</v>
      </c>
      <c r="DF14" s="333" t="s">
        <v>69</v>
      </c>
      <c r="DG14" s="333" t="s">
        <v>41</v>
      </c>
      <c r="DH14" s="333">
        <v>1</v>
      </c>
      <c r="DI14" s="334">
        <v>10480</v>
      </c>
      <c r="DJ14" s="334">
        <v>10480</v>
      </c>
      <c r="DK14" s="334">
        <v>12576</v>
      </c>
      <c r="DM14" s="288" t="str">
        <f>IF(DO10&lt;26500,"NÃO CUMPRIU A META EQUIPE","CUMPRIU A META EQUIPE")</f>
        <v>NÃO CUMPRIU A META EQUIPE</v>
      </c>
      <c r="DN14" s="288"/>
      <c r="DO14" s="288"/>
      <c r="DP14" s="256"/>
      <c r="DQ14" s="256"/>
      <c r="DR14" s="72"/>
      <c r="DS14" s="311"/>
      <c r="DT14" s="312"/>
      <c r="DU14" s="312"/>
      <c r="DV14" s="312"/>
      <c r="DW14" s="312"/>
      <c r="DX14" s="312"/>
      <c r="DY14" s="313"/>
      <c r="DZ14" s="314"/>
      <c r="EA14" s="315"/>
      <c r="EB14" s="315"/>
      <c r="ED14" s="288" t="str">
        <f>IF(EF10&lt;26500,"NÃO CUMPRIU A META EQUIPE","CUMPRIU A META EQUIPE")</f>
        <v>NÃO CUMPRIU A META EQUIPE</v>
      </c>
      <c r="EE14" s="288"/>
      <c r="EF14" s="288"/>
      <c r="EG14" s="256"/>
      <c r="EI14" s="316">
        <v>46140</v>
      </c>
      <c r="EJ14" s="199">
        <v>142325</v>
      </c>
      <c r="EK14" s="199" t="s">
        <v>22</v>
      </c>
      <c r="EL14" s="199" t="s">
        <v>82</v>
      </c>
      <c r="EM14" s="199" t="s">
        <v>69</v>
      </c>
      <c r="EN14" s="199" t="s">
        <v>41</v>
      </c>
      <c r="EO14" s="199">
        <v>1</v>
      </c>
      <c r="EP14" s="317">
        <v>10500</v>
      </c>
      <c r="EQ14" s="317">
        <v>10500</v>
      </c>
      <c r="ER14" s="317">
        <v>10500</v>
      </c>
    </row>
    <row r="15" spans="1:148" ht="15" customHeight="1" thickBot="1" x14ac:dyDescent="0.35">
      <c r="F15" s="273">
        <v>46076</v>
      </c>
      <c r="G15" s="274">
        <v>138313</v>
      </c>
      <c r="H15" s="275" t="s">
        <v>31</v>
      </c>
      <c r="I15" s="275" t="s">
        <v>80</v>
      </c>
      <c r="J15" s="275" t="s">
        <v>40</v>
      </c>
      <c r="K15" s="275" t="s">
        <v>41</v>
      </c>
      <c r="L15" s="275">
        <v>1</v>
      </c>
      <c r="M15" s="276">
        <v>3150.4</v>
      </c>
      <c r="N15" s="276">
        <v>3150.4</v>
      </c>
      <c r="O15" s="276">
        <v>3780.48</v>
      </c>
      <c r="V15" s="72"/>
      <c r="W15" s="273">
        <v>46065</v>
      </c>
      <c r="X15" s="274">
        <v>138938</v>
      </c>
      <c r="Y15" s="275" t="s">
        <v>44</v>
      </c>
      <c r="Z15" s="275" t="s">
        <v>76</v>
      </c>
      <c r="AA15" s="275" t="s">
        <v>63</v>
      </c>
      <c r="AB15" s="275" t="s">
        <v>30</v>
      </c>
      <c r="AC15" s="275">
        <v>30</v>
      </c>
      <c r="AD15" s="276">
        <v>109.25</v>
      </c>
      <c r="AE15" s="276">
        <v>3277.5</v>
      </c>
      <c r="AF15" s="276">
        <v>3277.5</v>
      </c>
      <c r="AM15" s="273">
        <v>46078</v>
      </c>
      <c r="AN15" s="274" t="s">
        <v>81</v>
      </c>
      <c r="AO15" s="275" t="s">
        <v>22</v>
      </c>
      <c r="AP15" s="275" t="s">
        <v>82</v>
      </c>
      <c r="AQ15" s="275" t="s">
        <v>63</v>
      </c>
      <c r="AR15" s="275" t="s">
        <v>30</v>
      </c>
      <c r="AS15" s="275">
        <v>40</v>
      </c>
      <c r="AT15" s="276">
        <v>115</v>
      </c>
      <c r="AU15" s="276">
        <v>4600</v>
      </c>
      <c r="AV15" s="276">
        <v>4600</v>
      </c>
      <c r="BD15" s="291">
        <v>46092</v>
      </c>
      <c r="BE15" s="292" t="s">
        <v>99</v>
      </c>
      <c r="BF15" s="292" t="s">
        <v>31</v>
      </c>
      <c r="BG15" s="292" t="s">
        <v>79</v>
      </c>
      <c r="BH15" s="292" t="s">
        <v>35</v>
      </c>
      <c r="BI15" s="292" t="s">
        <v>35</v>
      </c>
      <c r="BJ15" s="293">
        <v>56</v>
      </c>
      <c r="BK15" s="294">
        <v>176</v>
      </c>
      <c r="BL15" s="295">
        <v>9856</v>
      </c>
      <c r="BM15" s="295">
        <v>9856</v>
      </c>
      <c r="BT15" s="72"/>
      <c r="BU15" s="291">
        <v>46092</v>
      </c>
      <c r="BV15" s="292">
        <v>139463</v>
      </c>
      <c r="BW15" s="292" t="s">
        <v>44</v>
      </c>
      <c r="BX15" s="292" t="s">
        <v>101</v>
      </c>
      <c r="BY15" s="292" t="s">
        <v>63</v>
      </c>
      <c r="BZ15" s="292" t="s">
        <v>30</v>
      </c>
      <c r="CA15" s="293" t="s">
        <v>104</v>
      </c>
      <c r="CB15" s="294">
        <v>115</v>
      </c>
      <c r="CC15" s="295">
        <v>4600</v>
      </c>
      <c r="CD15" s="295">
        <v>4600</v>
      </c>
      <c r="CK15" s="247"/>
      <c r="CL15" s="248"/>
      <c r="CM15" s="246"/>
      <c r="CN15" s="246"/>
      <c r="CO15" s="246"/>
      <c r="CP15" s="246"/>
      <c r="CQ15" s="246"/>
      <c r="CR15" s="249"/>
      <c r="CS15" s="249"/>
      <c r="CT15" s="249"/>
      <c r="CW15" s="111"/>
      <c r="CX15" s="111"/>
      <c r="CY15" s="111"/>
      <c r="CZ15" s="111"/>
      <c r="DA15" s="111"/>
      <c r="DB15" s="332">
        <v>46131</v>
      </c>
      <c r="DC15" s="333">
        <v>140455</v>
      </c>
      <c r="DD15" s="333" t="s">
        <v>31</v>
      </c>
      <c r="DE15" s="333" t="s">
        <v>64</v>
      </c>
      <c r="DF15" s="333" t="s">
        <v>35</v>
      </c>
      <c r="DG15" s="333" t="s">
        <v>35</v>
      </c>
      <c r="DH15" s="333">
        <v>1</v>
      </c>
      <c r="DI15" s="334">
        <v>1056</v>
      </c>
      <c r="DJ15" s="334">
        <v>1056</v>
      </c>
      <c r="DK15" s="334">
        <v>1056</v>
      </c>
      <c r="DR15" s="72"/>
      <c r="DS15" s="311"/>
      <c r="DT15" s="312"/>
      <c r="DU15" s="312"/>
      <c r="DV15" s="312"/>
      <c r="DW15" s="312"/>
      <c r="DX15" s="312"/>
      <c r="DY15" s="313"/>
      <c r="DZ15" s="314"/>
      <c r="EA15" s="315"/>
      <c r="EB15" s="315"/>
      <c r="EI15" s="316">
        <v>46140</v>
      </c>
      <c r="EJ15" s="199">
        <v>142325</v>
      </c>
      <c r="EK15" s="199" t="s">
        <v>22</v>
      </c>
      <c r="EL15" s="199" t="s">
        <v>82</v>
      </c>
      <c r="EM15" s="199" t="s">
        <v>69</v>
      </c>
      <c r="EN15" s="199" t="s">
        <v>30</v>
      </c>
      <c r="EO15" s="199">
        <v>1</v>
      </c>
      <c r="EP15" s="317">
        <v>1700</v>
      </c>
      <c r="EQ15" s="317">
        <v>1700</v>
      </c>
      <c r="ER15" s="317">
        <v>1700</v>
      </c>
    </row>
    <row r="16" spans="1:148" ht="15" customHeight="1" thickTop="1" x14ac:dyDescent="0.3">
      <c r="F16" s="273">
        <v>46076</v>
      </c>
      <c r="G16" s="274">
        <v>138313</v>
      </c>
      <c r="H16" s="275" t="s">
        <v>31</v>
      </c>
      <c r="I16" s="275" t="s">
        <v>80</v>
      </c>
      <c r="J16" s="275" t="s">
        <v>24</v>
      </c>
      <c r="K16" s="275" t="s">
        <v>25</v>
      </c>
      <c r="L16" s="275">
        <v>40</v>
      </c>
      <c r="M16" s="276">
        <v>146.24</v>
      </c>
      <c r="N16" s="276">
        <v>5849.6</v>
      </c>
      <c r="O16" s="276">
        <v>7019.52</v>
      </c>
      <c r="V16" s="72"/>
      <c r="W16" s="277" t="s">
        <v>150</v>
      </c>
      <c r="X16" s="278"/>
      <c r="Y16" s="279"/>
      <c r="Z16" s="279"/>
      <c r="AA16" s="279"/>
      <c r="AB16" s="279"/>
      <c r="AC16" s="279"/>
      <c r="AD16" s="279"/>
      <c r="AE16" s="280">
        <v>110737.5</v>
      </c>
      <c r="AF16" s="280">
        <v>111337.5</v>
      </c>
      <c r="AM16" s="273">
        <v>46078</v>
      </c>
      <c r="AN16" s="274" t="s">
        <v>81</v>
      </c>
      <c r="AO16" s="275" t="s">
        <v>22</v>
      </c>
      <c r="AP16" s="275" t="s">
        <v>82</v>
      </c>
      <c r="AQ16" s="275" t="s">
        <v>48</v>
      </c>
      <c r="AR16" s="275" t="s">
        <v>30</v>
      </c>
      <c r="AS16" s="275">
        <v>1</v>
      </c>
      <c r="AT16" s="276">
        <v>356.4</v>
      </c>
      <c r="AU16" s="276">
        <v>356.4</v>
      </c>
      <c r="AV16" s="276">
        <v>356.4</v>
      </c>
      <c r="BD16" s="291">
        <v>46092</v>
      </c>
      <c r="BE16" s="292">
        <v>137391</v>
      </c>
      <c r="BF16" s="292" t="s">
        <v>31</v>
      </c>
      <c r="BG16" s="292" t="s">
        <v>100</v>
      </c>
      <c r="BH16" s="292" t="s">
        <v>35</v>
      </c>
      <c r="BI16" s="292" t="s">
        <v>35</v>
      </c>
      <c r="BJ16" s="293">
        <v>2</v>
      </c>
      <c r="BK16" s="294">
        <v>176</v>
      </c>
      <c r="BL16" s="295">
        <v>352</v>
      </c>
      <c r="BM16" s="295">
        <v>352</v>
      </c>
      <c r="BT16" s="72"/>
      <c r="BU16" s="291">
        <v>46094</v>
      </c>
      <c r="BV16" s="292">
        <v>116031</v>
      </c>
      <c r="BW16" s="292" t="s">
        <v>44</v>
      </c>
      <c r="BX16" s="292" t="s">
        <v>105</v>
      </c>
      <c r="BY16" s="292" t="s">
        <v>24</v>
      </c>
      <c r="BZ16" s="292" t="s">
        <v>25</v>
      </c>
      <c r="CA16" s="293">
        <v>101.75</v>
      </c>
      <c r="CB16" s="294">
        <v>162.44999999999999</v>
      </c>
      <c r="CC16" s="295">
        <v>16529.287499999999</v>
      </c>
      <c r="CD16" s="299">
        <v>16529.287499999999</v>
      </c>
      <c r="CK16" s="247"/>
      <c r="CL16" s="248"/>
      <c r="CM16" s="246"/>
      <c r="CN16" s="246"/>
      <c r="CO16" s="246"/>
      <c r="CP16" s="246"/>
      <c r="CQ16" s="246"/>
      <c r="CR16" s="249"/>
      <c r="CS16" s="249"/>
      <c r="CT16" s="249"/>
      <c r="CW16" s="111"/>
      <c r="CX16" s="111"/>
      <c r="CY16" s="111"/>
      <c r="CZ16" s="111"/>
      <c r="DA16" s="111"/>
      <c r="DB16" s="332">
        <v>46136</v>
      </c>
      <c r="DC16" s="333">
        <v>141764</v>
      </c>
      <c r="DD16" s="333" t="s">
        <v>31</v>
      </c>
      <c r="DE16" s="333" t="s">
        <v>124</v>
      </c>
      <c r="DF16" s="333" t="s">
        <v>35</v>
      </c>
      <c r="DG16" s="333" t="s">
        <v>35</v>
      </c>
      <c r="DH16" s="333">
        <v>2</v>
      </c>
      <c r="DI16" s="334">
        <v>176</v>
      </c>
      <c r="DJ16" s="334">
        <v>352</v>
      </c>
      <c r="DK16" s="334">
        <v>352</v>
      </c>
      <c r="DR16" s="72"/>
      <c r="DS16" s="311"/>
      <c r="DT16" s="312"/>
      <c r="DU16" s="312"/>
      <c r="DV16" s="312"/>
      <c r="DW16" s="312"/>
      <c r="DX16" s="312"/>
      <c r="DY16" s="313"/>
      <c r="DZ16" s="314"/>
      <c r="EA16" s="315"/>
      <c r="EB16" s="315"/>
      <c r="EI16" s="316">
        <v>46140</v>
      </c>
      <c r="EJ16" s="199">
        <v>142326</v>
      </c>
      <c r="EK16" s="199" t="s">
        <v>22</v>
      </c>
      <c r="EL16" s="199" t="s">
        <v>125</v>
      </c>
      <c r="EM16" s="199" t="s">
        <v>69</v>
      </c>
      <c r="EN16" s="199" t="s">
        <v>41</v>
      </c>
      <c r="EO16" s="199">
        <v>1</v>
      </c>
      <c r="EP16" s="317">
        <v>10500</v>
      </c>
      <c r="EQ16" s="317">
        <v>10500</v>
      </c>
      <c r="ER16" s="317">
        <v>10500</v>
      </c>
    </row>
    <row r="17" spans="1:148" x14ac:dyDescent="0.3">
      <c r="F17" s="273">
        <v>46078</v>
      </c>
      <c r="G17" s="274">
        <v>136629</v>
      </c>
      <c r="H17" s="275" t="s">
        <v>31</v>
      </c>
      <c r="I17" s="275" t="s">
        <v>90</v>
      </c>
      <c r="J17" s="275" t="s">
        <v>35</v>
      </c>
      <c r="K17" s="275" t="s">
        <v>35</v>
      </c>
      <c r="L17" s="275">
        <v>80</v>
      </c>
      <c r="M17" s="276">
        <v>150</v>
      </c>
      <c r="N17" s="276">
        <v>12000</v>
      </c>
      <c r="O17" s="276">
        <v>12000</v>
      </c>
      <c r="V17" s="72"/>
      <c r="AM17" s="273">
        <v>46078</v>
      </c>
      <c r="AN17" s="274" t="s">
        <v>81</v>
      </c>
      <c r="AO17" s="275" t="s">
        <v>22</v>
      </c>
      <c r="AP17" s="275" t="s">
        <v>82</v>
      </c>
      <c r="AQ17" s="275" t="s">
        <v>52</v>
      </c>
      <c r="AR17" s="275" t="s">
        <v>30</v>
      </c>
      <c r="AS17" s="275">
        <v>1</v>
      </c>
      <c r="AT17" s="276">
        <v>1080</v>
      </c>
      <c r="AU17" s="276">
        <v>1080</v>
      </c>
      <c r="AV17" s="276">
        <v>1080</v>
      </c>
      <c r="BD17" s="291">
        <v>46093</v>
      </c>
      <c r="BE17" s="292">
        <v>137729</v>
      </c>
      <c r="BF17" s="292" t="s">
        <v>31</v>
      </c>
      <c r="BG17" s="292" t="s">
        <v>65</v>
      </c>
      <c r="BH17" s="292" t="s">
        <v>35</v>
      </c>
      <c r="BI17" s="292" t="s">
        <v>35</v>
      </c>
      <c r="BJ17" s="293">
        <v>48</v>
      </c>
      <c r="BK17" s="294">
        <v>176</v>
      </c>
      <c r="BL17" s="295">
        <v>8448</v>
      </c>
      <c r="BM17" s="299">
        <v>8448</v>
      </c>
      <c r="BT17" s="72"/>
      <c r="BU17" s="291">
        <v>46104</v>
      </c>
      <c r="BV17" s="292">
        <v>140133</v>
      </c>
      <c r="BW17" s="292" t="s">
        <v>44</v>
      </c>
      <c r="BX17" s="292" t="s">
        <v>113</v>
      </c>
      <c r="BY17" s="292" t="s">
        <v>63</v>
      </c>
      <c r="BZ17" s="292" t="s">
        <v>25</v>
      </c>
      <c r="CA17" s="293">
        <v>80</v>
      </c>
      <c r="CB17" s="294">
        <v>186.56</v>
      </c>
      <c r="CC17" s="295">
        <v>14924.8</v>
      </c>
      <c r="CD17" s="299">
        <v>14924.8</v>
      </c>
      <c r="CK17" s="247"/>
      <c r="CL17" s="248"/>
      <c r="CM17" s="246"/>
      <c r="CN17" s="246"/>
      <c r="CO17" s="246"/>
      <c r="CP17" s="246"/>
      <c r="CQ17" s="246"/>
      <c r="CR17" s="249"/>
      <c r="CS17" s="249"/>
      <c r="CT17" s="249"/>
      <c r="CW17" s="111"/>
      <c r="CX17" s="111"/>
      <c r="CY17" s="111"/>
      <c r="CZ17" s="111"/>
      <c r="DA17" s="111"/>
      <c r="DB17" s="332">
        <v>46140</v>
      </c>
      <c r="DC17" s="333">
        <v>140910</v>
      </c>
      <c r="DD17" s="333" t="s">
        <v>31</v>
      </c>
      <c r="DE17" s="333" t="s">
        <v>126</v>
      </c>
      <c r="DF17" s="333" t="s">
        <v>35</v>
      </c>
      <c r="DG17" s="333" t="s">
        <v>35</v>
      </c>
      <c r="DH17" s="333">
        <v>8</v>
      </c>
      <c r="DI17" s="334">
        <v>176</v>
      </c>
      <c r="DJ17" s="334">
        <v>1408</v>
      </c>
      <c r="DK17" s="334">
        <v>1408</v>
      </c>
      <c r="DR17" s="72"/>
      <c r="DS17" s="311"/>
      <c r="DT17" s="312"/>
      <c r="DU17" s="312"/>
      <c r="DV17" s="312"/>
      <c r="DW17" s="312"/>
      <c r="DX17" s="312"/>
      <c r="DY17" s="313"/>
      <c r="DZ17" s="314"/>
      <c r="EA17" s="315"/>
      <c r="EB17" s="315"/>
      <c r="EI17" s="316">
        <v>46140</v>
      </c>
      <c r="EJ17" s="199">
        <v>142326</v>
      </c>
      <c r="EK17" s="199" t="s">
        <v>22</v>
      </c>
      <c r="EL17" s="199" t="s">
        <v>125</v>
      </c>
      <c r="EM17" s="199" t="s">
        <v>69</v>
      </c>
      <c r="EN17" s="199" t="s">
        <v>30</v>
      </c>
      <c r="EO17" s="199">
        <v>1</v>
      </c>
      <c r="EP17" s="317">
        <v>1700</v>
      </c>
      <c r="EQ17" s="317">
        <v>1700</v>
      </c>
      <c r="ER17" s="317">
        <v>1700</v>
      </c>
    </row>
    <row r="18" spans="1:148" x14ac:dyDescent="0.3">
      <c r="F18" s="273">
        <v>46078</v>
      </c>
      <c r="G18" s="274">
        <v>138487</v>
      </c>
      <c r="H18" s="275" t="s">
        <v>31</v>
      </c>
      <c r="I18" s="275" t="s">
        <v>91</v>
      </c>
      <c r="J18" s="275" t="s">
        <v>56</v>
      </c>
      <c r="K18" s="275" t="s">
        <v>25</v>
      </c>
      <c r="L18" s="275">
        <v>2</v>
      </c>
      <c r="M18" s="276">
        <v>210</v>
      </c>
      <c r="N18" s="276">
        <v>420</v>
      </c>
      <c r="O18" s="276">
        <v>504</v>
      </c>
      <c r="AM18" s="273">
        <v>46078</v>
      </c>
      <c r="AN18" s="274" t="s">
        <v>81</v>
      </c>
      <c r="AO18" s="275" t="s">
        <v>22</v>
      </c>
      <c r="AP18" s="275" t="s">
        <v>82</v>
      </c>
      <c r="AQ18" s="275" t="s">
        <v>54</v>
      </c>
      <c r="AR18" s="275" t="s">
        <v>30</v>
      </c>
      <c r="AS18" s="275">
        <v>5</v>
      </c>
      <c r="AT18" s="276">
        <v>142.53</v>
      </c>
      <c r="AU18" s="276">
        <v>712.65</v>
      </c>
      <c r="AV18" s="276">
        <v>712.65</v>
      </c>
      <c r="BD18" s="291">
        <v>46093</v>
      </c>
      <c r="BE18" s="292">
        <v>138126</v>
      </c>
      <c r="BF18" s="292" t="s">
        <v>31</v>
      </c>
      <c r="BG18" s="292" t="s">
        <v>49</v>
      </c>
      <c r="BH18" s="292" t="s">
        <v>35</v>
      </c>
      <c r="BI18" s="292" t="s">
        <v>35</v>
      </c>
      <c r="BJ18" s="293">
        <v>8</v>
      </c>
      <c r="BK18" s="294">
        <v>176</v>
      </c>
      <c r="BL18" s="295">
        <v>1408</v>
      </c>
      <c r="BM18" s="299">
        <v>1408</v>
      </c>
      <c r="BU18" s="291">
        <v>46104</v>
      </c>
      <c r="BV18" s="292">
        <v>140133</v>
      </c>
      <c r="BW18" s="292" t="s">
        <v>44</v>
      </c>
      <c r="BX18" s="292" t="s">
        <v>113</v>
      </c>
      <c r="BY18" s="292" t="s">
        <v>63</v>
      </c>
      <c r="BZ18" s="292" t="s">
        <v>30</v>
      </c>
      <c r="CA18" s="293">
        <v>10</v>
      </c>
      <c r="CB18" s="294">
        <v>98.33</v>
      </c>
      <c r="CC18" s="295">
        <v>983.3</v>
      </c>
      <c r="CD18" s="299">
        <v>983.3</v>
      </c>
      <c r="CK18" s="247"/>
      <c r="CL18" s="248"/>
      <c r="CM18" s="246"/>
      <c r="CN18" s="246"/>
      <c r="CO18" s="246"/>
      <c r="CP18" s="246"/>
      <c r="CQ18" s="246"/>
      <c r="CR18" s="249"/>
      <c r="CS18" s="249"/>
      <c r="CT18" s="249"/>
      <c r="CW18" s="111"/>
      <c r="CX18" s="111"/>
      <c r="CY18" s="111"/>
      <c r="CZ18" s="111"/>
      <c r="DA18" s="111"/>
      <c r="DB18" s="332">
        <v>46140</v>
      </c>
      <c r="DC18" s="333">
        <v>141508</v>
      </c>
      <c r="DD18" s="333" t="s">
        <v>31</v>
      </c>
      <c r="DE18" s="333" t="s">
        <v>57</v>
      </c>
      <c r="DF18" s="333" t="s">
        <v>35</v>
      </c>
      <c r="DG18" s="333" t="s">
        <v>35</v>
      </c>
      <c r="DH18" s="333">
        <v>3</v>
      </c>
      <c r="DI18" s="334">
        <v>176</v>
      </c>
      <c r="DJ18" s="334">
        <v>528</v>
      </c>
      <c r="DK18" s="334">
        <v>528</v>
      </c>
      <c r="DS18" s="311"/>
      <c r="DT18" s="312"/>
      <c r="DU18" s="312"/>
      <c r="DV18" s="312"/>
      <c r="DW18" s="312"/>
      <c r="DX18" s="312"/>
      <c r="DY18" s="313"/>
      <c r="DZ18" s="314"/>
      <c r="EA18" s="315"/>
      <c r="EB18" s="315"/>
      <c r="EI18" s="327"/>
      <c r="EJ18" s="328"/>
      <c r="EK18" s="329"/>
      <c r="EL18" s="329"/>
      <c r="EM18" s="329"/>
      <c r="EN18" s="329"/>
      <c r="EO18" s="329"/>
      <c r="EP18" s="330"/>
      <c r="EQ18" s="331">
        <f>SUM(EQ9:EQ17)</f>
        <v>46481.14</v>
      </c>
      <c r="ER18" s="331">
        <f>SUM(ER9:ER17)</f>
        <v>46481.14</v>
      </c>
    </row>
    <row r="19" spans="1:148" x14ac:dyDescent="0.3">
      <c r="A19" s="1" t="s">
        <v>377</v>
      </c>
      <c r="F19" s="273">
        <v>46078</v>
      </c>
      <c r="G19" s="274">
        <v>138487</v>
      </c>
      <c r="H19" s="275" t="s">
        <v>31</v>
      </c>
      <c r="I19" s="275" t="s">
        <v>91</v>
      </c>
      <c r="J19" s="275" t="s">
        <v>56</v>
      </c>
      <c r="K19" s="275" t="s">
        <v>30</v>
      </c>
      <c r="L19" s="275">
        <v>1</v>
      </c>
      <c r="M19" s="276">
        <v>356.4</v>
      </c>
      <c r="N19" s="276">
        <v>356.4</v>
      </c>
      <c r="O19" s="276">
        <v>427.67999999999989</v>
      </c>
      <c r="Q19" s="1" t="s">
        <v>377</v>
      </c>
      <c r="AH19" s="1" t="s">
        <v>377</v>
      </c>
      <c r="AM19" s="273">
        <v>46078</v>
      </c>
      <c r="AN19" s="274" t="s">
        <v>81</v>
      </c>
      <c r="AO19" s="275" t="s">
        <v>22</v>
      </c>
      <c r="AP19" s="275" t="s">
        <v>82</v>
      </c>
      <c r="AQ19" s="275" t="s">
        <v>83</v>
      </c>
      <c r="AR19" s="275" t="s">
        <v>30</v>
      </c>
      <c r="AS19" s="275">
        <v>1</v>
      </c>
      <c r="AT19" s="276">
        <v>689</v>
      </c>
      <c r="AU19" s="276">
        <v>689</v>
      </c>
      <c r="AV19" s="276">
        <v>689</v>
      </c>
      <c r="AY19" s="1" t="s">
        <v>377</v>
      </c>
      <c r="BD19" s="291">
        <v>46099</v>
      </c>
      <c r="BE19" s="292">
        <v>139762</v>
      </c>
      <c r="BF19" s="292" t="s">
        <v>31</v>
      </c>
      <c r="BG19" s="292" t="s">
        <v>106</v>
      </c>
      <c r="BH19" s="292" t="s">
        <v>35</v>
      </c>
      <c r="BI19" s="292" t="s">
        <v>35</v>
      </c>
      <c r="BJ19" s="293">
        <v>3</v>
      </c>
      <c r="BK19" s="294">
        <v>176</v>
      </c>
      <c r="BL19" s="295">
        <v>528</v>
      </c>
      <c r="BM19" s="299">
        <v>528</v>
      </c>
      <c r="BO19" s="1" t="s">
        <v>377</v>
      </c>
      <c r="BU19" s="296" t="s">
        <v>150</v>
      </c>
      <c r="BV19" s="297"/>
      <c r="BW19" s="297"/>
      <c r="BX19" s="297"/>
      <c r="BY19" s="297"/>
      <c r="BZ19" s="297"/>
      <c r="CA19" s="297"/>
      <c r="CB19" s="297"/>
      <c r="CC19" s="298">
        <v>116142.6275</v>
      </c>
      <c r="CD19" s="298">
        <v>116142.6275</v>
      </c>
      <c r="CF19" s="1" t="s">
        <v>377</v>
      </c>
      <c r="CK19" s="247"/>
      <c r="CL19" s="248"/>
      <c r="CM19" s="246"/>
      <c r="CN19" s="246"/>
      <c r="CO19" s="246"/>
      <c r="CP19" s="246"/>
      <c r="CQ19" s="246"/>
      <c r="CR19" s="249"/>
      <c r="CS19" s="249"/>
      <c r="CT19" s="249"/>
      <c r="CW19" s="352" t="s">
        <v>377</v>
      </c>
      <c r="CX19" s="111"/>
      <c r="CY19" s="111"/>
      <c r="CZ19" s="111"/>
      <c r="DA19" s="111"/>
      <c r="DB19" s="332">
        <v>46140</v>
      </c>
      <c r="DC19" s="333">
        <v>140836</v>
      </c>
      <c r="DD19" s="333" t="s">
        <v>31</v>
      </c>
      <c r="DE19" s="333" t="s">
        <v>87</v>
      </c>
      <c r="DF19" s="333" t="s">
        <v>35</v>
      </c>
      <c r="DG19" s="333" t="s">
        <v>35</v>
      </c>
      <c r="DH19" s="333">
        <v>52</v>
      </c>
      <c r="DI19" s="334">
        <v>176</v>
      </c>
      <c r="DJ19" s="334">
        <v>9152</v>
      </c>
      <c r="DK19" s="334">
        <v>9152</v>
      </c>
      <c r="DM19" s="1" t="s">
        <v>377</v>
      </c>
      <c r="DT19" s="321"/>
      <c r="DU19" s="321"/>
      <c r="DV19" s="321"/>
      <c r="DW19" s="321"/>
      <c r="DX19" s="321"/>
      <c r="DY19" s="321"/>
      <c r="DZ19" s="321"/>
      <c r="ED19" s="1" t="s">
        <v>377</v>
      </c>
      <c r="EI19" s="247"/>
      <c r="EJ19" s="248"/>
      <c r="EK19" s="246"/>
      <c r="EL19" s="246"/>
      <c r="EM19" s="246"/>
      <c r="EN19" s="246"/>
      <c r="EO19" s="246"/>
      <c r="EP19" s="249"/>
      <c r="EQ19" s="249"/>
      <c r="ER19" s="249"/>
    </row>
    <row r="20" spans="1:148" x14ac:dyDescent="0.3">
      <c r="A20" s="261" t="s">
        <v>378</v>
      </c>
      <c r="B20" s="261" t="s">
        <v>0</v>
      </c>
      <c r="C20" s="261" t="s">
        <v>6</v>
      </c>
      <c r="F20" s="273">
        <v>46078</v>
      </c>
      <c r="G20" s="274">
        <v>138723</v>
      </c>
      <c r="H20" s="275" t="s">
        <v>31</v>
      </c>
      <c r="I20" s="275" t="s">
        <v>79</v>
      </c>
      <c r="J20" s="275" t="s">
        <v>24</v>
      </c>
      <c r="K20" s="275" t="s">
        <v>25</v>
      </c>
      <c r="L20" s="275">
        <v>40</v>
      </c>
      <c r="M20" s="276">
        <v>210</v>
      </c>
      <c r="N20" s="276">
        <v>8400</v>
      </c>
      <c r="O20" s="276">
        <v>10080</v>
      </c>
      <c r="Q20" s="261" t="s">
        <v>378</v>
      </c>
      <c r="R20" s="261" t="s">
        <v>0</v>
      </c>
      <c r="S20" s="261" t="s">
        <v>6</v>
      </c>
      <c r="AH20" s="261" t="s">
        <v>378</v>
      </c>
      <c r="AI20" s="261" t="s">
        <v>0</v>
      </c>
      <c r="AJ20" s="261" t="s">
        <v>6</v>
      </c>
      <c r="AM20" s="273">
        <v>46078</v>
      </c>
      <c r="AN20" s="274" t="s">
        <v>81</v>
      </c>
      <c r="AO20" s="275" t="s">
        <v>22</v>
      </c>
      <c r="AP20" s="275" t="s">
        <v>82</v>
      </c>
      <c r="AQ20" s="275" t="s">
        <v>84</v>
      </c>
      <c r="AR20" s="275" t="s">
        <v>30</v>
      </c>
      <c r="AS20" s="275">
        <v>1</v>
      </c>
      <c r="AT20" s="276">
        <v>712</v>
      </c>
      <c r="AU20" s="276">
        <v>712</v>
      </c>
      <c r="AV20" s="276">
        <v>712</v>
      </c>
      <c r="AY20" s="2" t="s">
        <v>378</v>
      </c>
      <c r="AZ20" s="2" t="s">
        <v>6</v>
      </c>
      <c r="BD20" s="291">
        <v>46099</v>
      </c>
      <c r="BE20" s="292">
        <v>137720</v>
      </c>
      <c r="BF20" s="292" t="s">
        <v>31</v>
      </c>
      <c r="BG20" s="292" t="s">
        <v>74</v>
      </c>
      <c r="BH20" s="292" t="s">
        <v>24</v>
      </c>
      <c r="BI20" s="292" t="s">
        <v>25</v>
      </c>
      <c r="BJ20" s="293">
        <v>10</v>
      </c>
      <c r="BK20" s="294">
        <v>210</v>
      </c>
      <c r="BL20" s="295">
        <v>2100</v>
      </c>
      <c r="BM20" s="299">
        <v>2100</v>
      </c>
      <c r="BO20" s="2" t="s">
        <v>378</v>
      </c>
      <c r="BP20" s="2" t="s">
        <v>6</v>
      </c>
      <c r="CF20" s="2" t="s">
        <v>378</v>
      </c>
      <c r="CG20" s="2" t="s">
        <v>6</v>
      </c>
      <c r="CK20" s="247"/>
      <c r="CL20" s="248"/>
      <c r="CM20" s="246"/>
      <c r="CN20" s="246"/>
      <c r="CO20" s="246"/>
      <c r="CP20" s="246"/>
      <c r="CQ20" s="246"/>
      <c r="CR20" s="249"/>
      <c r="CS20" s="249"/>
      <c r="CT20" s="249"/>
      <c r="CW20" s="339" t="s">
        <v>378</v>
      </c>
      <c r="CX20" s="339" t="s">
        <v>6</v>
      </c>
      <c r="CY20" s="111"/>
      <c r="CZ20" s="111"/>
      <c r="DA20" s="111"/>
      <c r="DB20" s="332">
        <v>46140</v>
      </c>
      <c r="DC20" s="333">
        <v>138986</v>
      </c>
      <c r="DD20" s="333" t="s">
        <v>31</v>
      </c>
      <c r="DE20" s="333" t="s">
        <v>92</v>
      </c>
      <c r="DF20" s="333" t="s">
        <v>35</v>
      </c>
      <c r="DG20" s="333" t="s">
        <v>35</v>
      </c>
      <c r="DH20" s="333">
        <v>12</v>
      </c>
      <c r="DI20" s="334">
        <v>176</v>
      </c>
      <c r="DJ20" s="334">
        <v>2112</v>
      </c>
      <c r="DK20" s="334">
        <v>2112</v>
      </c>
      <c r="DM20" s="2" t="s">
        <v>378</v>
      </c>
      <c r="DN20" s="2" t="s">
        <v>6</v>
      </c>
      <c r="ED20" s="2" t="s">
        <v>378</v>
      </c>
      <c r="EE20" s="2" t="s">
        <v>6</v>
      </c>
      <c r="EI20" s="247"/>
      <c r="EJ20" s="248"/>
      <c r="EK20" s="246"/>
      <c r="EL20" s="246"/>
      <c r="EM20" s="246"/>
      <c r="EN20" s="246"/>
      <c r="EO20" s="246"/>
      <c r="EP20" s="249"/>
      <c r="EQ20" s="249"/>
      <c r="ER20" s="249"/>
    </row>
    <row r="21" spans="1:148" x14ac:dyDescent="0.3">
      <c r="A21" s="264" t="s">
        <v>379</v>
      </c>
      <c r="B21" s="265" t="s">
        <v>380</v>
      </c>
      <c r="C21" s="263">
        <v>1</v>
      </c>
      <c r="F21" s="273">
        <v>46078</v>
      </c>
      <c r="G21" s="274">
        <v>134770</v>
      </c>
      <c r="H21" s="275" t="s">
        <v>31</v>
      </c>
      <c r="I21" s="275" t="s">
        <v>92</v>
      </c>
      <c r="J21" s="275" t="s">
        <v>35</v>
      </c>
      <c r="K21" s="275" t="s">
        <v>35</v>
      </c>
      <c r="L21" s="275">
        <v>4</v>
      </c>
      <c r="M21" s="276">
        <v>176</v>
      </c>
      <c r="N21" s="276">
        <v>704</v>
      </c>
      <c r="O21" s="276">
        <v>704</v>
      </c>
      <c r="Q21" s="262" t="s">
        <v>381</v>
      </c>
      <c r="R21" s="263" t="s">
        <v>382</v>
      </c>
      <c r="S21" s="263">
        <v>1</v>
      </c>
      <c r="AH21" s="262" t="s">
        <v>383</v>
      </c>
      <c r="AI21" s="262" t="s">
        <v>384</v>
      </c>
      <c r="AJ21" s="263">
        <v>1</v>
      </c>
      <c r="AM21" s="273">
        <v>46078</v>
      </c>
      <c r="AN21" s="274" t="s">
        <v>85</v>
      </c>
      <c r="AO21" s="275" t="s">
        <v>22</v>
      </c>
      <c r="AP21" s="275" t="s">
        <v>86</v>
      </c>
      <c r="AQ21" s="275" t="s">
        <v>47</v>
      </c>
      <c r="AR21" s="275" t="s">
        <v>25</v>
      </c>
      <c r="AS21" s="275">
        <v>196</v>
      </c>
      <c r="AT21" s="276">
        <v>200</v>
      </c>
      <c r="AU21" s="276">
        <v>39200</v>
      </c>
      <c r="AV21" s="276">
        <v>39200</v>
      </c>
      <c r="AY21" s="37" t="s">
        <v>385</v>
      </c>
      <c r="AZ21">
        <v>1</v>
      </c>
      <c r="BA21" s="32"/>
      <c r="BD21" s="291">
        <v>46099</v>
      </c>
      <c r="BE21" s="292">
        <v>139891</v>
      </c>
      <c r="BF21" s="292" t="s">
        <v>31</v>
      </c>
      <c r="BG21" s="292" t="s">
        <v>107</v>
      </c>
      <c r="BH21" s="292" t="s">
        <v>102</v>
      </c>
      <c r="BI21" s="292" t="s">
        <v>41</v>
      </c>
      <c r="BJ21" s="293">
        <v>1</v>
      </c>
      <c r="BK21" s="294">
        <v>1600</v>
      </c>
      <c r="BL21" s="295">
        <v>1600</v>
      </c>
      <c r="BM21" s="299">
        <v>1920</v>
      </c>
      <c r="BO21" s="37" t="s">
        <v>386</v>
      </c>
      <c r="BP21">
        <v>2</v>
      </c>
      <c r="BQ21" s="32"/>
      <c r="CF21" s="37" t="s">
        <v>387</v>
      </c>
      <c r="CG21">
        <v>1</v>
      </c>
      <c r="CH21" s="32"/>
      <c r="CK21" s="247"/>
      <c r="CL21" s="248"/>
      <c r="CM21" s="246"/>
      <c r="CN21" s="246"/>
      <c r="CO21" s="246"/>
      <c r="CP21" s="246"/>
      <c r="CQ21" s="246"/>
      <c r="CR21" s="249"/>
      <c r="CS21" s="249"/>
      <c r="CT21" s="249"/>
      <c r="CW21" s="353" t="s">
        <v>388</v>
      </c>
      <c r="CX21" s="111">
        <v>1</v>
      </c>
      <c r="CY21" s="224"/>
      <c r="CZ21" s="111"/>
      <c r="DA21" s="111"/>
      <c r="DB21" s="332">
        <v>46140</v>
      </c>
      <c r="DC21" s="333">
        <v>130958</v>
      </c>
      <c r="DD21" s="333" t="s">
        <v>31</v>
      </c>
      <c r="DE21" s="333" t="s">
        <v>127</v>
      </c>
      <c r="DF21" s="333" t="s">
        <v>35</v>
      </c>
      <c r="DG21" s="333" t="s">
        <v>35</v>
      </c>
      <c r="DH21" s="333">
        <v>20</v>
      </c>
      <c r="DI21" s="334">
        <v>176</v>
      </c>
      <c r="DJ21" s="334">
        <v>3520</v>
      </c>
      <c r="DK21" s="334">
        <v>3520</v>
      </c>
      <c r="DM21" s="37" t="s">
        <v>389</v>
      </c>
      <c r="DN21">
        <v>1</v>
      </c>
      <c r="DO21" s="32"/>
      <c r="ED21" s="37" t="s">
        <v>390</v>
      </c>
      <c r="EE21">
        <v>1</v>
      </c>
      <c r="EF21" s="32"/>
      <c r="EI21" s="247"/>
      <c r="EJ21" s="248"/>
      <c r="EK21" s="246"/>
      <c r="EL21" s="246"/>
      <c r="EM21" s="246"/>
      <c r="EN21" s="246"/>
      <c r="EO21" s="246"/>
      <c r="EP21" s="249"/>
      <c r="EQ21" s="249"/>
      <c r="ER21" s="249"/>
    </row>
    <row r="22" spans="1:148" ht="15" customHeight="1" thickBot="1" x14ac:dyDescent="0.35">
      <c r="A22" s="264" t="s">
        <v>391</v>
      </c>
      <c r="B22" s="265" t="s">
        <v>392</v>
      </c>
      <c r="C22" s="263">
        <v>1</v>
      </c>
      <c r="F22" s="273">
        <v>46078</v>
      </c>
      <c r="G22" s="274">
        <v>138211</v>
      </c>
      <c r="H22" s="275" t="s">
        <v>31</v>
      </c>
      <c r="I22" s="275" t="s">
        <v>93</v>
      </c>
      <c r="J22" s="275" t="s">
        <v>24</v>
      </c>
      <c r="K22" s="275" t="s">
        <v>25</v>
      </c>
      <c r="L22" s="275">
        <v>8</v>
      </c>
      <c r="M22" s="276">
        <v>189</v>
      </c>
      <c r="N22" s="276">
        <v>1512</v>
      </c>
      <c r="O22" s="276">
        <v>1814.4</v>
      </c>
      <c r="Q22" s="262" t="s">
        <v>227</v>
      </c>
      <c r="R22" s="263" t="s">
        <v>393</v>
      </c>
      <c r="S22" s="263">
        <v>1</v>
      </c>
      <c r="AH22" s="262" t="s">
        <v>394</v>
      </c>
      <c r="AI22" s="262" t="s">
        <v>395</v>
      </c>
      <c r="AJ22" s="263">
        <v>1</v>
      </c>
      <c r="AM22" s="273">
        <v>46078</v>
      </c>
      <c r="AN22" s="274" t="s">
        <v>85</v>
      </c>
      <c r="AO22" s="275" t="s">
        <v>22</v>
      </c>
      <c r="AP22" s="275" t="s">
        <v>86</v>
      </c>
      <c r="AQ22" s="275" t="s">
        <v>47</v>
      </c>
      <c r="AR22" s="275" t="s">
        <v>41</v>
      </c>
      <c r="AS22" s="275">
        <v>1</v>
      </c>
      <c r="AT22" s="276">
        <v>35502.9</v>
      </c>
      <c r="AU22" s="276">
        <v>35502.9</v>
      </c>
      <c r="AV22" s="276">
        <v>35502.9</v>
      </c>
      <c r="AY22" s="37" t="s">
        <v>396</v>
      </c>
      <c r="AZ22">
        <v>1</v>
      </c>
      <c r="BA22" s="32"/>
      <c r="BD22" s="291">
        <v>46099</v>
      </c>
      <c r="BE22" s="292">
        <v>139891</v>
      </c>
      <c r="BF22" s="292" t="s">
        <v>31</v>
      </c>
      <c r="BG22" s="292" t="s">
        <v>107</v>
      </c>
      <c r="BH22" s="292" t="s">
        <v>102</v>
      </c>
      <c r="BI22" s="292" t="s">
        <v>30</v>
      </c>
      <c r="BJ22" s="293">
        <v>1</v>
      </c>
      <c r="BK22" s="294">
        <v>3442.8</v>
      </c>
      <c r="BL22" s="295">
        <v>3442.8</v>
      </c>
      <c r="BM22" s="299">
        <v>4131.3600000000006</v>
      </c>
      <c r="BO22" s="37" t="s">
        <v>397</v>
      </c>
      <c r="BP22">
        <v>1</v>
      </c>
      <c r="BQ22" s="32"/>
      <c r="CF22" s="37" t="s">
        <v>390</v>
      </c>
      <c r="CG22">
        <v>1</v>
      </c>
      <c r="CH22" s="32"/>
      <c r="CK22" s="247"/>
      <c r="CL22" s="248"/>
      <c r="CM22" s="246"/>
      <c r="CN22" s="246"/>
      <c r="CO22" s="246"/>
      <c r="CP22" s="246"/>
      <c r="CQ22" s="246"/>
      <c r="CR22" s="249"/>
      <c r="CS22" s="249"/>
      <c r="CT22" s="249"/>
      <c r="CW22" s="353" t="s">
        <v>398</v>
      </c>
      <c r="CX22" s="111">
        <v>1</v>
      </c>
      <c r="CY22" s="224"/>
      <c r="CZ22" s="111"/>
      <c r="DA22" s="111"/>
      <c r="DB22" s="332">
        <v>46140</v>
      </c>
      <c r="DC22" s="333">
        <v>139375</v>
      </c>
      <c r="DD22" s="333" t="s">
        <v>31</v>
      </c>
      <c r="DE22" s="333" t="s">
        <v>128</v>
      </c>
      <c r="DF22" s="333" t="s">
        <v>35</v>
      </c>
      <c r="DG22" s="333" t="s">
        <v>35</v>
      </c>
      <c r="DH22" s="333">
        <v>6</v>
      </c>
      <c r="DI22" s="334">
        <v>176</v>
      </c>
      <c r="DJ22" s="334">
        <v>1056</v>
      </c>
      <c r="DK22" s="334">
        <v>1056</v>
      </c>
      <c r="DM22" s="37" t="s">
        <v>399</v>
      </c>
      <c r="DN22">
        <v>1</v>
      </c>
      <c r="DO22" s="32"/>
      <c r="ED22" s="37" t="s">
        <v>251</v>
      </c>
      <c r="EE22">
        <v>1</v>
      </c>
      <c r="EF22" s="32"/>
      <c r="EI22" s="247"/>
      <c r="EJ22" s="248"/>
      <c r="EK22" s="246"/>
      <c r="EL22" s="246"/>
      <c r="EM22" s="246"/>
      <c r="EN22" s="246"/>
      <c r="EO22" s="246"/>
      <c r="EP22" s="249"/>
      <c r="EQ22" s="249"/>
      <c r="ER22" s="249"/>
    </row>
    <row r="23" spans="1:148" ht="15" customHeight="1" thickTop="1" x14ac:dyDescent="0.3">
      <c r="A23" s="264" t="s">
        <v>400</v>
      </c>
      <c r="B23" s="265" t="s">
        <v>401</v>
      </c>
      <c r="C23" s="263">
        <v>1</v>
      </c>
      <c r="F23" s="277" t="s">
        <v>150</v>
      </c>
      <c r="G23" s="278"/>
      <c r="H23" s="279"/>
      <c r="I23" s="279"/>
      <c r="J23" s="279"/>
      <c r="K23" s="279"/>
      <c r="L23" s="279"/>
      <c r="M23" s="279"/>
      <c r="N23" s="280">
        <v>92419.4</v>
      </c>
      <c r="O23" s="280">
        <v>99210.48</v>
      </c>
      <c r="Q23" s="262" t="s">
        <v>402</v>
      </c>
      <c r="R23" s="263" t="s">
        <v>403</v>
      </c>
      <c r="S23" s="263">
        <v>1</v>
      </c>
      <c r="AH23" s="262" t="s">
        <v>404</v>
      </c>
      <c r="AI23" s="262" t="s">
        <v>405</v>
      </c>
      <c r="AJ23" s="263">
        <v>1</v>
      </c>
      <c r="AM23" s="273">
        <v>46078</v>
      </c>
      <c r="AN23" s="274" t="s">
        <v>85</v>
      </c>
      <c r="AO23" s="275" t="s">
        <v>22</v>
      </c>
      <c r="AP23" s="275" t="s">
        <v>86</v>
      </c>
      <c r="AQ23" s="275" t="s">
        <v>47</v>
      </c>
      <c r="AR23" s="275" t="s">
        <v>30</v>
      </c>
      <c r="AS23" s="275">
        <v>12</v>
      </c>
      <c r="AT23" s="276">
        <v>275.62</v>
      </c>
      <c r="AU23" s="276">
        <v>3307.44</v>
      </c>
      <c r="AV23" s="276">
        <v>3307.44</v>
      </c>
      <c r="AY23" s="37" t="s">
        <v>406</v>
      </c>
      <c r="AZ23">
        <v>1</v>
      </c>
      <c r="BA23" s="32"/>
      <c r="BD23" s="291">
        <v>46100</v>
      </c>
      <c r="BE23" s="292">
        <v>136464</v>
      </c>
      <c r="BF23" s="292" t="s">
        <v>31</v>
      </c>
      <c r="BG23" s="292" t="s">
        <v>94</v>
      </c>
      <c r="BH23" s="292" t="s">
        <v>35</v>
      </c>
      <c r="BI23" s="292" t="s">
        <v>35</v>
      </c>
      <c r="BJ23" s="293">
        <v>8</v>
      </c>
      <c r="BK23" s="294">
        <v>176</v>
      </c>
      <c r="BL23" s="295">
        <v>1408</v>
      </c>
      <c r="BM23" s="299">
        <v>1408</v>
      </c>
      <c r="BO23" s="37" t="s">
        <v>407</v>
      </c>
      <c r="BP23">
        <v>1</v>
      </c>
      <c r="BQ23" s="32"/>
      <c r="CF23" s="37" t="s">
        <v>408</v>
      </c>
      <c r="CG23">
        <v>1</v>
      </c>
      <c r="CH23" s="32"/>
      <c r="CK23" s="247"/>
      <c r="CL23" s="248"/>
      <c r="CM23" s="246"/>
      <c r="CN23" s="246"/>
      <c r="CO23" s="246"/>
      <c r="CP23" s="246"/>
      <c r="CQ23" s="246"/>
      <c r="CR23" s="249"/>
      <c r="CS23" s="249"/>
      <c r="CT23" s="249"/>
      <c r="CW23" s="353" t="s">
        <v>409</v>
      </c>
      <c r="CX23" s="111">
        <v>1</v>
      </c>
      <c r="CY23" s="224"/>
      <c r="CZ23" s="111"/>
      <c r="DA23" s="111"/>
      <c r="DB23" s="318" t="s">
        <v>150</v>
      </c>
      <c r="DC23" s="318"/>
      <c r="DD23" s="318"/>
      <c r="DE23" s="318"/>
      <c r="DF23" s="318"/>
      <c r="DG23" s="318"/>
      <c r="DH23" s="318"/>
      <c r="DI23" s="318"/>
      <c r="DJ23" s="319">
        <f>SUM(DJ8:DJ22)</f>
        <v>55122.8</v>
      </c>
      <c r="DK23" s="319">
        <f>SUM(DK8:DK22)</f>
        <v>58339.360000000001</v>
      </c>
      <c r="DM23" s="37" t="s">
        <v>410</v>
      </c>
      <c r="DN23">
        <v>1</v>
      </c>
      <c r="DO23" s="32"/>
      <c r="ED23" s="37"/>
      <c r="EE23" s="320" t="str">
        <f ca="1">SUM(EE21:EE26)</f>
        <v/>
      </c>
      <c r="EF23" s="32"/>
      <c r="EI23" s="247"/>
      <c r="EJ23" s="248"/>
      <c r="EK23" s="246"/>
      <c r="EL23" s="246"/>
      <c r="EM23" s="246"/>
      <c r="EN23" s="246"/>
      <c r="EO23" s="246"/>
      <c r="EP23" s="249"/>
      <c r="EQ23" s="249"/>
      <c r="ER23" s="249"/>
    </row>
    <row r="24" spans="1:148" x14ac:dyDescent="0.3">
      <c r="A24" s="264" t="s">
        <v>411</v>
      </c>
      <c r="B24" s="265" t="s">
        <v>401</v>
      </c>
      <c r="C24" s="263">
        <v>1</v>
      </c>
      <c r="Q24" s="262" t="s">
        <v>412</v>
      </c>
      <c r="R24" s="263" t="s">
        <v>392</v>
      </c>
      <c r="S24" s="263">
        <v>1</v>
      </c>
      <c r="AH24" s="262" t="s">
        <v>413</v>
      </c>
      <c r="AI24" s="262" t="s">
        <v>384</v>
      </c>
      <c r="AJ24" s="263">
        <v>1</v>
      </c>
      <c r="AM24" s="273">
        <v>46078</v>
      </c>
      <c r="AN24" s="274" t="s">
        <v>85</v>
      </c>
      <c r="AO24" s="275" t="s">
        <v>22</v>
      </c>
      <c r="AP24" s="275" t="s">
        <v>86</v>
      </c>
      <c r="AQ24" s="275" t="s">
        <v>63</v>
      </c>
      <c r="AR24" s="275" t="s">
        <v>30</v>
      </c>
      <c r="AS24" s="275">
        <v>40</v>
      </c>
      <c r="AT24" s="276">
        <v>115</v>
      </c>
      <c r="AU24" s="276">
        <v>4600</v>
      </c>
      <c r="AV24" s="276">
        <v>4600</v>
      </c>
      <c r="AY24" s="37" t="s">
        <v>414</v>
      </c>
      <c r="AZ24">
        <v>1</v>
      </c>
      <c r="BA24" s="32"/>
      <c r="BD24" s="291">
        <v>46100</v>
      </c>
      <c r="BE24" s="292">
        <v>137380</v>
      </c>
      <c r="BF24" s="292" t="s">
        <v>31</v>
      </c>
      <c r="BG24" s="292" t="s">
        <v>93</v>
      </c>
      <c r="BH24" s="292" t="s">
        <v>35</v>
      </c>
      <c r="BI24" s="292" t="s">
        <v>35</v>
      </c>
      <c r="BJ24" s="293">
        <v>16</v>
      </c>
      <c r="BK24" s="294">
        <v>140.80000000000001</v>
      </c>
      <c r="BL24" s="295">
        <v>2252.8000000000002</v>
      </c>
      <c r="BM24" s="299">
        <v>2252.8000000000002</v>
      </c>
      <c r="BO24" s="37" t="s">
        <v>415</v>
      </c>
      <c r="BP24">
        <v>1</v>
      </c>
      <c r="BQ24" s="32"/>
      <c r="CF24" s="37" t="s">
        <v>416</v>
      </c>
      <c r="CG24">
        <v>1</v>
      </c>
      <c r="CH24" s="32"/>
      <c r="CK24" s="247"/>
      <c r="CL24" s="248"/>
      <c r="CM24" s="246"/>
      <c r="CN24" s="246"/>
      <c r="CO24" s="246"/>
      <c r="CP24" s="246"/>
      <c r="CQ24" s="246"/>
      <c r="CR24" s="249"/>
      <c r="CS24" s="249"/>
      <c r="CT24" s="249"/>
      <c r="CW24" s="353" t="s">
        <v>417</v>
      </c>
      <c r="CX24" s="111">
        <v>1</v>
      </c>
      <c r="CY24" s="224"/>
      <c r="CZ24" s="111"/>
      <c r="DA24" s="111"/>
      <c r="DB24" s="311"/>
      <c r="DC24" s="312"/>
      <c r="DD24" s="312"/>
      <c r="DE24" s="312"/>
      <c r="DF24" s="312"/>
      <c r="DG24" s="312"/>
      <c r="DH24" s="313"/>
      <c r="DI24" s="314"/>
      <c r="DJ24" s="315"/>
      <c r="DK24" s="315"/>
      <c r="DM24" s="37" t="s">
        <v>418</v>
      </c>
      <c r="DN24">
        <v>1</v>
      </c>
      <c r="DO24" s="32"/>
      <c r="ED24" s="37"/>
      <c r="EF24" s="32"/>
      <c r="EI24" s="247"/>
      <c r="EJ24" s="248"/>
      <c r="EK24" s="246"/>
      <c r="EL24" s="246"/>
      <c r="EM24" s="246"/>
      <c r="EN24" s="246"/>
      <c r="EO24" s="246"/>
      <c r="EP24" s="249"/>
      <c r="EQ24" s="249"/>
      <c r="ER24" s="249"/>
    </row>
    <row r="25" spans="1:148" x14ac:dyDescent="0.3">
      <c r="A25" s="260" t="s">
        <v>419</v>
      </c>
      <c r="B25" s="260" t="s">
        <v>420</v>
      </c>
      <c r="C25" s="263">
        <v>1</v>
      </c>
      <c r="Q25" s="262" t="s">
        <v>421</v>
      </c>
      <c r="R25" s="263" t="s">
        <v>393</v>
      </c>
      <c r="S25" s="263">
        <v>1</v>
      </c>
      <c r="AH25" s="262" t="s">
        <v>422</v>
      </c>
      <c r="AI25" s="262" t="s">
        <v>423</v>
      </c>
      <c r="AJ25" s="263">
        <v>1</v>
      </c>
      <c r="AM25" s="273">
        <v>46078</v>
      </c>
      <c r="AN25" s="274" t="s">
        <v>85</v>
      </c>
      <c r="AO25" s="275" t="s">
        <v>22</v>
      </c>
      <c r="AP25" s="275" t="s">
        <v>86</v>
      </c>
      <c r="AQ25" s="275" t="s">
        <v>52</v>
      </c>
      <c r="AR25" s="275" t="s">
        <v>30</v>
      </c>
      <c r="AS25" s="275">
        <v>1</v>
      </c>
      <c r="AT25" s="276">
        <v>1080</v>
      </c>
      <c r="AU25" s="276">
        <v>1080</v>
      </c>
      <c r="AV25" s="276">
        <v>1080</v>
      </c>
      <c r="AY25" s="37" t="s">
        <v>424</v>
      </c>
      <c r="AZ25">
        <v>1</v>
      </c>
      <c r="BA25" s="32"/>
      <c r="BD25" s="291">
        <v>46100</v>
      </c>
      <c r="BE25" s="292">
        <v>138380</v>
      </c>
      <c r="BF25" s="292" t="s">
        <v>31</v>
      </c>
      <c r="BG25" s="292" t="s">
        <v>108</v>
      </c>
      <c r="BH25" s="292" t="s">
        <v>35</v>
      </c>
      <c r="BI25" s="292" t="s">
        <v>35</v>
      </c>
      <c r="BJ25" s="293">
        <v>16</v>
      </c>
      <c r="BK25" s="294">
        <v>140.80000000000001</v>
      </c>
      <c r="BL25" s="295">
        <v>2252.8000000000002</v>
      </c>
      <c r="BM25" s="299">
        <v>2252.8000000000002</v>
      </c>
      <c r="BO25" s="37" t="s">
        <v>425</v>
      </c>
      <c r="BP25">
        <v>1</v>
      </c>
      <c r="BQ25" s="32"/>
      <c r="CF25" s="37" t="s">
        <v>426</v>
      </c>
      <c r="CG25">
        <v>1</v>
      </c>
      <c r="CH25" s="32"/>
      <c r="CK25" s="247"/>
      <c r="CL25" s="248"/>
      <c r="CM25" s="246"/>
      <c r="CN25" s="246"/>
      <c r="CO25" s="246"/>
      <c r="CP25" s="246"/>
      <c r="CQ25" s="246"/>
      <c r="CR25" s="249"/>
      <c r="CS25" s="249"/>
      <c r="CT25" s="249"/>
      <c r="CW25" s="353" t="s">
        <v>427</v>
      </c>
      <c r="CX25" s="111">
        <v>1</v>
      </c>
      <c r="CY25" s="224"/>
      <c r="CZ25" s="111"/>
      <c r="DA25" s="111"/>
      <c r="DB25" s="311"/>
      <c r="DC25" s="312"/>
      <c r="DD25" s="312"/>
      <c r="DE25" s="312"/>
      <c r="DF25" s="312"/>
      <c r="DG25" s="312"/>
      <c r="DH25" s="313"/>
      <c r="DI25" s="314"/>
      <c r="DJ25" s="315"/>
      <c r="DK25" s="315"/>
      <c r="DM25" s="37" t="s">
        <v>253</v>
      </c>
      <c r="DN25">
        <v>1</v>
      </c>
      <c r="DO25" s="32"/>
      <c r="ED25" s="37"/>
      <c r="EF25" s="32"/>
      <c r="EI25" s="247"/>
      <c r="EJ25" s="248"/>
      <c r="EK25" s="246"/>
      <c r="EL25" s="246"/>
      <c r="EM25" s="246"/>
      <c r="EN25" s="246"/>
      <c r="EO25" s="246"/>
      <c r="EP25" s="249"/>
      <c r="EQ25" s="249"/>
      <c r="ER25" s="249"/>
    </row>
    <row r="26" spans="1:148" x14ac:dyDescent="0.3">
      <c r="A26" s="260" t="s">
        <v>428</v>
      </c>
      <c r="B26" s="260" t="s">
        <v>403</v>
      </c>
      <c r="C26" s="263">
        <v>1</v>
      </c>
      <c r="Q26" s="262" t="s">
        <v>429</v>
      </c>
      <c r="R26" s="263" t="s">
        <v>403</v>
      </c>
      <c r="S26" s="263">
        <v>1</v>
      </c>
      <c r="AH26" s="262" t="s">
        <v>430</v>
      </c>
      <c r="AI26" s="262" t="s">
        <v>384</v>
      </c>
      <c r="AJ26" s="263">
        <v>1</v>
      </c>
      <c r="AM26" s="273">
        <v>46078</v>
      </c>
      <c r="AN26" s="274" t="s">
        <v>85</v>
      </c>
      <c r="AO26" s="275" t="s">
        <v>22</v>
      </c>
      <c r="AP26" s="275" t="s">
        <v>86</v>
      </c>
      <c r="AQ26" s="275" t="s">
        <v>83</v>
      </c>
      <c r="AR26" s="275" t="s">
        <v>30</v>
      </c>
      <c r="AS26" s="275">
        <v>1</v>
      </c>
      <c r="AT26" s="276">
        <v>689</v>
      </c>
      <c r="AU26" s="276">
        <v>689</v>
      </c>
      <c r="AV26" s="276">
        <v>689</v>
      </c>
      <c r="AY26" s="37" t="s">
        <v>431</v>
      </c>
      <c r="AZ26">
        <v>1</v>
      </c>
      <c r="BA26" s="32"/>
      <c r="BD26" s="291">
        <v>46100</v>
      </c>
      <c r="BE26" s="292">
        <v>139938</v>
      </c>
      <c r="BF26" s="292" t="s">
        <v>31</v>
      </c>
      <c r="BG26" s="292" t="s">
        <v>109</v>
      </c>
      <c r="BH26" s="292" t="s">
        <v>35</v>
      </c>
      <c r="BI26" s="292" t="s">
        <v>35</v>
      </c>
      <c r="BJ26" s="293">
        <v>4</v>
      </c>
      <c r="BK26" s="294">
        <v>176</v>
      </c>
      <c r="BL26" s="295">
        <v>704</v>
      </c>
      <c r="BM26" s="299">
        <v>704</v>
      </c>
      <c r="BO26" s="37" t="s">
        <v>432</v>
      </c>
      <c r="BP26">
        <v>1</v>
      </c>
      <c r="BQ26" s="32"/>
      <c r="CF26" s="37" t="s">
        <v>433</v>
      </c>
      <c r="CG26">
        <v>1</v>
      </c>
      <c r="CH26" s="32"/>
      <c r="CK26" s="247"/>
      <c r="CL26" s="248"/>
      <c r="CM26" s="246"/>
      <c r="CN26" s="246"/>
      <c r="CO26" s="246"/>
      <c r="CP26" s="246"/>
      <c r="CQ26" s="246"/>
      <c r="CR26" s="249"/>
      <c r="CS26" s="249"/>
      <c r="CT26" s="249"/>
      <c r="CW26" s="353" t="s">
        <v>434</v>
      </c>
      <c r="CX26" s="111">
        <v>1</v>
      </c>
      <c r="CY26" s="224"/>
      <c r="CZ26" s="111"/>
      <c r="DA26" s="111"/>
      <c r="DB26" s="311"/>
      <c r="DC26" s="312"/>
      <c r="DD26" s="312"/>
      <c r="DE26" s="312"/>
      <c r="DF26" s="312"/>
      <c r="DG26" s="312"/>
      <c r="DH26" s="313"/>
      <c r="DI26" s="314"/>
      <c r="DJ26" s="315"/>
      <c r="DK26" s="315"/>
      <c r="DM26" s="37" t="s">
        <v>235</v>
      </c>
      <c r="DN26">
        <v>1</v>
      </c>
      <c r="DO26" s="32"/>
      <c r="ED26" s="37"/>
      <c r="EF26" s="32"/>
      <c r="EI26" s="247"/>
      <c r="EJ26" s="248"/>
      <c r="EK26" s="246"/>
      <c r="EL26" s="246"/>
      <c r="EM26" s="246"/>
      <c r="EN26" s="246"/>
      <c r="EO26" s="246"/>
      <c r="EP26" s="249"/>
      <c r="EQ26" s="249"/>
      <c r="ER26" s="249"/>
    </row>
    <row r="27" spans="1:148" x14ac:dyDescent="0.3">
      <c r="A27" s="260" t="s">
        <v>435</v>
      </c>
      <c r="B27" s="260" t="s">
        <v>436</v>
      </c>
      <c r="C27" s="263">
        <v>1</v>
      </c>
      <c r="Q27" s="262" t="s">
        <v>437</v>
      </c>
      <c r="R27" s="263" t="s">
        <v>403</v>
      </c>
      <c r="S27" s="263">
        <v>1</v>
      </c>
      <c r="AH27" s="262" t="s">
        <v>438</v>
      </c>
      <c r="AI27" s="262" t="s">
        <v>395</v>
      </c>
      <c r="AJ27" s="263">
        <v>1</v>
      </c>
      <c r="AM27" s="273">
        <v>46078</v>
      </c>
      <c r="AN27" s="274" t="s">
        <v>85</v>
      </c>
      <c r="AO27" s="275" t="s">
        <v>22</v>
      </c>
      <c r="AP27" s="275" t="s">
        <v>86</v>
      </c>
      <c r="AQ27" s="275" t="s">
        <v>84</v>
      </c>
      <c r="AR27" s="275" t="s">
        <v>30</v>
      </c>
      <c r="AS27" s="275">
        <v>1</v>
      </c>
      <c r="AT27" s="276">
        <v>712</v>
      </c>
      <c r="AU27" s="276">
        <v>712</v>
      </c>
      <c r="AV27" s="276">
        <v>712</v>
      </c>
      <c r="AY27" s="37" t="s">
        <v>439</v>
      </c>
      <c r="AZ27">
        <v>1</v>
      </c>
      <c r="BA27" s="32"/>
      <c r="BD27" s="291">
        <v>46104</v>
      </c>
      <c r="BE27" s="292">
        <v>139635</v>
      </c>
      <c r="BF27" s="292" t="s">
        <v>31</v>
      </c>
      <c r="BG27" s="292" t="s">
        <v>112</v>
      </c>
      <c r="BH27" s="292" t="s">
        <v>35</v>
      </c>
      <c r="BI27" s="292" t="s">
        <v>35</v>
      </c>
      <c r="BJ27" s="293">
        <v>4</v>
      </c>
      <c r="BK27" s="294">
        <v>176</v>
      </c>
      <c r="BL27" s="295">
        <v>704</v>
      </c>
      <c r="BM27" s="299">
        <v>704</v>
      </c>
      <c r="BO27" s="37" t="s">
        <v>440</v>
      </c>
      <c r="BP27">
        <v>1</v>
      </c>
      <c r="BQ27" s="32"/>
      <c r="CG27" s="1">
        <f>SUM(CG21:CG26)</f>
        <v>6</v>
      </c>
      <c r="CH27" s="32"/>
      <c r="CK27" s="247"/>
      <c r="CL27" s="248"/>
      <c r="CM27" s="246"/>
      <c r="CN27" s="246"/>
      <c r="CO27" s="246"/>
      <c r="CP27" s="246"/>
      <c r="CQ27" s="246"/>
      <c r="CR27" s="249"/>
      <c r="CS27" s="249"/>
      <c r="CT27" s="249"/>
      <c r="CW27" s="353" t="s">
        <v>441</v>
      </c>
      <c r="CX27" s="111">
        <v>1</v>
      </c>
      <c r="CY27" s="224"/>
      <c r="CZ27" s="111"/>
      <c r="DA27" s="111"/>
      <c r="DB27" s="311"/>
      <c r="DC27" s="312"/>
      <c r="DD27" s="312"/>
      <c r="DE27" s="312"/>
      <c r="DF27" s="312"/>
      <c r="DG27" s="312"/>
      <c r="DH27" s="313"/>
      <c r="DI27" s="314"/>
      <c r="DJ27" s="315"/>
      <c r="DK27" s="315"/>
      <c r="DM27" s="37" t="s">
        <v>442</v>
      </c>
      <c r="DN27">
        <v>1</v>
      </c>
      <c r="DO27" s="32"/>
      <c r="EF27" s="32"/>
      <c r="EI27" s="247"/>
      <c r="EJ27" s="248"/>
      <c r="EK27" s="246"/>
      <c r="EL27" s="246"/>
      <c r="EM27" s="246"/>
      <c r="EN27" s="246"/>
      <c r="EO27" s="246"/>
      <c r="EP27" s="249"/>
      <c r="EQ27" s="249"/>
      <c r="ER27" s="249"/>
    </row>
    <row r="28" spans="1:148" x14ac:dyDescent="0.3">
      <c r="A28" s="260" t="s">
        <v>443</v>
      </c>
      <c r="B28" s="260" t="s">
        <v>436</v>
      </c>
      <c r="C28" s="263">
        <v>1</v>
      </c>
      <c r="Q28" s="262" t="s">
        <v>444</v>
      </c>
      <c r="R28" s="263" t="s">
        <v>380</v>
      </c>
      <c r="S28" s="263">
        <v>1</v>
      </c>
      <c r="AH28" s="262" t="s">
        <v>445</v>
      </c>
      <c r="AI28" s="262" t="s">
        <v>384</v>
      </c>
      <c r="AJ28" s="263">
        <v>1</v>
      </c>
      <c r="AM28" s="273">
        <v>46078</v>
      </c>
      <c r="AN28" s="274">
        <v>138641</v>
      </c>
      <c r="AO28" s="275" t="s">
        <v>22</v>
      </c>
      <c r="AP28" s="275" t="s">
        <v>87</v>
      </c>
      <c r="AQ28" s="275" t="s">
        <v>47</v>
      </c>
      <c r="AR28" s="275" t="s">
        <v>25</v>
      </c>
      <c r="AS28" s="275">
        <v>316</v>
      </c>
      <c r="AT28" s="276">
        <v>200</v>
      </c>
      <c r="AU28" s="276">
        <v>63200</v>
      </c>
      <c r="AV28" s="276">
        <v>63200</v>
      </c>
      <c r="AY28" s="37" t="s">
        <v>434</v>
      </c>
      <c r="AZ28">
        <v>1</v>
      </c>
      <c r="BA28" s="32"/>
      <c r="BD28" s="291">
        <v>46104</v>
      </c>
      <c r="BE28" s="292">
        <v>138651</v>
      </c>
      <c r="BF28" s="292" t="s">
        <v>31</v>
      </c>
      <c r="BG28" s="292" t="s">
        <v>114</v>
      </c>
      <c r="BH28" s="292" t="s">
        <v>35</v>
      </c>
      <c r="BI28" s="292" t="s">
        <v>35</v>
      </c>
      <c r="BJ28" s="293">
        <v>2</v>
      </c>
      <c r="BK28" s="294">
        <v>176</v>
      </c>
      <c r="BL28" s="295">
        <v>352</v>
      </c>
      <c r="BM28" s="299">
        <v>352</v>
      </c>
      <c r="BO28" s="37" t="s">
        <v>446</v>
      </c>
      <c r="BP28">
        <v>1</v>
      </c>
      <c r="BQ28" s="32"/>
      <c r="CH28" s="32"/>
      <c r="CK28" s="247"/>
      <c r="CL28" s="248"/>
      <c r="CM28" s="246"/>
      <c r="CN28" s="246"/>
      <c r="CO28" s="246"/>
      <c r="CP28" s="246"/>
      <c r="CQ28" s="246"/>
      <c r="CR28" s="249"/>
      <c r="CS28" s="249"/>
      <c r="CT28" s="249"/>
      <c r="CW28" s="353" t="s">
        <v>447</v>
      </c>
      <c r="CX28" s="111">
        <v>1</v>
      </c>
      <c r="CY28" s="224"/>
      <c r="CZ28" s="111"/>
      <c r="DA28" s="111"/>
      <c r="DB28" s="311"/>
      <c r="DC28" s="312"/>
      <c r="DD28" s="312"/>
      <c r="DE28" s="312"/>
      <c r="DF28" s="312"/>
      <c r="DG28" s="312"/>
      <c r="DH28" s="313"/>
      <c r="DI28" s="314"/>
      <c r="DJ28" s="315"/>
      <c r="DK28" s="315"/>
      <c r="DM28" s="37"/>
      <c r="DN28" s="320" t="str">
        <f ca="1">SUM(DN21:DN37)</f>
        <v/>
      </c>
      <c r="DO28" s="32"/>
    </row>
    <row r="29" spans="1:148" x14ac:dyDescent="0.3">
      <c r="A29" s="260" t="s">
        <v>448</v>
      </c>
      <c r="B29" s="260" t="s">
        <v>449</v>
      </c>
      <c r="C29" s="263">
        <v>1</v>
      </c>
      <c r="Q29" s="262" t="s">
        <v>450</v>
      </c>
      <c r="R29" s="263" t="s">
        <v>380</v>
      </c>
      <c r="S29" s="263">
        <v>1</v>
      </c>
      <c r="AH29" s="262" t="s">
        <v>451</v>
      </c>
      <c r="AI29" s="262" t="s">
        <v>452</v>
      </c>
      <c r="AJ29" s="263">
        <v>1</v>
      </c>
      <c r="AM29" s="273">
        <v>46078</v>
      </c>
      <c r="AN29" s="274">
        <v>138641</v>
      </c>
      <c r="AO29" s="275" t="s">
        <v>22</v>
      </c>
      <c r="AP29" s="275" t="s">
        <v>87</v>
      </c>
      <c r="AQ29" s="275" t="s">
        <v>47</v>
      </c>
      <c r="AR29" s="275" t="s">
        <v>41</v>
      </c>
      <c r="AS29" s="275">
        <v>1</v>
      </c>
      <c r="AT29" s="276">
        <v>35502.9</v>
      </c>
      <c r="AU29" s="276">
        <v>35502.9</v>
      </c>
      <c r="AV29" s="276">
        <v>35502.9</v>
      </c>
      <c r="AY29" s="37" t="s">
        <v>453</v>
      </c>
      <c r="AZ29">
        <v>1</v>
      </c>
      <c r="BA29" s="32"/>
      <c r="BD29" s="291">
        <v>46105</v>
      </c>
      <c r="BE29" s="292">
        <v>138954</v>
      </c>
      <c r="BF29" s="292" t="s">
        <v>31</v>
      </c>
      <c r="BG29" s="292" t="s">
        <v>114</v>
      </c>
      <c r="BH29" s="292" t="s">
        <v>35</v>
      </c>
      <c r="BI29" s="292" t="s">
        <v>35</v>
      </c>
      <c r="BJ29" s="293">
        <v>36</v>
      </c>
      <c r="BK29" s="294">
        <v>176</v>
      </c>
      <c r="BL29" s="295">
        <v>6336</v>
      </c>
      <c r="BM29" s="299">
        <v>6336</v>
      </c>
      <c r="BO29" s="37" t="s">
        <v>454</v>
      </c>
      <c r="BP29">
        <v>1</v>
      </c>
      <c r="BQ29" s="32"/>
      <c r="CH29" s="32"/>
      <c r="CK29" s="247"/>
      <c r="CL29" s="248"/>
      <c r="CM29" s="246"/>
      <c r="CN29" s="246"/>
      <c r="CO29" s="246"/>
      <c r="CP29" s="246"/>
      <c r="CQ29" s="246"/>
      <c r="CR29" s="249"/>
      <c r="CS29" s="249"/>
      <c r="CT29" s="249"/>
      <c r="CW29" s="353" t="s">
        <v>455</v>
      </c>
      <c r="CX29" s="111">
        <v>1</v>
      </c>
      <c r="CY29" s="224"/>
      <c r="CZ29" s="111"/>
      <c r="DA29" s="111"/>
      <c r="DB29" s="311"/>
      <c r="DC29" s="312"/>
      <c r="DD29" s="312"/>
      <c r="DE29" s="312"/>
      <c r="DF29" s="312"/>
      <c r="DG29" s="312"/>
      <c r="DH29" s="313"/>
      <c r="DI29" s="314"/>
      <c r="DJ29" s="315"/>
      <c r="DK29" s="315"/>
      <c r="DM29" s="37"/>
      <c r="DO29" s="32"/>
    </row>
    <row r="30" spans="1:148" x14ac:dyDescent="0.3">
      <c r="A30" s="260" t="s">
        <v>456</v>
      </c>
      <c r="B30" s="260" t="s">
        <v>449</v>
      </c>
      <c r="C30" s="263">
        <v>1</v>
      </c>
      <c r="Q30" s="262" t="s">
        <v>457</v>
      </c>
      <c r="R30" s="263" t="s">
        <v>458</v>
      </c>
      <c r="S30" s="263">
        <v>1</v>
      </c>
      <c r="AH30" s="262" t="s">
        <v>459</v>
      </c>
      <c r="AI30" s="262" t="s">
        <v>395</v>
      </c>
      <c r="AJ30" s="263">
        <v>1</v>
      </c>
      <c r="AM30" s="273">
        <v>46078</v>
      </c>
      <c r="AN30" s="274">
        <v>138641</v>
      </c>
      <c r="AO30" s="275" t="s">
        <v>22</v>
      </c>
      <c r="AP30" s="275" t="s">
        <v>87</v>
      </c>
      <c r="AQ30" s="275" t="s">
        <v>47</v>
      </c>
      <c r="AR30" s="275" t="s">
        <v>30</v>
      </c>
      <c r="AS30" s="275">
        <v>30</v>
      </c>
      <c r="AT30" s="276">
        <v>275.62</v>
      </c>
      <c r="AU30" s="276">
        <v>8268.6</v>
      </c>
      <c r="AV30" s="276">
        <v>8268.6</v>
      </c>
      <c r="AY30" s="37" t="s">
        <v>460</v>
      </c>
      <c r="AZ30">
        <v>1</v>
      </c>
      <c r="BA30" s="32"/>
      <c r="BD30" s="291">
        <v>46111</v>
      </c>
      <c r="BE30" s="292">
        <v>140520</v>
      </c>
      <c r="BF30" s="292" t="s">
        <v>31</v>
      </c>
      <c r="BG30" s="292" t="s">
        <v>115</v>
      </c>
      <c r="BH30" s="292" t="s">
        <v>52</v>
      </c>
      <c r="BI30" s="292" t="s">
        <v>30</v>
      </c>
      <c r="BJ30" s="293">
        <v>1</v>
      </c>
      <c r="BK30" s="294">
        <v>1080</v>
      </c>
      <c r="BL30" s="295">
        <v>1080</v>
      </c>
      <c r="BM30" s="299">
        <v>1296</v>
      </c>
      <c r="BO30" s="37" t="s">
        <v>461</v>
      </c>
      <c r="BP30">
        <v>1</v>
      </c>
      <c r="BQ30" s="32"/>
      <c r="CH30" s="32"/>
      <c r="CK30" s="247"/>
      <c r="CL30" s="248"/>
      <c r="CM30" s="246"/>
      <c r="CN30" s="246"/>
      <c r="CO30" s="246"/>
      <c r="CP30" s="246"/>
      <c r="CQ30" s="246"/>
      <c r="CR30" s="249"/>
      <c r="CS30" s="249"/>
      <c r="CT30" s="249"/>
      <c r="CW30" s="353"/>
      <c r="CX30" s="354" t="str">
        <f ca="1">SUM(CX21:CX30)</f>
        <v/>
      </c>
      <c r="CY30" s="224"/>
      <c r="CZ30" s="111"/>
      <c r="DA30" s="111"/>
      <c r="DB30" s="311"/>
      <c r="DC30" s="312"/>
      <c r="DD30" s="312"/>
      <c r="DE30" s="312"/>
      <c r="DF30" s="312"/>
      <c r="DG30" s="312"/>
      <c r="DH30" s="313"/>
      <c r="DI30" s="314"/>
      <c r="DJ30" s="315"/>
      <c r="DK30" s="315"/>
      <c r="DM30" s="37"/>
      <c r="DO30" s="32"/>
    </row>
    <row r="31" spans="1:148" x14ac:dyDescent="0.3">
      <c r="A31" s="260" t="s">
        <v>462</v>
      </c>
      <c r="B31" s="260" t="s">
        <v>463</v>
      </c>
      <c r="C31" s="263">
        <v>1</v>
      </c>
      <c r="Q31" s="262" t="s">
        <v>464</v>
      </c>
      <c r="R31" s="263" t="s">
        <v>458</v>
      </c>
      <c r="S31" s="263">
        <v>1</v>
      </c>
      <c r="AH31" s="262" t="s">
        <v>465</v>
      </c>
      <c r="AI31" s="262" t="s">
        <v>395</v>
      </c>
      <c r="AJ31" s="263">
        <v>1</v>
      </c>
      <c r="AM31" s="273">
        <v>46078</v>
      </c>
      <c r="AN31" s="274">
        <v>138641</v>
      </c>
      <c r="AO31" s="275" t="s">
        <v>22</v>
      </c>
      <c r="AP31" s="275" t="s">
        <v>87</v>
      </c>
      <c r="AQ31" s="275" t="s">
        <v>63</v>
      </c>
      <c r="AR31" s="275" t="s">
        <v>30</v>
      </c>
      <c r="AS31" s="275">
        <v>60</v>
      </c>
      <c r="AT31" s="276">
        <v>105</v>
      </c>
      <c r="AU31" s="276">
        <v>6300</v>
      </c>
      <c r="AV31" s="276">
        <v>6300</v>
      </c>
      <c r="AY31" s="37" t="s">
        <v>466</v>
      </c>
      <c r="AZ31">
        <v>1</v>
      </c>
      <c r="BA31" s="32"/>
      <c r="BD31" s="291">
        <v>46111</v>
      </c>
      <c r="BE31" s="292">
        <v>140267</v>
      </c>
      <c r="BF31" s="292" t="s">
        <v>31</v>
      </c>
      <c r="BG31" s="292" t="s">
        <v>116</v>
      </c>
      <c r="BH31" s="292" t="s">
        <v>117</v>
      </c>
      <c r="BI31" s="292" t="s">
        <v>30</v>
      </c>
      <c r="BJ31" s="293">
        <v>32</v>
      </c>
      <c r="BK31" s="294">
        <v>14.85</v>
      </c>
      <c r="BL31" s="295">
        <v>475.2</v>
      </c>
      <c r="BM31" s="299">
        <v>570.24</v>
      </c>
      <c r="BO31" s="37" t="s">
        <v>467</v>
      </c>
      <c r="BP31">
        <v>1</v>
      </c>
      <c r="BQ31" s="32"/>
      <c r="CH31" s="32"/>
      <c r="CK31" s="247"/>
      <c r="CL31" s="248"/>
      <c r="CM31" s="246"/>
      <c r="CN31" s="246"/>
      <c r="CO31" s="246"/>
      <c r="CP31" s="246"/>
      <c r="CQ31" s="246"/>
      <c r="CR31" s="249"/>
      <c r="CS31" s="249"/>
      <c r="CT31" s="249"/>
      <c r="CW31" s="37"/>
      <c r="CY31" s="32"/>
      <c r="DB31" s="311"/>
      <c r="DC31" s="312"/>
      <c r="DD31" s="312"/>
      <c r="DE31" s="312"/>
      <c r="DF31" s="312"/>
      <c r="DG31" s="312"/>
      <c r="DH31" s="313"/>
      <c r="DI31" s="314"/>
      <c r="DJ31" s="315"/>
      <c r="DK31" s="315"/>
      <c r="DM31" s="37"/>
      <c r="DO31" s="32"/>
    </row>
    <row r="32" spans="1:148" x14ac:dyDescent="0.3">
      <c r="A32" s="260" t="s">
        <v>468</v>
      </c>
      <c r="B32" s="260" t="s">
        <v>449</v>
      </c>
      <c r="C32" s="263">
        <v>1</v>
      </c>
      <c r="Q32" s="262" t="s">
        <v>469</v>
      </c>
      <c r="R32" s="263" t="s">
        <v>458</v>
      </c>
      <c r="S32" s="263">
        <v>1</v>
      </c>
      <c r="AH32" s="262" t="s">
        <v>470</v>
      </c>
      <c r="AI32" s="262" t="s">
        <v>395</v>
      </c>
      <c r="AJ32" s="263">
        <v>1</v>
      </c>
      <c r="AM32" s="273">
        <v>46078</v>
      </c>
      <c r="AN32" s="274">
        <v>138641</v>
      </c>
      <c r="AO32" s="275" t="s">
        <v>22</v>
      </c>
      <c r="AP32" s="275" t="s">
        <v>87</v>
      </c>
      <c r="AQ32" s="275" t="s">
        <v>48</v>
      </c>
      <c r="AR32" s="275" t="s">
        <v>30</v>
      </c>
      <c r="AS32" s="275">
        <v>1</v>
      </c>
      <c r="AT32" s="276">
        <v>356.4</v>
      </c>
      <c r="AU32" s="276">
        <v>356.4</v>
      </c>
      <c r="AV32" s="276">
        <v>356.4</v>
      </c>
      <c r="AY32" s="37" t="s">
        <v>471</v>
      </c>
      <c r="AZ32">
        <v>1</v>
      </c>
      <c r="BA32" s="32"/>
      <c r="BD32" s="291">
        <v>46111</v>
      </c>
      <c r="BE32" s="292">
        <v>140084</v>
      </c>
      <c r="BF32" s="292" t="s">
        <v>31</v>
      </c>
      <c r="BG32" s="292" t="s">
        <v>118</v>
      </c>
      <c r="BH32" s="292" t="s">
        <v>35</v>
      </c>
      <c r="BI32" s="292" t="s">
        <v>35</v>
      </c>
      <c r="BJ32" s="293">
        <v>48</v>
      </c>
      <c r="BK32" s="294">
        <v>176</v>
      </c>
      <c r="BL32" s="295">
        <v>8448</v>
      </c>
      <c r="BM32" s="299">
        <v>8448</v>
      </c>
      <c r="BO32" s="37" t="s">
        <v>472</v>
      </c>
      <c r="BP32">
        <v>1</v>
      </c>
      <c r="BQ32" s="32"/>
      <c r="CH32" s="32"/>
      <c r="CK32" s="247"/>
      <c r="CL32" s="248"/>
      <c r="CM32" s="246"/>
      <c r="CN32" s="246"/>
      <c r="CO32" s="246"/>
      <c r="CP32" s="246"/>
      <c r="CQ32" s="246"/>
      <c r="CR32" s="249"/>
      <c r="CS32" s="249"/>
      <c r="CT32" s="249"/>
      <c r="CW32" s="37"/>
      <c r="CY32" s="32"/>
      <c r="DB32" s="311"/>
      <c r="DC32" s="312"/>
      <c r="DD32" s="312"/>
      <c r="DE32" s="312"/>
      <c r="DF32" s="312"/>
      <c r="DG32" s="312"/>
      <c r="DH32" s="313"/>
      <c r="DI32" s="314"/>
      <c r="DJ32" s="315"/>
      <c r="DK32" s="315"/>
      <c r="DM32" s="37"/>
      <c r="DO32" s="32"/>
    </row>
    <row r="33" spans="1:119" x14ac:dyDescent="0.3">
      <c r="A33" s="260" t="s">
        <v>473</v>
      </c>
      <c r="B33" s="260" t="s">
        <v>403</v>
      </c>
      <c r="C33" s="263">
        <v>1</v>
      </c>
      <c r="Q33" s="262" t="s">
        <v>474</v>
      </c>
      <c r="R33" s="263" t="s">
        <v>393</v>
      </c>
      <c r="S33" s="263">
        <v>1</v>
      </c>
      <c r="AH33" s="262" t="s">
        <v>475</v>
      </c>
      <c r="AI33" s="262" t="s">
        <v>458</v>
      </c>
      <c r="AJ33" s="263">
        <v>1</v>
      </c>
      <c r="AM33" s="273">
        <v>46078</v>
      </c>
      <c r="AN33" s="274">
        <v>138641</v>
      </c>
      <c r="AO33" s="275" t="s">
        <v>22</v>
      </c>
      <c r="AP33" s="275" t="s">
        <v>87</v>
      </c>
      <c r="AQ33" s="275" t="s">
        <v>52</v>
      </c>
      <c r="AR33" s="275" t="s">
        <v>30</v>
      </c>
      <c r="AS33" s="275">
        <v>1</v>
      </c>
      <c r="AT33" s="276">
        <v>1080</v>
      </c>
      <c r="AU33" s="276">
        <v>1080</v>
      </c>
      <c r="AV33" s="276">
        <v>1080</v>
      </c>
      <c r="AY33" s="37" t="s">
        <v>476</v>
      </c>
      <c r="AZ33">
        <v>1</v>
      </c>
      <c r="BA33" s="32"/>
      <c r="BD33" s="291">
        <v>46107</v>
      </c>
      <c r="BE33" s="292">
        <v>133508</v>
      </c>
      <c r="BF33" s="292" t="s">
        <v>31</v>
      </c>
      <c r="BG33" s="292" t="s">
        <v>112</v>
      </c>
      <c r="BH33" s="292" t="s">
        <v>35</v>
      </c>
      <c r="BI33" s="292" t="s">
        <v>35</v>
      </c>
      <c r="BJ33" s="293">
        <v>38.4</v>
      </c>
      <c r="BK33" s="294">
        <v>176</v>
      </c>
      <c r="BL33" s="295">
        <v>6758.4</v>
      </c>
      <c r="BM33" s="299">
        <v>6758.4</v>
      </c>
      <c r="BO33" s="37" t="s">
        <v>477</v>
      </c>
      <c r="BP33">
        <v>1</v>
      </c>
      <c r="BQ33" s="32"/>
      <c r="CH33" s="32"/>
      <c r="CK33" s="247"/>
      <c r="CL33" s="248"/>
      <c r="CM33" s="246"/>
      <c r="CN33" s="246"/>
      <c r="CO33" s="246"/>
      <c r="CP33" s="246"/>
      <c r="CQ33" s="246"/>
      <c r="CR33" s="249"/>
      <c r="CS33" s="249"/>
      <c r="CT33" s="249"/>
      <c r="CW33" s="37"/>
      <c r="CY33" s="32"/>
      <c r="DB33" s="311"/>
      <c r="DC33" s="312"/>
      <c r="DD33" s="312"/>
      <c r="DE33" s="312"/>
      <c r="DF33" s="312"/>
      <c r="DG33" s="312"/>
      <c r="DH33" s="313"/>
      <c r="DI33" s="314"/>
      <c r="DJ33" s="315"/>
      <c r="DK33" s="315"/>
      <c r="DM33" s="37"/>
      <c r="DO33" s="32"/>
    </row>
    <row r="34" spans="1:119" x14ac:dyDescent="0.3">
      <c r="A34" s="260" t="s">
        <v>478</v>
      </c>
      <c r="B34" s="260" t="s">
        <v>463</v>
      </c>
      <c r="C34" s="263">
        <v>1</v>
      </c>
      <c r="Q34" s="262" t="s">
        <v>479</v>
      </c>
      <c r="R34" s="263" t="s">
        <v>480</v>
      </c>
      <c r="S34" s="263">
        <v>1</v>
      </c>
      <c r="AH34" s="262" t="s">
        <v>481</v>
      </c>
      <c r="AI34" s="262" t="s">
        <v>395</v>
      </c>
      <c r="AJ34" s="263">
        <v>1</v>
      </c>
      <c r="AM34" s="273">
        <v>46078</v>
      </c>
      <c r="AN34" s="274">
        <v>138641</v>
      </c>
      <c r="AO34" s="275" t="s">
        <v>22</v>
      </c>
      <c r="AP34" s="275" t="s">
        <v>87</v>
      </c>
      <c r="AQ34" s="275" t="s">
        <v>54</v>
      </c>
      <c r="AR34" s="275" t="s">
        <v>30</v>
      </c>
      <c r="AS34" s="275">
        <v>5</v>
      </c>
      <c r="AT34" s="276">
        <v>142.56</v>
      </c>
      <c r="AU34" s="276">
        <v>712.8</v>
      </c>
      <c r="AV34" s="276">
        <v>712.8</v>
      </c>
      <c r="AY34" s="37" t="s">
        <v>482</v>
      </c>
      <c r="AZ34">
        <v>1</v>
      </c>
      <c r="BA34" s="32"/>
      <c r="BD34" s="296" t="s">
        <v>150</v>
      </c>
      <c r="BE34" s="297"/>
      <c r="BF34" s="297"/>
      <c r="BG34" s="297"/>
      <c r="BH34" s="297"/>
      <c r="BI34" s="297"/>
      <c r="BJ34" s="297"/>
      <c r="BK34" s="297"/>
      <c r="BL34" s="298">
        <v>75617.600000000006</v>
      </c>
      <c r="BM34" s="298">
        <v>79338.720000000001</v>
      </c>
      <c r="BO34" s="37" t="s">
        <v>483</v>
      </c>
      <c r="BP34">
        <v>1</v>
      </c>
      <c r="BQ34" s="32"/>
      <c r="CH34" s="32"/>
      <c r="CK34" s="247"/>
      <c r="CL34" s="248"/>
      <c r="CM34" s="246"/>
      <c r="CN34" s="246"/>
      <c r="CO34" s="246"/>
      <c r="CP34" s="246"/>
      <c r="CQ34" s="246"/>
      <c r="CR34" s="249"/>
      <c r="CS34" s="249"/>
      <c r="CT34" s="249"/>
      <c r="CW34" s="37"/>
      <c r="CY34" s="32"/>
      <c r="DM34" s="37"/>
      <c r="DO34" s="32"/>
    </row>
    <row r="35" spans="1:119" x14ac:dyDescent="0.3">
      <c r="A35" s="260" t="s">
        <v>80</v>
      </c>
      <c r="B35" s="260" t="s">
        <v>484</v>
      </c>
      <c r="C35" s="263">
        <v>1</v>
      </c>
      <c r="Q35" s="262" t="s">
        <v>485</v>
      </c>
      <c r="R35" s="263" t="s">
        <v>403</v>
      </c>
      <c r="S35" s="263">
        <v>1</v>
      </c>
      <c r="AH35" s="262" t="s">
        <v>390</v>
      </c>
      <c r="AI35" s="262" t="s">
        <v>395</v>
      </c>
      <c r="AJ35" s="263">
        <v>1</v>
      </c>
      <c r="AM35" s="273">
        <v>46078</v>
      </c>
      <c r="AN35" s="274">
        <v>138641</v>
      </c>
      <c r="AO35" s="275" t="s">
        <v>22</v>
      </c>
      <c r="AP35" s="275" t="s">
        <v>87</v>
      </c>
      <c r="AQ35" s="275" t="s">
        <v>83</v>
      </c>
      <c r="AR35" s="275" t="s">
        <v>30</v>
      </c>
      <c r="AS35" s="275">
        <v>1</v>
      </c>
      <c r="AT35" s="276">
        <v>689</v>
      </c>
      <c r="AU35" s="276">
        <v>689</v>
      </c>
      <c r="AV35" s="276">
        <v>689</v>
      </c>
      <c r="AY35" s="37" t="s">
        <v>486</v>
      </c>
      <c r="AZ35">
        <v>1</v>
      </c>
      <c r="BA35" s="32"/>
      <c r="BO35" s="37" t="s">
        <v>487</v>
      </c>
      <c r="BP35">
        <v>1</v>
      </c>
      <c r="BQ35" s="32"/>
      <c r="CH35" s="32"/>
      <c r="CK35" s="247"/>
      <c r="CL35" s="248"/>
      <c r="CM35" s="246"/>
      <c r="CN35" s="246"/>
      <c r="CO35" s="246"/>
      <c r="CP35" s="246"/>
      <c r="CQ35" s="246"/>
      <c r="CR35" s="249"/>
      <c r="CS35" s="249"/>
      <c r="CT35" s="249"/>
      <c r="CW35" s="37"/>
      <c r="CY35" s="32"/>
      <c r="DM35" s="37"/>
      <c r="DO35" s="32"/>
    </row>
    <row r="36" spans="1:119" x14ac:dyDescent="0.3">
      <c r="A36" s="260" t="s">
        <v>488</v>
      </c>
      <c r="B36" s="260" t="s">
        <v>463</v>
      </c>
      <c r="C36" s="263">
        <v>1</v>
      </c>
      <c r="Q36" s="262" t="s">
        <v>489</v>
      </c>
      <c r="R36" s="263" t="s">
        <v>403</v>
      </c>
      <c r="S36" s="263">
        <v>1</v>
      </c>
      <c r="AJ36" s="261">
        <f>SUM(AJ21:AJ35)</f>
        <v>15</v>
      </c>
      <c r="AM36" s="273">
        <v>46078</v>
      </c>
      <c r="AN36" s="274">
        <v>138641</v>
      </c>
      <c r="AO36" s="275" t="s">
        <v>22</v>
      </c>
      <c r="AP36" s="275" t="s">
        <v>87</v>
      </c>
      <c r="AQ36" s="275" t="s">
        <v>84</v>
      </c>
      <c r="AR36" s="275" t="s">
        <v>30</v>
      </c>
      <c r="AS36" s="275">
        <v>1</v>
      </c>
      <c r="AT36" s="276">
        <v>712</v>
      </c>
      <c r="AU36" s="276">
        <v>712</v>
      </c>
      <c r="AV36" s="276">
        <v>712</v>
      </c>
      <c r="AY36" s="37" t="s">
        <v>490</v>
      </c>
      <c r="AZ36">
        <v>1</v>
      </c>
      <c r="BA36" s="32"/>
      <c r="BO36" s="37" t="s">
        <v>491</v>
      </c>
      <c r="BP36">
        <v>1</v>
      </c>
      <c r="BQ36" s="32"/>
      <c r="CH36" s="2"/>
      <c r="CK36" s="247"/>
      <c r="CL36" s="248"/>
      <c r="CM36" s="246"/>
      <c r="CN36" s="246"/>
      <c r="CO36" s="246"/>
      <c r="CP36" s="246"/>
      <c r="CQ36" s="246"/>
      <c r="CR36" s="249"/>
      <c r="CS36" s="249"/>
      <c r="CT36" s="249"/>
      <c r="CW36" s="37"/>
      <c r="CY36" s="32"/>
      <c r="DM36" s="37"/>
      <c r="DO36" s="32"/>
    </row>
    <row r="37" spans="1:119" x14ac:dyDescent="0.3">
      <c r="A37" s="260" t="s">
        <v>492</v>
      </c>
      <c r="B37" s="260" t="s">
        <v>493</v>
      </c>
      <c r="C37" s="263">
        <v>1</v>
      </c>
      <c r="S37" s="261">
        <f>SUM(S21:S36)</f>
        <v>16</v>
      </c>
      <c r="AM37" s="273">
        <v>46078</v>
      </c>
      <c r="AN37" s="274">
        <v>138643</v>
      </c>
      <c r="AO37" s="275" t="s">
        <v>22</v>
      </c>
      <c r="AP37" s="275" t="s">
        <v>88</v>
      </c>
      <c r="AQ37" s="275" t="s">
        <v>47</v>
      </c>
      <c r="AR37" s="275" t="s">
        <v>25</v>
      </c>
      <c r="AS37" s="275">
        <v>196</v>
      </c>
      <c r="AT37" s="276">
        <v>200</v>
      </c>
      <c r="AU37" s="276">
        <v>39200</v>
      </c>
      <c r="AV37" s="276">
        <v>39200</v>
      </c>
      <c r="AY37" s="37" t="s">
        <v>494</v>
      </c>
      <c r="AZ37">
        <v>1</v>
      </c>
      <c r="BA37" s="32"/>
      <c r="BO37" s="37" t="s">
        <v>495</v>
      </c>
      <c r="BP37">
        <v>1</v>
      </c>
      <c r="BQ37" s="2"/>
      <c r="CK37" s="247"/>
      <c r="CL37" s="248"/>
      <c r="CM37" s="246"/>
      <c r="CN37" s="246"/>
      <c r="CO37" s="246"/>
      <c r="CP37" s="246"/>
      <c r="CQ37" s="246"/>
      <c r="CR37" s="249"/>
      <c r="CS37" s="249"/>
      <c r="CT37" s="249"/>
      <c r="CW37" s="37"/>
      <c r="CY37" s="32"/>
      <c r="DM37" s="37"/>
      <c r="DO37" s="2"/>
    </row>
    <row r="38" spans="1:119" x14ac:dyDescent="0.3">
      <c r="A38" s="260" t="s">
        <v>496</v>
      </c>
      <c r="B38" s="260" t="s">
        <v>497</v>
      </c>
      <c r="C38" s="263">
        <v>1</v>
      </c>
      <c r="AM38" s="273">
        <v>46078</v>
      </c>
      <c r="AN38" s="274">
        <v>138643</v>
      </c>
      <c r="AO38" s="275" t="s">
        <v>22</v>
      </c>
      <c r="AP38" s="275" t="s">
        <v>88</v>
      </c>
      <c r="AQ38" s="275" t="s">
        <v>47</v>
      </c>
      <c r="AR38" s="275" t="s">
        <v>41</v>
      </c>
      <c r="AS38" s="275">
        <v>1</v>
      </c>
      <c r="AT38" s="276">
        <v>35502.9</v>
      </c>
      <c r="AU38" s="276">
        <v>35502.9</v>
      </c>
      <c r="AV38" s="276">
        <v>35502.9</v>
      </c>
      <c r="AY38" s="37" t="s">
        <v>498</v>
      </c>
      <c r="AZ38">
        <v>1</v>
      </c>
      <c r="BA38" s="32"/>
      <c r="BP38" s="1">
        <f>SUM(BP21:BP37)</f>
        <v>18</v>
      </c>
      <c r="CK38" s="247"/>
      <c r="CL38" s="248"/>
      <c r="CM38" s="246"/>
      <c r="CN38" s="246"/>
      <c r="CO38" s="246"/>
      <c r="CP38" s="246"/>
      <c r="CQ38" s="246"/>
      <c r="CR38" s="249"/>
      <c r="CS38" s="249"/>
      <c r="CT38" s="249"/>
      <c r="CW38" s="37"/>
      <c r="CY38" s="32"/>
    </row>
    <row r="39" spans="1:119" x14ac:dyDescent="0.3">
      <c r="A39" s="260" t="s">
        <v>499</v>
      </c>
      <c r="B39" s="260" t="s">
        <v>500</v>
      </c>
      <c r="C39" s="263">
        <v>1</v>
      </c>
      <c r="AM39" s="273">
        <v>46078</v>
      </c>
      <c r="AN39" s="274">
        <v>138643</v>
      </c>
      <c r="AO39" s="275" t="s">
        <v>22</v>
      </c>
      <c r="AP39" s="275" t="s">
        <v>88</v>
      </c>
      <c r="AQ39" s="275" t="s">
        <v>47</v>
      </c>
      <c r="AR39" s="275" t="s">
        <v>30</v>
      </c>
      <c r="AS39" s="275">
        <v>14</v>
      </c>
      <c r="AT39" s="276">
        <v>275.62</v>
      </c>
      <c r="AU39" s="276">
        <v>3858.68</v>
      </c>
      <c r="AV39" s="276">
        <v>3858.68</v>
      </c>
      <c r="AY39" s="37" t="s">
        <v>501</v>
      </c>
      <c r="AZ39">
        <v>1</v>
      </c>
      <c r="BA39" s="32"/>
      <c r="CK39" s="247"/>
      <c r="CL39" s="248"/>
      <c r="CM39" s="246"/>
      <c r="CN39" s="246"/>
      <c r="CO39" s="246"/>
      <c r="CP39" s="246"/>
      <c r="CQ39" s="246"/>
      <c r="CR39" s="249"/>
      <c r="CS39" s="249"/>
      <c r="CT39" s="249"/>
      <c r="CW39" s="37"/>
      <c r="CY39" s="32"/>
    </row>
    <row r="40" spans="1:119" x14ac:dyDescent="0.3">
      <c r="A40" s="260" t="s">
        <v>502</v>
      </c>
      <c r="B40" s="260" t="s">
        <v>497</v>
      </c>
      <c r="C40" s="263">
        <v>1</v>
      </c>
      <c r="AM40" s="273">
        <v>46078</v>
      </c>
      <c r="AN40" s="274">
        <v>138643</v>
      </c>
      <c r="AO40" s="275" t="s">
        <v>22</v>
      </c>
      <c r="AP40" s="275" t="s">
        <v>88</v>
      </c>
      <c r="AQ40" s="275" t="s">
        <v>63</v>
      </c>
      <c r="AR40" s="275" t="s">
        <v>30</v>
      </c>
      <c r="AS40" s="275">
        <v>48</v>
      </c>
      <c r="AT40" s="276">
        <v>115</v>
      </c>
      <c r="AU40" s="276">
        <v>5520</v>
      </c>
      <c r="AV40" s="276">
        <v>5520</v>
      </c>
      <c r="AY40" s="37" t="s">
        <v>503</v>
      </c>
      <c r="AZ40">
        <v>1</v>
      </c>
      <c r="BA40" s="32"/>
      <c r="CK40" s="247"/>
      <c r="CL40" s="248"/>
      <c r="CM40" s="246"/>
      <c r="CN40" s="246"/>
      <c r="CO40" s="246"/>
      <c r="CP40" s="246"/>
      <c r="CQ40" s="246"/>
      <c r="CR40" s="249"/>
      <c r="CS40" s="249"/>
      <c r="CT40" s="249"/>
      <c r="CW40" s="37"/>
      <c r="CY40" s="32"/>
    </row>
    <row r="41" spans="1:119" x14ac:dyDescent="0.3">
      <c r="A41" s="260" t="s">
        <v>504</v>
      </c>
      <c r="B41" s="260" t="s">
        <v>497</v>
      </c>
      <c r="C41" s="263">
        <v>1</v>
      </c>
      <c r="AM41" s="273">
        <v>46078</v>
      </c>
      <c r="AN41" s="274">
        <v>138643</v>
      </c>
      <c r="AO41" s="275" t="s">
        <v>22</v>
      </c>
      <c r="AP41" s="275" t="s">
        <v>88</v>
      </c>
      <c r="AQ41" s="275" t="s">
        <v>89</v>
      </c>
      <c r="AR41" s="275" t="s">
        <v>30</v>
      </c>
      <c r="AS41" s="275">
        <v>1</v>
      </c>
      <c r="AT41" s="276">
        <v>356.4</v>
      </c>
      <c r="AU41" s="276">
        <v>356.4</v>
      </c>
      <c r="AV41" s="276">
        <v>356.4</v>
      </c>
      <c r="AY41" s="37" t="s">
        <v>505</v>
      </c>
      <c r="AZ41">
        <v>1</v>
      </c>
      <c r="BA41" s="32"/>
      <c r="CK41" s="247"/>
      <c r="CL41" s="248"/>
      <c r="CM41" s="246"/>
      <c r="CN41" s="246"/>
      <c r="CO41" s="246"/>
      <c r="CP41" s="246"/>
      <c r="CQ41" s="246"/>
      <c r="CR41" s="249"/>
      <c r="CS41" s="249"/>
      <c r="CT41" s="249"/>
      <c r="CW41" s="37"/>
      <c r="CY41" s="32"/>
    </row>
    <row r="42" spans="1:119" x14ac:dyDescent="0.3">
      <c r="A42" s="260" t="s">
        <v>506</v>
      </c>
      <c r="B42" s="260" t="s">
        <v>507</v>
      </c>
      <c r="C42" s="263">
        <v>1</v>
      </c>
      <c r="AM42" s="273">
        <v>46078</v>
      </c>
      <c r="AN42" s="274">
        <v>138643</v>
      </c>
      <c r="AO42" s="275" t="s">
        <v>22</v>
      </c>
      <c r="AP42" s="275" t="s">
        <v>88</v>
      </c>
      <c r="AQ42" s="275" t="s">
        <v>52</v>
      </c>
      <c r="AR42" s="275" t="s">
        <v>30</v>
      </c>
      <c r="AS42" s="275">
        <v>1</v>
      </c>
      <c r="AT42" s="276">
        <v>1080</v>
      </c>
      <c r="AU42" s="276">
        <v>1080</v>
      </c>
      <c r="AV42" s="276">
        <v>1080</v>
      </c>
      <c r="AZ42" s="1">
        <f>SUM(AZ21:AZ41)</f>
        <v>21</v>
      </c>
      <c r="BA42" s="32"/>
      <c r="CK42" s="247"/>
      <c r="CL42" s="248"/>
      <c r="CM42" s="246"/>
      <c r="CN42" s="246"/>
      <c r="CO42" s="246"/>
      <c r="CP42" s="246"/>
      <c r="CQ42" s="246"/>
      <c r="CR42" s="249"/>
      <c r="CS42" s="249"/>
      <c r="CT42" s="249"/>
      <c r="CY42" s="32"/>
    </row>
    <row r="43" spans="1:119" x14ac:dyDescent="0.3">
      <c r="A43" s="260" t="s">
        <v>255</v>
      </c>
      <c r="B43" s="260" t="s">
        <v>393</v>
      </c>
      <c r="C43" s="263">
        <v>1</v>
      </c>
      <c r="AM43" s="273">
        <v>46078</v>
      </c>
      <c r="AN43" s="274">
        <v>138643</v>
      </c>
      <c r="AO43" s="275" t="s">
        <v>22</v>
      </c>
      <c r="AP43" s="275" t="s">
        <v>88</v>
      </c>
      <c r="AQ43" s="275" t="s">
        <v>83</v>
      </c>
      <c r="AR43" s="275" t="s">
        <v>30</v>
      </c>
      <c r="AS43" s="275">
        <v>1</v>
      </c>
      <c r="AT43" s="276">
        <v>689</v>
      </c>
      <c r="AU43" s="276">
        <v>689</v>
      </c>
      <c r="AV43" s="276">
        <v>689</v>
      </c>
      <c r="BA43" s="32"/>
      <c r="CK43" s="247"/>
      <c r="CL43" s="248"/>
      <c r="CM43" s="246"/>
      <c r="CN43" s="246"/>
      <c r="CO43" s="246"/>
      <c r="CP43" s="246"/>
      <c r="CQ43" s="246"/>
      <c r="CR43" s="249"/>
      <c r="CS43" s="249"/>
      <c r="CT43" s="249"/>
    </row>
    <row r="44" spans="1:119" ht="15" customHeight="1" thickBot="1" x14ac:dyDescent="0.35">
      <c r="A44" s="260" t="s">
        <v>508</v>
      </c>
      <c r="B44" s="260" t="s">
        <v>401</v>
      </c>
      <c r="C44" s="263">
        <v>1</v>
      </c>
      <c r="AM44" s="273">
        <v>46078</v>
      </c>
      <c r="AN44" s="274">
        <v>138643</v>
      </c>
      <c r="AO44" s="275" t="s">
        <v>22</v>
      </c>
      <c r="AP44" s="275" t="s">
        <v>88</v>
      </c>
      <c r="AQ44" s="275" t="s">
        <v>84</v>
      </c>
      <c r="AR44" s="275" t="s">
        <v>30</v>
      </c>
      <c r="AS44" s="275">
        <v>1</v>
      </c>
      <c r="AT44" s="276">
        <v>712</v>
      </c>
      <c r="AU44" s="276">
        <v>712</v>
      </c>
      <c r="AV44" s="276">
        <v>712</v>
      </c>
      <c r="BA44" s="32"/>
      <c r="CK44" s="247"/>
      <c r="CL44" s="248"/>
      <c r="CM44" s="246"/>
      <c r="CN44" s="246"/>
      <c r="CO44" s="246"/>
      <c r="CP44" s="246"/>
      <c r="CQ44" s="246"/>
      <c r="CR44" s="249"/>
      <c r="CS44" s="249"/>
      <c r="CT44" s="249"/>
    </row>
    <row r="45" spans="1:119" ht="15" customHeight="1" thickTop="1" x14ac:dyDescent="0.3">
      <c r="A45" s="260" t="s">
        <v>509</v>
      </c>
      <c r="B45" s="260" t="s">
        <v>401</v>
      </c>
      <c r="C45" s="263">
        <v>1</v>
      </c>
      <c r="AM45" s="277" t="s">
        <v>150</v>
      </c>
      <c r="AN45" s="278"/>
      <c r="AO45" s="279"/>
      <c r="AP45" s="279"/>
      <c r="AQ45" s="279"/>
      <c r="AR45" s="279"/>
      <c r="AS45" s="279"/>
      <c r="AT45" s="279"/>
      <c r="AU45" s="280">
        <v>422265.67</v>
      </c>
      <c r="AV45" s="280">
        <v>422336.95</v>
      </c>
      <c r="BA45" s="32"/>
      <c r="CK45" s="305"/>
      <c r="CL45" s="306"/>
      <c r="CM45" s="305"/>
      <c r="CN45" s="305"/>
      <c r="CO45" s="305"/>
      <c r="CP45" s="305"/>
      <c r="CQ45" s="305"/>
      <c r="CR45" s="305"/>
      <c r="CS45" s="307"/>
      <c r="CT45" s="307"/>
    </row>
    <row r="46" spans="1:119" x14ac:dyDescent="0.3">
      <c r="A46" s="260" t="s">
        <v>510</v>
      </c>
      <c r="B46" s="260" t="s">
        <v>511</v>
      </c>
      <c r="C46" s="263">
        <v>1</v>
      </c>
      <c r="BA46" s="32"/>
    </row>
    <row r="47" spans="1:119" x14ac:dyDescent="0.3">
      <c r="C47" s="261">
        <f>SUM(C21:C46)</f>
        <v>26</v>
      </c>
      <c r="BA47" s="2"/>
    </row>
  </sheetData>
  <mergeCells count="3">
    <mergeCell ref="A5:D5"/>
    <mergeCell ref="AY5:BB5"/>
    <mergeCell ref="CW5:CZ5"/>
  </mergeCells>
  <conditionalFormatting sqref="A13:C13">
    <cfRule type="cellIs" dxfId="17" priority="9" operator="notEqual">
      <formula>"NÃO CUMPRIU A META INDIVIDUAL"</formula>
    </cfRule>
    <cfRule type="containsText" dxfId="16" priority="10" operator="containsText" text="NÃO CUMPRIU">
      <formula>NOT(ISERROR(SEARCH("NÃO CUMPRIU",A13)))</formula>
    </cfRule>
  </conditionalFormatting>
  <conditionalFormatting sqref="AY13:BA13">
    <cfRule type="cellIs" dxfId="15" priority="3" operator="notEqual">
      <formula>"NÃO CUMPRIU A META INDIVIDUAL"</formula>
    </cfRule>
    <cfRule type="containsText" dxfId="14" priority="4" operator="containsText" text="NÃO CUMPRIU">
      <formula>NOT(ISERROR(SEARCH("NÃO CUMPRIU",AY13)))</formula>
    </cfRule>
  </conditionalFormatting>
  <conditionalFormatting sqref="CW13:CY13">
    <cfRule type="cellIs" dxfId="13" priority="1" operator="notEqual">
      <formula>"NÃO CUMPRIU A META INDIVIDUAL"</formula>
    </cfRule>
    <cfRule type="containsText" dxfId="12" priority="2" operator="containsText" text="NÃO CUMPRIU">
      <formula>NOT(ISERROR(SEARCH("NÃO CUMPRIU",CW13)))</formula>
    </cfRule>
  </conditionalFormatting>
  <pageMargins left="0.511811024" right="0.511811024" top="0.78740157499999996" bottom="0.78740157499999996" header="0.31496062000000002" footer="0.31496062000000002"/>
  <pageSetup paperSize="9" scale="64"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21"/>
  <sheetViews>
    <sheetView showGridLines="0" topLeftCell="A12" workbookViewId="0">
      <selection activeCell="D130" sqref="D130"/>
    </sheetView>
  </sheetViews>
  <sheetFormatPr defaultColWidth="9.109375" defaultRowHeight="13.8" x14ac:dyDescent="0.3"/>
  <cols>
    <col min="1" max="1" width="10.44140625" style="246" bestFit="1" customWidth="1"/>
    <col min="2" max="2" width="14.44140625" style="248" bestFit="1" customWidth="1"/>
    <col min="3" max="3" width="32.44140625" style="246" bestFit="1" customWidth="1"/>
    <col min="4" max="4" width="15.88671875" style="246" bestFit="1" customWidth="1"/>
    <col min="5" max="5" width="19.5546875" style="246" bestFit="1" customWidth="1"/>
    <col min="6" max="6" width="24.5546875" style="246" bestFit="1" customWidth="1"/>
    <col min="7" max="7" width="11.88671875" style="246" bestFit="1" customWidth="1"/>
    <col min="8" max="8" width="12.44140625" style="246" bestFit="1" customWidth="1"/>
    <col min="9" max="10" width="13.5546875" style="246" bestFit="1" customWidth="1"/>
    <col min="11" max="11" width="16.44140625" style="246" bestFit="1" customWidth="1"/>
    <col min="12" max="12" width="20.44140625" style="246" bestFit="1" customWidth="1"/>
    <col min="13" max="13" width="14.109375" style="246" bestFit="1" customWidth="1"/>
    <col min="14" max="15" width="19" style="246" bestFit="1" customWidth="1"/>
    <col min="16" max="16" width="9.6640625" style="246" bestFit="1" customWidth="1"/>
    <col min="17" max="17" width="22.5546875" style="246" bestFit="1" customWidth="1"/>
    <col min="18" max="18" width="6.33203125" style="246" customWidth="1"/>
    <col min="19" max="19" width="9.5546875" style="246" bestFit="1" customWidth="1"/>
    <col min="20" max="20" width="10.33203125" style="246" bestFit="1" customWidth="1"/>
    <col min="21" max="21" width="18.44140625" style="246" bestFit="1" customWidth="1"/>
    <col min="22" max="22" width="9.109375" style="246" customWidth="1"/>
    <col min="23" max="16384" width="9.109375" style="246"/>
  </cols>
  <sheetData>
    <row r="1" spans="1:21" x14ac:dyDescent="0.3">
      <c r="A1" s="246" t="s">
        <v>0</v>
      </c>
      <c r="B1" s="248" t="s">
        <v>1</v>
      </c>
      <c r="C1" s="246" t="s">
        <v>2</v>
      </c>
      <c r="D1" s="246" t="s">
        <v>3</v>
      </c>
      <c r="E1" s="246" t="s">
        <v>4</v>
      </c>
      <c r="F1" s="246" t="s">
        <v>5</v>
      </c>
      <c r="G1" s="246" t="s">
        <v>6</v>
      </c>
      <c r="H1" s="246" t="s">
        <v>7</v>
      </c>
      <c r="I1" s="246" t="s">
        <v>8</v>
      </c>
      <c r="J1" s="246" t="s">
        <v>9</v>
      </c>
      <c r="K1" s="246" t="s">
        <v>10</v>
      </c>
      <c r="L1" s="246" t="s">
        <v>11</v>
      </c>
      <c r="M1" s="246" t="s">
        <v>12</v>
      </c>
      <c r="N1" s="246" t="s">
        <v>13</v>
      </c>
      <c r="O1" s="246" t="s">
        <v>14</v>
      </c>
      <c r="P1" s="246" t="s">
        <v>15</v>
      </c>
      <c r="Q1" s="246" t="s">
        <v>16</v>
      </c>
      <c r="R1" s="246" t="s">
        <v>17</v>
      </c>
      <c r="S1" s="246" t="s">
        <v>18</v>
      </c>
      <c r="T1" s="246" t="s">
        <v>20</v>
      </c>
      <c r="U1" s="246" t="s">
        <v>21</v>
      </c>
    </row>
    <row r="2" spans="1:21" x14ac:dyDescent="0.3">
      <c r="A2" s="247">
        <v>46055</v>
      </c>
      <c r="B2" s="248">
        <v>130904</v>
      </c>
      <c r="C2" s="246" t="s">
        <v>44</v>
      </c>
      <c r="D2" s="246" t="s">
        <v>68</v>
      </c>
      <c r="E2" s="246" t="s">
        <v>69</v>
      </c>
      <c r="F2" s="246" t="s">
        <v>41</v>
      </c>
      <c r="G2" s="246">
        <v>1</v>
      </c>
      <c r="H2" s="249">
        <v>22270</v>
      </c>
      <c r="I2" s="249">
        <v>22270</v>
      </c>
      <c r="J2" s="249">
        <v>22270</v>
      </c>
      <c r="K2" s="250">
        <v>7.0000000000000007E-2</v>
      </c>
      <c r="L2" s="250">
        <v>1.7500000000000002E-2</v>
      </c>
      <c r="M2" s="246" t="s">
        <v>46</v>
      </c>
      <c r="N2" s="249">
        <v>1558.9</v>
      </c>
      <c r="O2" s="249">
        <v>389.72500000000002</v>
      </c>
      <c r="P2" s="246" t="s">
        <v>27</v>
      </c>
      <c r="Q2" s="246" t="s">
        <v>27</v>
      </c>
      <c r="S2" s="246">
        <v>10</v>
      </c>
      <c r="T2" s="246" t="s">
        <v>28</v>
      </c>
      <c r="U2" s="246" t="s">
        <v>44</v>
      </c>
    </row>
    <row r="3" spans="1:21" x14ac:dyDescent="0.3">
      <c r="A3" s="247">
        <v>46055</v>
      </c>
      <c r="B3" s="248">
        <v>130904</v>
      </c>
      <c r="C3" s="246" t="s">
        <v>44</v>
      </c>
      <c r="D3" s="246" t="s">
        <v>68</v>
      </c>
      <c r="E3" s="246" t="s">
        <v>69</v>
      </c>
      <c r="F3" s="246" t="s">
        <v>30</v>
      </c>
      <c r="G3" s="246">
        <v>1</v>
      </c>
      <c r="H3" s="249">
        <v>3000</v>
      </c>
      <c r="I3" s="249">
        <v>3000</v>
      </c>
      <c r="J3" s="249">
        <v>3600</v>
      </c>
      <c r="K3" s="250">
        <v>1</v>
      </c>
      <c r="L3" s="250">
        <v>0.25</v>
      </c>
      <c r="M3" s="246" t="s">
        <v>46</v>
      </c>
      <c r="N3" s="249">
        <v>3000</v>
      </c>
      <c r="O3" s="249">
        <v>750</v>
      </c>
      <c r="P3" s="246" t="s">
        <v>27</v>
      </c>
      <c r="Q3" s="246" t="s">
        <v>27</v>
      </c>
      <c r="S3" s="246">
        <v>1</v>
      </c>
      <c r="T3" s="246" t="s">
        <v>28</v>
      </c>
      <c r="U3" s="246" t="s">
        <v>44</v>
      </c>
    </row>
    <row r="4" spans="1:21" x14ac:dyDescent="0.3">
      <c r="A4" s="247">
        <v>46055</v>
      </c>
      <c r="B4" s="248">
        <v>128860</v>
      </c>
      <c r="C4" s="246" t="s">
        <v>22</v>
      </c>
      <c r="D4" s="246" t="s">
        <v>70</v>
      </c>
      <c r="E4" s="246" t="s">
        <v>24</v>
      </c>
      <c r="F4" s="246" t="s">
        <v>25</v>
      </c>
      <c r="G4" s="246">
        <v>110</v>
      </c>
      <c r="H4" s="249">
        <v>185</v>
      </c>
      <c r="I4" s="249">
        <v>20350</v>
      </c>
      <c r="J4" s="249">
        <v>20350</v>
      </c>
      <c r="K4" s="250">
        <v>7.0000000000000007E-2</v>
      </c>
      <c r="L4" s="250">
        <v>0</v>
      </c>
      <c r="M4" s="246" t="s">
        <v>46</v>
      </c>
      <c r="N4" s="249">
        <v>1424.5</v>
      </c>
      <c r="O4" s="249">
        <v>0</v>
      </c>
      <c r="P4" s="246" t="s">
        <v>36</v>
      </c>
      <c r="Q4" s="246" t="s">
        <v>37</v>
      </c>
      <c r="S4" s="246">
        <v>6</v>
      </c>
      <c r="T4" s="246" t="s">
        <v>38</v>
      </c>
      <c r="U4" s="246" t="s">
        <v>22</v>
      </c>
    </row>
    <row r="5" spans="1:21" x14ac:dyDescent="0.3">
      <c r="A5" s="247">
        <v>46055</v>
      </c>
      <c r="B5" s="248">
        <v>128860</v>
      </c>
      <c r="C5" s="246" t="s">
        <v>22</v>
      </c>
      <c r="D5" s="246" t="s">
        <v>70</v>
      </c>
      <c r="E5" s="246" t="s">
        <v>63</v>
      </c>
      <c r="F5" s="246" t="s">
        <v>30</v>
      </c>
      <c r="G5" s="246">
        <v>15</v>
      </c>
      <c r="H5" s="249">
        <v>87</v>
      </c>
      <c r="I5" s="249">
        <v>1305</v>
      </c>
      <c r="J5" s="249">
        <v>1305</v>
      </c>
      <c r="K5" s="250">
        <v>1</v>
      </c>
      <c r="L5" s="250">
        <v>0</v>
      </c>
      <c r="M5" s="246" t="s">
        <v>46</v>
      </c>
      <c r="N5" s="249">
        <v>1305</v>
      </c>
      <c r="O5" s="249">
        <v>0</v>
      </c>
      <c r="P5" s="246" t="s">
        <v>36</v>
      </c>
      <c r="Q5" s="246" t="s">
        <v>37</v>
      </c>
      <c r="S5" s="246">
        <v>1</v>
      </c>
      <c r="T5" s="246" t="s">
        <v>38</v>
      </c>
      <c r="U5" s="246" t="s">
        <v>22</v>
      </c>
    </row>
    <row r="6" spans="1:21" x14ac:dyDescent="0.3">
      <c r="A6" s="247">
        <v>46055</v>
      </c>
      <c r="B6" s="248">
        <v>128860</v>
      </c>
      <c r="C6" s="246" t="s">
        <v>22</v>
      </c>
      <c r="D6" s="246" t="s">
        <v>70</v>
      </c>
      <c r="E6" s="246" t="s">
        <v>71</v>
      </c>
      <c r="F6" s="246" t="s">
        <v>30</v>
      </c>
      <c r="G6" s="246">
        <v>10</v>
      </c>
      <c r="H6" s="249">
        <v>43.5</v>
      </c>
      <c r="I6" s="249">
        <v>435</v>
      </c>
      <c r="J6" s="249">
        <v>435</v>
      </c>
      <c r="K6" s="250">
        <v>1</v>
      </c>
      <c r="L6" s="250">
        <v>0</v>
      </c>
      <c r="M6" s="246" t="s">
        <v>46</v>
      </c>
      <c r="N6" s="249">
        <v>435</v>
      </c>
      <c r="O6" s="249">
        <v>0</v>
      </c>
      <c r="P6" s="246" t="s">
        <v>36</v>
      </c>
      <c r="Q6" s="246" t="s">
        <v>37</v>
      </c>
      <c r="S6" s="246">
        <v>1</v>
      </c>
      <c r="T6" s="246" t="s">
        <v>38</v>
      </c>
      <c r="U6" s="246" t="s">
        <v>22</v>
      </c>
    </row>
    <row r="7" spans="1:21" x14ac:dyDescent="0.3">
      <c r="A7" s="247">
        <v>46059</v>
      </c>
      <c r="B7" s="248">
        <v>137190</v>
      </c>
      <c r="C7" s="246" t="s">
        <v>44</v>
      </c>
      <c r="D7" s="246" t="s">
        <v>72</v>
      </c>
      <c r="E7" s="246" t="s">
        <v>47</v>
      </c>
      <c r="F7" s="246" t="s">
        <v>25</v>
      </c>
      <c r="G7" s="246">
        <v>290</v>
      </c>
      <c r="H7" s="249">
        <v>200</v>
      </c>
      <c r="I7" s="249">
        <v>58000</v>
      </c>
      <c r="J7" s="249">
        <v>58000</v>
      </c>
      <c r="K7" s="250">
        <v>0.05</v>
      </c>
      <c r="L7" s="250">
        <v>1.2500000000000001E-2</v>
      </c>
      <c r="M7" s="246" t="s">
        <v>46</v>
      </c>
      <c r="N7" s="249">
        <v>2900</v>
      </c>
      <c r="O7" s="249">
        <v>725</v>
      </c>
      <c r="P7" s="246" t="s">
        <v>27</v>
      </c>
      <c r="Q7" s="246" t="s">
        <v>27</v>
      </c>
      <c r="S7" s="246">
        <v>12</v>
      </c>
      <c r="T7" s="246" t="s">
        <v>28</v>
      </c>
      <c r="U7" s="246" t="s">
        <v>44</v>
      </c>
    </row>
    <row r="8" spans="1:21" x14ac:dyDescent="0.3">
      <c r="A8" s="247">
        <v>46059</v>
      </c>
      <c r="B8" s="248">
        <v>137370</v>
      </c>
      <c r="C8" s="246" t="s">
        <v>44</v>
      </c>
      <c r="D8" s="246" t="s">
        <v>72</v>
      </c>
      <c r="E8" s="246" t="s">
        <v>47</v>
      </c>
      <c r="F8" s="246" t="s">
        <v>30</v>
      </c>
      <c r="G8" s="246">
        <v>20</v>
      </c>
      <c r="H8" s="249">
        <v>255</v>
      </c>
      <c r="I8" s="249">
        <v>5100</v>
      </c>
      <c r="J8" s="249">
        <v>5100</v>
      </c>
      <c r="K8" s="250">
        <v>1</v>
      </c>
      <c r="L8" s="250">
        <v>0.25</v>
      </c>
      <c r="M8" s="246" t="s">
        <v>46</v>
      </c>
      <c r="N8" s="249">
        <v>5100</v>
      </c>
      <c r="O8" s="249">
        <v>1275</v>
      </c>
      <c r="P8" s="246" t="s">
        <v>27</v>
      </c>
      <c r="Q8" s="246" t="s">
        <v>27</v>
      </c>
      <c r="S8" s="246">
        <v>1</v>
      </c>
      <c r="T8" s="246" t="s">
        <v>28</v>
      </c>
      <c r="U8" s="246" t="s">
        <v>44</v>
      </c>
    </row>
    <row r="9" spans="1:21" x14ac:dyDescent="0.3">
      <c r="A9" s="247">
        <v>46059</v>
      </c>
      <c r="B9" s="248">
        <v>137370</v>
      </c>
      <c r="C9" s="246" t="s">
        <v>44</v>
      </c>
      <c r="D9" s="246" t="s">
        <v>72</v>
      </c>
      <c r="E9" s="246" t="s">
        <v>63</v>
      </c>
      <c r="F9" s="246" t="s">
        <v>30</v>
      </c>
      <c r="G9" s="246">
        <v>20</v>
      </c>
      <c r="H9" s="249">
        <v>90</v>
      </c>
      <c r="I9" s="249">
        <v>1800</v>
      </c>
      <c r="J9" s="249">
        <v>1800</v>
      </c>
      <c r="K9" s="250">
        <v>1</v>
      </c>
      <c r="L9" s="250">
        <v>0.25</v>
      </c>
      <c r="M9" s="246" t="s">
        <v>46</v>
      </c>
      <c r="N9" s="249">
        <v>1800</v>
      </c>
      <c r="O9" s="249">
        <v>450</v>
      </c>
      <c r="P9" s="246" t="s">
        <v>27</v>
      </c>
      <c r="Q9" s="246" t="s">
        <v>27</v>
      </c>
      <c r="S9" s="246">
        <v>1</v>
      </c>
      <c r="T9" s="246" t="s">
        <v>28</v>
      </c>
      <c r="U9" s="246" t="s">
        <v>44</v>
      </c>
    </row>
    <row r="10" spans="1:21" x14ac:dyDescent="0.3">
      <c r="A10" s="247">
        <v>46059</v>
      </c>
      <c r="B10" s="248">
        <v>137370</v>
      </c>
      <c r="C10" s="246" t="s">
        <v>44</v>
      </c>
      <c r="D10" s="246" t="s">
        <v>72</v>
      </c>
      <c r="E10" s="246" t="s">
        <v>48</v>
      </c>
      <c r="F10" s="246" t="s">
        <v>30</v>
      </c>
      <c r="G10" s="246">
        <v>1</v>
      </c>
      <c r="H10" s="249">
        <v>330</v>
      </c>
      <c r="I10" s="249">
        <v>330</v>
      </c>
      <c r="J10" s="249">
        <v>330</v>
      </c>
      <c r="K10" s="250">
        <v>1</v>
      </c>
      <c r="L10" s="250">
        <v>0.25</v>
      </c>
      <c r="M10" s="246" t="s">
        <v>46</v>
      </c>
      <c r="N10" s="249">
        <v>330</v>
      </c>
      <c r="O10" s="249">
        <v>82.5</v>
      </c>
      <c r="P10" s="246" t="s">
        <v>27</v>
      </c>
      <c r="Q10" s="246" t="s">
        <v>27</v>
      </c>
      <c r="S10" s="246">
        <v>1</v>
      </c>
      <c r="T10" s="246" t="s">
        <v>28</v>
      </c>
      <c r="U10" s="246" t="s">
        <v>44</v>
      </c>
    </row>
    <row r="11" spans="1:21" x14ac:dyDescent="0.3">
      <c r="A11" s="247">
        <v>46059</v>
      </c>
      <c r="B11" s="248">
        <v>137739</v>
      </c>
      <c r="C11" s="246" t="s">
        <v>31</v>
      </c>
      <c r="D11" s="246" t="s">
        <v>73</v>
      </c>
      <c r="E11" s="246" t="s">
        <v>52</v>
      </c>
      <c r="F11" s="246" t="s">
        <v>41</v>
      </c>
      <c r="G11" s="246">
        <v>1</v>
      </c>
      <c r="H11" s="249">
        <v>8100</v>
      </c>
      <c r="I11" s="249">
        <v>8100</v>
      </c>
      <c r="J11" s="249">
        <v>9720</v>
      </c>
      <c r="K11" s="250">
        <v>0.25</v>
      </c>
      <c r="L11" s="250">
        <v>6.25E-2</v>
      </c>
      <c r="M11" s="246" t="s">
        <v>26</v>
      </c>
      <c r="N11" s="249">
        <v>2025</v>
      </c>
      <c r="O11" s="249">
        <v>506.25</v>
      </c>
      <c r="P11" s="246" t="s">
        <v>27</v>
      </c>
      <c r="Q11" s="246" t="s">
        <v>27</v>
      </c>
      <c r="S11" s="246">
        <v>6</v>
      </c>
      <c r="T11" s="246" t="s">
        <v>28</v>
      </c>
      <c r="U11" s="246" t="s">
        <v>31</v>
      </c>
    </row>
    <row r="12" spans="1:21" x14ac:dyDescent="0.3">
      <c r="A12" s="247">
        <v>46059</v>
      </c>
      <c r="B12" s="248">
        <v>137739</v>
      </c>
      <c r="C12" s="246" t="s">
        <v>31</v>
      </c>
      <c r="D12" s="246" t="s">
        <v>73</v>
      </c>
      <c r="E12" s="246" t="s">
        <v>52</v>
      </c>
      <c r="F12" s="246" t="s">
        <v>30</v>
      </c>
      <c r="G12" s="246">
        <v>1</v>
      </c>
      <c r="H12" s="249">
        <v>1080</v>
      </c>
      <c r="I12" s="249">
        <v>1080</v>
      </c>
      <c r="J12" s="249">
        <v>1296</v>
      </c>
      <c r="K12" s="250">
        <v>1</v>
      </c>
      <c r="L12" s="250">
        <v>0.25</v>
      </c>
      <c r="M12" s="246" t="s">
        <v>26</v>
      </c>
      <c r="N12" s="249">
        <v>1080</v>
      </c>
      <c r="O12" s="249">
        <v>270</v>
      </c>
      <c r="P12" s="246" t="s">
        <v>27</v>
      </c>
      <c r="Q12" s="246" t="s">
        <v>27</v>
      </c>
      <c r="S12" s="246">
        <v>1</v>
      </c>
      <c r="T12" s="246" t="s">
        <v>28</v>
      </c>
      <c r="U12" s="246" t="s">
        <v>31</v>
      </c>
    </row>
    <row r="13" spans="1:21" x14ac:dyDescent="0.3">
      <c r="A13" s="247">
        <v>46059</v>
      </c>
      <c r="B13" s="248">
        <v>137720</v>
      </c>
      <c r="C13" s="246" t="s">
        <v>31</v>
      </c>
      <c r="D13" s="246" t="s">
        <v>74</v>
      </c>
      <c r="E13" s="246" t="s">
        <v>63</v>
      </c>
      <c r="F13" s="246" t="s">
        <v>30</v>
      </c>
      <c r="G13" s="246">
        <v>5</v>
      </c>
      <c r="H13" s="249">
        <v>115</v>
      </c>
      <c r="I13" s="249">
        <v>575</v>
      </c>
      <c r="J13" s="249">
        <v>690</v>
      </c>
      <c r="K13" s="250">
        <v>1</v>
      </c>
      <c r="L13" s="250">
        <v>0.25</v>
      </c>
      <c r="M13" s="246" t="s">
        <v>26</v>
      </c>
      <c r="N13" s="249">
        <v>575</v>
      </c>
      <c r="O13" s="249">
        <v>143.75</v>
      </c>
      <c r="P13" s="246" t="s">
        <v>27</v>
      </c>
      <c r="Q13" s="246" t="s">
        <v>27</v>
      </c>
      <c r="S13" s="246">
        <v>1</v>
      </c>
      <c r="T13" s="246" t="s">
        <v>28</v>
      </c>
      <c r="U13" s="246" t="s">
        <v>31</v>
      </c>
    </row>
    <row r="14" spans="1:21" x14ac:dyDescent="0.3">
      <c r="A14" s="247">
        <v>46059</v>
      </c>
      <c r="B14" s="248">
        <v>137481</v>
      </c>
      <c r="C14" s="246" t="s">
        <v>31</v>
      </c>
      <c r="D14" s="246" t="s">
        <v>75</v>
      </c>
      <c r="E14" s="246" t="s">
        <v>24</v>
      </c>
      <c r="F14" s="246" t="s">
        <v>25</v>
      </c>
      <c r="G14" s="246">
        <v>8</v>
      </c>
      <c r="H14" s="249">
        <v>189</v>
      </c>
      <c r="I14" s="249">
        <v>1512</v>
      </c>
      <c r="J14" s="249">
        <v>1814.4</v>
      </c>
      <c r="K14" s="250">
        <v>7.0000000000000007E-2</v>
      </c>
      <c r="L14" s="250">
        <v>1.7500000000000002E-2</v>
      </c>
      <c r="M14" s="246" t="s">
        <v>26</v>
      </c>
      <c r="N14" s="249">
        <v>105.84</v>
      </c>
      <c r="O14" s="249">
        <v>26.46</v>
      </c>
      <c r="P14" s="246" t="s">
        <v>36</v>
      </c>
      <c r="Q14" s="246" t="s">
        <v>37</v>
      </c>
      <c r="S14" s="246">
        <v>4</v>
      </c>
      <c r="T14" s="246" t="s">
        <v>38</v>
      </c>
      <c r="U14" s="246" t="s">
        <v>31</v>
      </c>
    </row>
    <row r="15" spans="1:21" x14ac:dyDescent="0.3">
      <c r="A15" s="247">
        <v>46065</v>
      </c>
      <c r="B15" s="248">
        <v>138938</v>
      </c>
      <c r="C15" s="246" t="s">
        <v>44</v>
      </c>
      <c r="D15" s="246" t="s">
        <v>76</v>
      </c>
      <c r="E15" s="246" t="s">
        <v>63</v>
      </c>
      <c r="F15" s="246" t="s">
        <v>25</v>
      </c>
      <c r="G15" s="246">
        <v>80</v>
      </c>
      <c r="H15" s="249">
        <v>212</v>
      </c>
      <c r="I15" s="249">
        <v>16960</v>
      </c>
      <c r="J15" s="249">
        <v>16960</v>
      </c>
      <c r="K15" s="250">
        <v>7.0000000000000007E-2</v>
      </c>
      <c r="L15" s="250">
        <v>1.7500000000000002E-2</v>
      </c>
      <c r="M15" s="246" t="s">
        <v>46</v>
      </c>
      <c r="N15" s="249">
        <v>1187.2</v>
      </c>
      <c r="O15" s="249">
        <v>296.8</v>
      </c>
      <c r="P15" s="246" t="s">
        <v>27</v>
      </c>
      <c r="Q15" s="246" t="s">
        <v>27</v>
      </c>
      <c r="S15" s="246">
        <v>4</v>
      </c>
      <c r="T15" s="246" t="s">
        <v>28</v>
      </c>
      <c r="U15" s="246" t="s">
        <v>44</v>
      </c>
    </row>
    <row r="16" spans="1:21" x14ac:dyDescent="0.3">
      <c r="A16" s="247">
        <v>46065</v>
      </c>
      <c r="B16" s="248">
        <v>138938</v>
      </c>
      <c r="C16" s="246" t="s">
        <v>44</v>
      </c>
      <c r="D16" s="246" t="s">
        <v>76</v>
      </c>
      <c r="E16" s="246" t="s">
        <v>63</v>
      </c>
      <c r="F16" s="246" t="s">
        <v>30</v>
      </c>
      <c r="G16" s="246">
        <v>30</v>
      </c>
      <c r="H16" s="249">
        <v>109.25</v>
      </c>
      <c r="I16" s="249">
        <v>3277.5</v>
      </c>
      <c r="J16" s="249">
        <v>3277.5</v>
      </c>
      <c r="K16" s="250">
        <v>1</v>
      </c>
      <c r="L16" s="250">
        <v>0.25</v>
      </c>
      <c r="M16" s="246" t="s">
        <v>46</v>
      </c>
      <c r="N16" s="249">
        <v>3277.5</v>
      </c>
      <c r="O16" s="249">
        <v>819.375</v>
      </c>
      <c r="P16" s="246" t="s">
        <v>27</v>
      </c>
      <c r="Q16" s="246" t="s">
        <v>27</v>
      </c>
      <c r="S16" s="246">
        <v>1</v>
      </c>
      <c r="T16" s="246" t="s">
        <v>28</v>
      </c>
      <c r="U16" s="246" t="s">
        <v>44</v>
      </c>
    </row>
    <row r="17" spans="1:21" x14ac:dyDescent="0.3">
      <c r="A17" s="247">
        <v>46065</v>
      </c>
      <c r="B17" s="248">
        <v>128860</v>
      </c>
      <c r="C17" s="246" t="s">
        <v>22</v>
      </c>
      <c r="D17" s="246" t="s">
        <v>70</v>
      </c>
      <c r="E17" s="246" t="s">
        <v>56</v>
      </c>
      <c r="F17" s="246" t="s">
        <v>30</v>
      </c>
      <c r="G17" s="246">
        <v>1</v>
      </c>
      <c r="H17" s="249">
        <v>356.4</v>
      </c>
      <c r="I17" s="249">
        <v>356.4</v>
      </c>
      <c r="J17" s="249">
        <v>427.67999999999989</v>
      </c>
      <c r="K17" s="250">
        <v>1</v>
      </c>
      <c r="L17" s="250">
        <v>0</v>
      </c>
      <c r="M17" s="246" t="s">
        <v>26</v>
      </c>
      <c r="N17" s="249">
        <v>356.4</v>
      </c>
      <c r="O17" s="249">
        <v>0</v>
      </c>
      <c r="P17" s="246" t="s">
        <v>27</v>
      </c>
      <c r="Q17" s="246" t="s">
        <v>27</v>
      </c>
      <c r="S17" s="246">
        <v>1</v>
      </c>
      <c r="T17" s="246" t="s">
        <v>28</v>
      </c>
      <c r="U17" s="246" t="s">
        <v>22</v>
      </c>
    </row>
    <row r="18" spans="1:21" x14ac:dyDescent="0.3">
      <c r="A18" s="247">
        <v>46066</v>
      </c>
      <c r="B18" s="248">
        <v>138101</v>
      </c>
      <c r="C18" s="246" t="s">
        <v>31</v>
      </c>
      <c r="D18" s="246" t="s">
        <v>77</v>
      </c>
      <c r="E18" s="246" t="s">
        <v>24</v>
      </c>
      <c r="F18" s="246" t="s">
        <v>25</v>
      </c>
      <c r="G18" s="246">
        <v>24</v>
      </c>
      <c r="H18" s="249">
        <v>125</v>
      </c>
      <c r="I18" s="249">
        <v>3000</v>
      </c>
      <c r="J18" s="249">
        <v>3600</v>
      </c>
      <c r="K18" s="250">
        <v>0.21</v>
      </c>
      <c r="L18" s="250">
        <v>5.2499999999999998E-2</v>
      </c>
      <c r="M18" s="246" t="s">
        <v>26</v>
      </c>
      <c r="N18" s="249">
        <v>630</v>
      </c>
      <c r="O18" s="249">
        <v>157.5</v>
      </c>
      <c r="P18" s="246" t="s">
        <v>36</v>
      </c>
      <c r="Q18" s="246" t="s">
        <v>37</v>
      </c>
      <c r="S18" s="246">
        <v>5</v>
      </c>
      <c r="T18" s="246" t="s">
        <v>38</v>
      </c>
      <c r="U18" s="246" t="s">
        <v>31</v>
      </c>
    </row>
    <row r="19" spans="1:21" x14ac:dyDescent="0.3">
      <c r="A19" s="247">
        <v>46070</v>
      </c>
      <c r="B19" s="248" t="s">
        <v>78</v>
      </c>
      <c r="C19" s="246" t="s">
        <v>31</v>
      </c>
      <c r="D19" s="246" t="s">
        <v>79</v>
      </c>
      <c r="E19" s="246" t="s">
        <v>35</v>
      </c>
      <c r="F19" s="246" t="s">
        <v>35</v>
      </c>
      <c r="G19" s="246">
        <v>236</v>
      </c>
      <c r="H19" s="249">
        <v>176</v>
      </c>
      <c r="I19" s="249">
        <v>41536</v>
      </c>
      <c r="J19" s="249">
        <v>41536</v>
      </c>
      <c r="K19" s="250">
        <v>0.01</v>
      </c>
      <c r="L19" s="250">
        <v>2.5000000000000001E-3</v>
      </c>
      <c r="M19" s="246" t="s">
        <v>26</v>
      </c>
      <c r="N19" s="249">
        <v>415.36</v>
      </c>
      <c r="O19" s="249">
        <v>103.84</v>
      </c>
      <c r="P19" s="246" t="s">
        <v>36</v>
      </c>
      <c r="Q19" s="246" t="s">
        <v>37</v>
      </c>
      <c r="S19" s="246">
        <v>4</v>
      </c>
      <c r="T19" s="246" t="s">
        <v>38</v>
      </c>
      <c r="U19" s="246" t="s">
        <v>31</v>
      </c>
    </row>
    <row r="20" spans="1:21" x14ac:dyDescent="0.3">
      <c r="A20" s="247">
        <v>46072</v>
      </c>
      <c r="B20" s="248">
        <v>135372</v>
      </c>
      <c r="C20" s="246" t="s">
        <v>31</v>
      </c>
      <c r="D20" s="246" t="s">
        <v>70</v>
      </c>
      <c r="E20" s="246" t="s">
        <v>35</v>
      </c>
      <c r="F20" s="246" t="s">
        <v>35</v>
      </c>
      <c r="G20" s="246">
        <v>24</v>
      </c>
      <c r="H20" s="249">
        <v>176</v>
      </c>
      <c r="I20" s="249">
        <v>4224</v>
      </c>
      <c r="J20" s="249">
        <v>4224</v>
      </c>
      <c r="K20" s="250">
        <v>0.01</v>
      </c>
      <c r="L20" s="250">
        <v>2.5000000000000001E-3</v>
      </c>
      <c r="M20" s="246" t="s">
        <v>26</v>
      </c>
      <c r="N20" s="249">
        <v>42.24</v>
      </c>
      <c r="O20" s="249">
        <v>10.56</v>
      </c>
      <c r="P20" s="246" t="s">
        <v>36</v>
      </c>
      <c r="Q20" s="246" t="s">
        <v>37</v>
      </c>
      <c r="S20" s="246">
        <v>3</v>
      </c>
      <c r="T20" s="246" t="s">
        <v>38</v>
      </c>
      <c r="U20" s="246" t="s">
        <v>31</v>
      </c>
    </row>
    <row r="21" spans="1:21" x14ac:dyDescent="0.3">
      <c r="A21" s="247">
        <v>46076</v>
      </c>
      <c r="B21" s="248">
        <v>138313</v>
      </c>
      <c r="C21" s="246" t="s">
        <v>31</v>
      </c>
      <c r="D21" s="246" t="s">
        <v>80</v>
      </c>
      <c r="E21" s="246" t="s">
        <v>40</v>
      </c>
      <c r="F21" s="246" t="s">
        <v>41</v>
      </c>
      <c r="G21" s="246">
        <v>1</v>
      </c>
      <c r="H21" s="249">
        <v>3150.4</v>
      </c>
      <c r="I21" s="249">
        <v>3150.4</v>
      </c>
      <c r="J21" s="249">
        <v>3780.48</v>
      </c>
      <c r="K21" s="250">
        <v>0.25</v>
      </c>
      <c r="L21" s="250">
        <v>6.25E-2</v>
      </c>
      <c r="M21" s="246" t="s">
        <v>26</v>
      </c>
      <c r="N21" s="249">
        <v>787.6</v>
      </c>
      <c r="O21" s="249">
        <v>196.9</v>
      </c>
      <c r="P21" s="246" t="s">
        <v>36</v>
      </c>
      <c r="Q21" s="246" t="s">
        <v>37</v>
      </c>
      <c r="S21" s="246">
        <v>6</v>
      </c>
      <c r="T21" s="246" t="s">
        <v>38</v>
      </c>
      <c r="U21" s="246" t="s">
        <v>31</v>
      </c>
    </row>
    <row r="22" spans="1:21" x14ac:dyDescent="0.3">
      <c r="A22" s="247">
        <v>46076</v>
      </c>
      <c r="B22" s="248">
        <v>138313</v>
      </c>
      <c r="C22" s="246" t="s">
        <v>31</v>
      </c>
      <c r="D22" s="246" t="s">
        <v>80</v>
      </c>
      <c r="E22" s="246" t="s">
        <v>24</v>
      </c>
      <c r="F22" s="246" t="s">
        <v>25</v>
      </c>
      <c r="G22" s="246">
        <v>40</v>
      </c>
      <c r="H22" s="249">
        <v>146.24</v>
      </c>
      <c r="I22" s="249">
        <v>5849.6</v>
      </c>
      <c r="J22" s="249">
        <v>7019.52</v>
      </c>
      <c r="K22" s="250">
        <v>0.25</v>
      </c>
      <c r="L22" s="250">
        <v>6.25E-2</v>
      </c>
      <c r="M22" s="246" t="s">
        <v>26</v>
      </c>
      <c r="N22" s="249">
        <v>1462.4</v>
      </c>
      <c r="O22" s="249">
        <v>365.6</v>
      </c>
      <c r="P22" s="246" t="s">
        <v>36</v>
      </c>
      <c r="Q22" s="246" t="s">
        <v>37</v>
      </c>
      <c r="S22" s="246">
        <v>6</v>
      </c>
      <c r="T22" s="246" t="s">
        <v>38</v>
      </c>
      <c r="U22" s="246" t="s">
        <v>31</v>
      </c>
    </row>
    <row r="23" spans="1:21" x14ac:dyDescent="0.3">
      <c r="A23" s="247">
        <v>46078</v>
      </c>
      <c r="B23" s="248" t="s">
        <v>81</v>
      </c>
      <c r="C23" s="246" t="s">
        <v>22</v>
      </c>
      <c r="D23" s="246" t="s">
        <v>82</v>
      </c>
      <c r="E23" s="246" t="s">
        <v>47</v>
      </c>
      <c r="F23" s="246" t="s">
        <v>25</v>
      </c>
      <c r="G23" s="246">
        <v>316</v>
      </c>
      <c r="H23" s="249">
        <v>200</v>
      </c>
      <c r="I23" s="249">
        <v>63200</v>
      </c>
      <c r="J23" s="249">
        <v>63200</v>
      </c>
      <c r="K23" s="250">
        <v>7.0000000000000007E-2</v>
      </c>
      <c r="L23" s="250">
        <v>0</v>
      </c>
      <c r="M23" s="246" t="s">
        <v>46</v>
      </c>
      <c r="N23" s="249">
        <v>4424</v>
      </c>
      <c r="O23" s="249">
        <v>0</v>
      </c>
      <c r="P23" s="246" t="s">
        <v>27</v>
      </c>
      <c r="Q23" s="246" t="s">
        <v>27</v>
      </c>
      <c r="S23" s="246">
        <v>6</v>
      </c>
      <c r="T23" s="246" t="s">
        <v>28</v>
      </c>
      <c r="U23" s="246" t="s">
        <v>22</v>
      </c>
    </row>
    <row r="24" spans="1:21" x14ac:dyDescent="0.3">
      <c r="A24" s="247">
        <v>46078</v>
      </c>
      <c r="B24" s="248" t="s">
        <v>81</v>
      </c>
      <c r="C24" s="246" t="s">
        <v>22</v>
      </c>
      <c r="D24" s="246" t="s">
        <v>82</v>
      </c>
      <c r="E24" s="246" t="s">
        <v>47</v>
      </c>
      <c r="F24" s="246" t="s">
        <v>41</v>
      </c>
      <c r="G24" s="246">
        <v>1</v>
      </c>
      <c r="H24" s="249">
        <v>35502.9</v>
      </c>
      <c r="I24" s="249">
        <v>35502.9</v>
      </c>
      <c r="J24" s="249">
        <v>35502.9</v>
      </c>
      <c r="K24" s="250">
        <v>0.25</v>
      </c>
      <c r="L24" s="250">
        <v>0</v>
      </c>
      <c r="M24" s="246" t="s">
        <v>46</v>
      </c>
      <c r="N24" s="249">
        <v>8875.7250000000004</v>
      </c>
      <c r="O24" s="249">
        <v>0</v>
      </c>
      <c r="P24" s="246" t="s">
        <v>27</v>
      </c>
      <c r="Q24" s="246" t="s">
        <v>27</v>
      </c>
      <c r="S24" s="246">
        <v>6</v>
      </c>
      <c r="T24" s="246" t="s">
        <v>28</v>
      </c>
      <c r="U24" s="246" t="s">
        <v>22</v>
      </c>
    </row>
    <row r="25" spans="1:21" x14ac:dyDescent="0.3">
      <c r="A25" s="247">
        <v>46078</v>
      </c>
      <c r="B25" s="248" t="s">
        <v>81</v>
      </c>
      <c r="C25" s="246" t="s">
        <v>22</v>
      </c>
      <c r="D25" s="246" t="s">
        <v>82</v>
      </c>
      <c r="E25" s="246" t="s">
        <v>47</v>
      </c>
      <c r="F25" s="246" t="s">
        <v>30</v>
      </c>
      <c r="G25" s="246">
        <v>15</v>
      </c>
      <c r="H25" s="249">
        <v>275.62</v>
      </c>
      <c r="I25" s="249">
        <v>4134.3</v>
      </c>
      <c r="J25" s="249">
        <v>4134.3</v>
      </c>
      <c r="K25" s="250">
        <v>1</v>
      </c>
      <c r="L25" s="250">
        <v>0</v>
      </c>
      <c r="M25" s="246" t="s">
        <v>46</v>
      </c>
      <c r="N25" s="249">
        <v>4134.3</v>
      </c>
      <c r="O25" s="249">
        <v>0</v>
      </c>
      <c r="P25" s="246" t="s">
        <v>27</v>
      </c>
      <c r="Q25" s="246" t="s">
        <v>27</v>
      </c>
      <c r="S25" s="246">
        <v>1</v>
      </c>
      <c r="T25" s="246" t="s">
        <v>28</v>
      </c>
      <c r="U25" s="246" t="s">
        <v>22</v>
      </c>
    </row>
    <row r="26" spans="1:21" x14ac:dyDescent="0.3">
      <c r="A26" s="247">
        <v>46078</v>
      </c>
      <c r="B26" s="248" t="s">
        <v>81</v>
      </c>
      <c r="C26" s="246" t="s">
        <v>22</v>
      </c>
      <c r="D26" s="246" t="s">
        <v>82</v>
      </c>
      <c r="E26" s="246" t="s">
        <v>63</v>
      </c>
      <c r="F26" s="246" t="s">
        <v>30</v>
      </c>
      <c r="G26" s="246">
        <v>40</v>
      </c>
      <c r="H26" s="249">
        <v>115</v>
      </c>
      <c r="I26" s="249">
        <v>4600</v>
      </c>
      <c r="J26" s="249">
        <v>4600</v>
      </c>
      <c r="K26" s="250">
        <v>1</v>
      </c>
      <c r="L26" s="250">
        <v>0</v>
      </c>
      <c r="M26" s="246" t="s">
        <v>46</v>
      </c>
      <c r="N26" s="249">
        <v>4600</v>
      </c>
      <c r="O26" s="249">
        <v>0</v>
      </c>
      <c r="P26" s="246" t="s">
        <v>27</v>
      </c>
      <c r="Q26" s="246" t="s">
        <v>27</v>
      </c>
      <c r="S26" s="246">
        <v>1</v>
      </c>
      <c r="T26" s="246" t="s">
        <v>28</v>
      </c>
      <c r="U26" s="246" t="s">
        <v>22</v>
      </c>
    </row>
    <row r="27" spans="1:21" x14ac:dyDescent="0.3">
      <c r="A27" s="247">
        <v>46078</v>
      </c>
      <c r="B27" s="248" t="s">
        <v>81</v>
      </c>
      <c r="C27" s="246" t="s">
        <v>22</v>
      </c>
      <c r="D27" s="246" t="s">
        <v>82</v>
      </c>
      <c r="E27" s="246" t="s">
        <v>48</v>
      </c>
      <c r="F27" s="246" t="s">
        <v>30</v>
      </c>
      <c r="G27" s="246">
        <v>1</v>
      </c>
      <c r="H27" s="249">
        <v>356.4</v>
      </c>
      <c r="I27" s="249">
        <v>356.4</v>
      </c>
      <c r="J27" s="249">
        <v>356.4</v>
      </c>
      <c r="K27" s="250">
        <v>1</v>
      </c>
      <c r="L27" s="250">
        <v>0</v>
      </c>
      <c r="M27" s="246" t="s">
        <v>46</v>
      </c>
      <c r="N27" s="249">
        <v>356.4</v>
      </c>
      <c r="O27" s="249">
        <v>0</v>
      </c>
      <c r="P27" s="246" t="s">
        <v>27</v>
      </c>
      <c r="Q27" s="246" t="s">
        <v>27</v>
      </c>
      <c r="S27" s="246">
        <v>1</v>
      </c>
      <c r="T27" s="246" t="s">
        <v>28</v>
      </c>
      <c r="U27" s="246" t="s">
        <v>22</v>
      </c>
    </row>
    <row r="28" spans="1:21" x14ac:dyDescent="0.3">
      <c r="A28" s="247">
        <v>46078</v>
      </c>
      <c r="B28" s="248" t="s">
        <v>81</v>
      </c>
      <c r="C28" s="246" t="s">
        <v>22</v>
      </c>
      <c r="D28" s="246" t="s">
        <v>82</v>
      </c>
      <c r="E28" s="246" t="s">
        <v>52</v>
      </c>
      <c r="F28" s="246" t="s">
        <v>30</v>
      </c>
      <c r="G28" s="246">
        <v>1</v>
      </c>
      <c r="H28" s="249">
        <v>1080</v>
      </c>
      <c r="I28" s="249">
        <v>1080</v>
      </c>
      <c r="J28" s="249">
        <v>1080</v>
      </c>
      <c r="K28" s="250">
        <v>1</v>
      </c>
      <c r="L28" s="250">
        <v>0</v>
      </c>
      <c r="M28" s="246" t="s">
        <v>46</v>
      </c>
      <c r="N28" s="249">
        <v>1080</v>
      </c>
      <c r="O28" s="249">
        <v>0</v>
      </c>
      <c r="P28" s="246" t="s">
        <v>27</v>
      </c>
      <c r="Q28" s="246" t="s">
        <v>27</v>
      </c>
      <c r="S28" s="246">
        <v>1</v>
      </c>
      <c r="T28" s="246" t="s">
        <v>28</v>
      </c>
      <c r="U28" s="246" t="s">
        <v>22</v>
      </c>
    </row>
    <row r="29" spans="1:21" x14ac:dyDescent="0.3">
      <c r="A29" s="247">
        <v>46078</v>
      </c>
      <c r="B29" s="248" t="s">
        <v>81</v>
      </c>
      <c r="C29" s="246" t="s">
        <v>22</v>
      </c>
      <c r="D29" s="246" t="s">
        <v>82</v>
      </c>
      <c r="E29" s="246" t="s">
        <v>54</v>
      </c>
      <c r="F29" s="246" t="s">
        <v>30</v>
      </c>
      <c r="G29" s="246">
        <v>5</v>
      </c>
      <c r="H29" s="249">
        <v>142.53</v>
      </c>
      <c r="I29" s="249">
        <v>712.65</v>
      </c>
      <c r="J29" s="249">
        <v>712.65</v>
      </c>
      <c r="K29" s="250">
        <v>1</v>
      </c>
      <c r="L29" s="250">
        <v>0</v>
      </c>
      <c r="M29" s="246" t="s">
        <v>46</v>
      </c>
      <c r="N29" s="249">
        <v>712.65</v>
      </c>
      <c r="O29" s="249">
        <v>0</v>
      </c>
      <c r="P29" s="246" t="s">
        <v>27</v>
      </c>
      <c r="Q29" s="246" t="s">
        <v>27</v>
      </c>
      <c r="S29" s="246">
        <v>1</v>
      </c>
      <c r="T29" s="246" t="s">
        <v>28</v>
      </c>
      <c r="U29" s="246" t="s">
        <v>22</v>
      </c>
    </row>
    <row r="30" spans="1:21" x14ac:dyDescent="0.3">
      <c r="A30" s="247">
        <v>46078</v>
      </c>
      <c r="B30" s="248" t="s">
        <v>81</v>
      </c>
      <c r="C30" s="246" t="s">
        <v>22</v>
      </c>
      <c r="D30" s="246" t="s">
        <v>82</v>
      </c>
      <c r="E30" s="246" t="s">
        <v>83</v>
      </c>
      <c r="F30" s="246" t="s">
        <v>30</v>
      </c>
      <c r="G30" s="246">
        <v>1</v>
      </c>
      <c r="H30" s="249">
        <v>689</v>
      </c>
      <c r="I30" s="249">
        <v>689</v>
      </c>
      <c r="J30" s="249">
        <v>689</v>
      </c>
      <c r="K30" s="250">
        <v>1</v>
      </c>
      <c r="L30" s="250">
        <v>0</v>
      </c>
      <c r="M30" s="246" t="s">
        <v>46</v>
      </c>
      <c r="N30" s="249">
        <v>689</v>
      </c>
      <c r="O30" s="249">
        <v>0</v>
      </c>
      <c r="P30" s="246" t="s">
        <v>27</v>
      </c>
      <c r="Q30" s="246" t="s">
        <v>27</v>
      </c>
      <c r="S30" s="246">
        <v>1</v>
      </c>
      <c r="T30" s="246" t="s">
        <v>28</v>
      </c>
      <c r="U30" s="246" t="s">
        <v>22</v>
      </c>
    </row>
    <row r="31" spans="1:21" x14ac:dyDescent="0.3">
      <c r="A31" s="247">
        <v>46078</v>
      </c>
      <c r="B31" s="248" t="s">
        <v>81</v>
      </c>
      <c r="C31" s="246" t="s">
        <v>22</v>
      </c>
      <c r="D31" s="246" t="s">
        <v>82</v>
      </c>
      <c r="E31" s="246" t="s">
        <v>84</v>
      </c>
      <c r="F31" s="246" t="s">
        <v>30</v>
      </c>
      <c r="G31" s="246">
        <v>1</v>
      </c>
      <c r="H31" s="249">
        <v>712</v>
      </c>
      <c r="I31" s="249">
        <v>712</v>
      </c>
      <c r="J31" s="249">
        <v>712</v>
      </c>
      <c r="K31" s="250">
        <v>1</v>
      </c>
      <c r="L31" s="250">
        <v>0</v>
      </c>
      <c r="M31" s="246" t="s">
        <v>46</v>
      </c>
      <c r="N31" s="249">
        <v>712</v>
      </c>
      <c r="O31" s="249">
        <v>0</v>
      </c>
      <c r="P31" s="246" t="s">
        <v>27</v>
      </c>
      <c r="Q31" s="246" t="s">
        <v>27</v>
      </c>
      <c r="S31" s="246">
        <v>1</v>
      </c>
      <c r="T31" s="246" t="s">
        <v>28</v>
      </c>
      <c r="U31" s="246" t="s">
        <v>22</v>
      </c>
    </row>
    <row r="32" spans="1:21" x14ac:dyDescent="0.3">
      <c r="A32" s="247">
        <v>46078</v>
      </c>
      <c r="B32" s="248" t="s">
        <v>85</v>
      </c>
      <c r="C32" s="246" t="s">
        <v>22</v>
      </c>
      <c r="D32" s="246" t="s">
        <v>86</v>
      </c>
      <c r="E32" s="246" t="s">
        <v>47</v>
      </c>
      <c r="F32" s="246" t="s">
        <v>25</v>
      </c>
      <c r="G32" s="246">
        <v>196</v>
      </c>
      <c r="H32" s="249">
        <v>200</v>
      </c>
      <c r="I32" s="249">
        <v>39200</v>
      </c>
      <c r="J32" s="249">
        <v>39200</v>
      </c>
      <c r="K32" s="250">
        <v>7.0000000000000007E-2</v>
      </c>
      <c r="L32" s="250">
        <v>0</v>
      </c>
      <c r="M32" s="246" t="s">
        <v>46</v>
      </c>
      <c r="N32" s="249">
        <v>2744</v>
      </c>
      <c r="O32" s="249">
        <v>0</v>
      </c>
      <c r="P32" s="246" t="s">
        <v>27</v>
      </c>
      <c r="Q32" s="246" t="s">
        <v>27</v>
      </c>
      <c r="S32" s="246">
        <v>6</v>
      </c>
      <c r="T32" s="246" t="s">
        <v>28</v>
      </c>
      <c r="U32" s="246" t="s">
        <v>22</v>
      </c>
    </row>
    <row r="33" spans="1:21" x14ac:dyDescent="0.3">
      <c r="A33" s="247">
        <v>46078</v>
      </c>
      <c r="B33" s="248" t="s">
        <v>85</v>
      </c>
      <c r="C33" s="246" t="s">
        <v>22</v>
      </c>
      <c r="D33" s="246" t="s">
        <v>86</v>
      </c>
      <c r="E33" s="246" t="s">
        <v>47</v>
      </c>
      <c r="F33" s="246" t="s">
        <v>41</v>
      </c>
      <c r="G33" s="246">
        <v>1</v>
      </c>
      <c r="H33" s="249">
        <v>35502.9</v>
      </c>
      <c r="I33" s="249">
        <v>35502.9</v>
      </c>
      <c r="J33" s="249">
        <v>35502.9</v>
      </c>
      <c r="K33" s="250">
        <v>0.25</v>
      </c>
      <c r="L33" s="250">
        <v>0</v>
      </c>
      <c r="M33" s="246" t="s">
        <v>46</v>
      </c>
      <c r="N33" s="249">
        <v>8875.7250000000004</v>
      </c>
      <c r="O33" s="249">
        <v>0</v>
      </c>
      <c r="P33" s="246" t="s">
        <v>27</v>
      </c>
      <c r="Q33" s="246" t="s">
        <v>27</v>
      </c>
      <c r="S33" s="246">
        <v>6</v>
      </c>
      <c r="T33" s="246" t="s">
        <v>28</v>
      </c>
      <c r="U33" s="246" t="s">
        <v>22</v>
      </c>
    </row>
    <row r="34" spans="1:21" x14ac:dyDescent="0.3">
      <c r="A34" s="247">
        <v>46078</v>
      </c>
      <c r="B34" s="248" t="s">
        <v>85</v>
      </c>
      <c r="C34" s="246" t="s">
        <v>22</v>
      </c>
      <c r="D34" s="246" t="s">
        <v>86</v>
      </c>
      <c r="E34" s="246" t="s">
        <v>47</v>
      </c>
      <c r="F34" s="246" t="s">
        <v>30</v>
      </c>
      <c r="G34" s="246">
        <v>12</v>
      </c>
      <c r="H34" s="249">
        <v>275.62</v>
      </c>
      <c r="I34" s="249">
        <v>3307.44</v>
      </c>
      <c r="J34" s="249">
        <v>3307.44</v>
      </c>
      <c r="K34" s="250">
        <v>1</v>
      </c>
      <c r="L34" s="250">
        <v>0</v>
      </c>
      <c r="M34" s="246" t="s">
        <v>46</v>
      </c>
      <c r="N34" s="249">
        <v>3307.44</v>
      </c>
      <c r="O34" s="249">
        <v>0</v>
      </c>
      <c r="P34" s="246" t="s">
        <v>27</v>
      </c>
      <c r="Q34" s="246" t="s">
        <v>27</v>
      </c>
      <c r="S34" s="246">
        <v>1</v>
      </c>
      <c r="T34" s="246" t="s">
        <v>28</v>
      </c>
      <c r="U34" s="246" t="s">
        <v>22</v>
      </c>
    </row>
    <row r="35" spans="1:21" x14ac:dyDescent="0.3">
      <c r="A35" s="247">
        <v>46078</v>
      </c>
      <c r="B35" s="248" t="s">
        <v>85</v>
      </c>
      <c r="C35" s="246" t="s">
        <v>22</v>
      </c>
      <c r="D35" s="246" t="s">
        <v>86</v>
      </c>
      <c r="E35" s="246" t="s">
        <v>63</v>
      </c>
      <c r="F35" s="246" t="s">
        <v>30</v>
      </c>
      <c r="G35" s="246">
        <v>40</v>
      </c>
      <c r="H35" s="249">
        <v>115</v>
      </c>
      <c r="I35" s="249">
        <v>4600</v>
      </c>
      <c r="J35" s="249">
        <v>4600</v>
      </c>
      <c r="K35" s="250">
        <v>1</v>
      </c>
      <c r="L35" s="250">
        <v>0</v>
      </c>
      <c r="M35" s="246" t="s">
        <v>46</v>
      </c>
      <c r="N35" s="249">
        <v>4600</v>
      </c>
      <c r="O35" s="249">
        <v>0</v>
      </c>
      <c r="P35" s="246" t="s">
        <v>27</v>
      </c>
      <c r="Q35" s="246" t="s">
        <v>27</v>
      </c>
      <c r="S35" s="246">
        <v>1</v>
      </c>
      <c r="T35" s="246" t="s">
        <v>28</v>
      </c>
      <c r="U35" s="246" t="s">
        <v>22</v>
      </c>
    </row>
    <row r="36" spans="1:21" x14ac:dyDescent="0.3">
      <c r="A36" s="247">
        <v>46078</v>
      </c>
      <c r="B36" s="248" t="s">
        <v>85</v>
      </c>
      <c r="C36" s="246" t="s">
        <v>22</v>
      </c>
      <c r="D36" s="246" t="s">
        <v>86</v>
      </c>
      <c r="E36" s="246" t="s">
        <v>52</v>
      </c>
      <c r="F36" s="246" t="s">
        <v>30</v>
      </c>
      <c r="G36" s="246">
        <v>1</v>
      </c>
      <c r="H36" s="249">
        <v>1080</v>
      </c>
      <c r="I36" s="249">
        <v>1080</v>
      </c>
      <c r="J36" s="249">
        <v>1080</v>
      </c>
      <c r="K36" s="250">
        <v>1</v>
      </c>
      <c r="L36" s="250">
        <v>0</v>
      </c>
      <c r="M36" s="246" t="s">
        <v>46</v>
      </c>
      <c r="N36" s="249">
        <v>1080</v>
      </c>
      <c r="O36" s="249">
        <v>0</v>
      </c>
      <c r="P36" s="246" t="s">
        <v>27</v>
      </c>
      <c r="Q36" s="246" t="s">
        <v>27</v>
      </c>
      <c r="S36" s="246">
        <v>1</v>
      </c>
      <c r="T36" s="246" t="s">
        <v>28</v>
      </c>
      <c r="U36" s="246" t="s">
        <v>22</v>
      </c>
    </row>
    <row r="37" spans="1:21" x14ac:dyDescent="0.3">
      <c r="A37" s="247">
        <v>46078</v>
      </c>
      <c r="B37" s="248" t="s">
        <v>85</v>
      </c>
      <c r="C37" s="246" t="s">
        <v>22</v>
      </c>
      <c r="D37" s="246" t="s">
        <v>86</v>
      </c>
      <c r="E37" s="246" t="s">
        <v>83</v>
      </c>
      <c r="F37" s="246" t="s">
        <v>30</v>
      </c>
      <c r="G37" s="246">
        <v>1</v>
      </c>
      <c r="H37" s="249">
        <v>689</v>
      </c>
      <c r="I37" s="249">
        <v>689</v>
      </c>
      <c r="J37" s="249">
        <v>689</v>
      </c>
      <c r="K37" s="250">
        <v>1</v>
      </c>
      <c r="L37" s="250">
        <v>0</v>
      </c>
      <c r="M37" s="246" t="s">
        <v>46</v>
      </c>
      <c r="N37" s="249">
        <v>689</v>
      </c>
      <c r="O37" s="249">
        <v>0</v>
      </c>
      <c r="P37" s="246" t="s">
        <v>27</v>
      </c>
      <c r="Q37" s="246" t="s">
        <v>27</v>
      </c>
      <c r="S37" s="246">
        <v>1</v>
      </c>
      <c r="T37" s="246" t="s">
        <v>28</v>
      </c>
      <c r="U37" s="246" t="s">
        <v>22</v>
      </c>
    </row>
    <row r="38" spans="1:21" x14ac:dyDescent="0.3">
      <c r="A38" s="247">
        <v>46078</v>
      </c>
      <c r="B38" s="248" t="s">
        <v>85</v>
      </c>
      <c r="C38" s="246" t="s">
        <v>22</v>
      </c>
      <c r="D38" s="246" t="s">
        <v>86</v>
      </c>
      <c r="E38" s="246" t="s">
        <v>84</v>
      </c>
      <c r="F38" s="246" t="s">
        <v>30</v>
      </c>
      <c r="G38" s="246">
        <v>1</v>
      </c>
      <c r="H38" s="249">
        <v>712</v>
      </c>
      <c r="I38" s="249">
        <v>712</v>
      </c>
      <c r="J38" s="249">
        <v>712</v>
      </c>
      <c r="K38" s="250">
        <v>1</v>
      </c>
      <c r="L38" s="250">
        <v>0</v>
      </c>
      <c r="M38" s="246" t="s">
        <v>46</v>
      </c>
      <c r="N38" s="249">
        <v>712</v>
      </c>
      <c r="O38" s="249">
        <v>0</v>
      </c>
      <c r="P38" s="246" t="s">
        <v>27</v>
      </c>
      <c r="Q38" s="246" t="s">
        <v>27</v>
      </c>
      <c r="S38" s="246">
        <v>1</v>
      </c>
      <c r="T38" s="246" t="s">
        <v>28</v>
      </c>
      <c r="U38" s="246" t="s">
        <v>22</v>
      </c>
    </row>
    <row r="39" spans="1:21" x14ac:dyDescent="0.3">
      <c r="A39" s="247">
        <v>46078</v>
      </c>
      <c r="B39" s="248">
        <v>138641</v>
      </c>
      <c r="C39" s="246" t="s">
        <v>22</v>
      </c>
      <c r="D39" s="246" t="s">
        <v>87</v>
      </c>
      <c r="E39" s="246" t="s">
        <v>47</v>
      </c>
      <c r="F39" s="246" t="s">
        <v>25</v>
      </c>
      <c r="G39" s="246">
        <v>316</v>
      </c>
      <c r="H39" s="249">
        <v>200</v>
      </c>
      <c r="I39" s="249">
        <v>63200</v>
      </c>
      <c r="J39" s="249">
        <v>63200</v>
      </c>
      <c r="K39" s="250">
        <v>7.0000000000000007E-2</v>
      </c>
      <c r="L39" s="250">
        <v>0</v>
      </c>
      <c r="M39" s="246" t="s">
        <v>46</v>
      </c>
      <c r="N39" s="249">
        <v>4424</v>
      </c>
      <c r="O39" s="249">
        <v>0</v>
      </c>
      <c r="P39" s="246" t="s">
        <v>27</v>
      </c>
      <c r="Q39" s="246" t="s">
        <v>27</v>
      </c>
      <c r="S39" s="246">
        <v>6</v>
      </c>
      <c r="T39" s="246" t="s">
        <v>28</v>
      </c>
      <c r="U39" s="246" t="s">
        <v>22</v>
      </c>
    </row>
    <row r="40" spans="1:21" x14ac:dyDescent="0.3">
      <c r="A40" s="247">
        <v>46078</v>
      </c>
      <c r="B40" s="248">
        <v>138641</v>
      </c>
      <c r="C40" s="246" t="s">
        <v>22</v>
      </c>
      <c r="D40" s="246" t="s">
        <v>87</v>
      </c>
      <c r="E40" s="246" t="s">
        <v>47</v>
      </c>
      <c r="F40" s="246" t="s">
        <v>41</v>
      </c>
      <c r="G40" s="246">
        <v>1</v>
      </c>
      <c r="H40" s="249">
        <v>35502.9</v>
      </c>
      <c r="I40" s="249">
        <v>35502.9</v>
      </c>
      <c r="J40" s="249">
        <v>35502.9</v>
      </c>
      <c r="K40" s="250">
        <v>0.25</v>
      </c>
      <c r="L40" s="250">
        <v>0</v>
      </c>
      <c r="M40" s="246" t="s">
        <v>46</v>
      </c>
      <c r="N40" s="249">
        <v>8875.7250000000004</v>
      </c>
      <c r="O40" s="249">
        <v>0</v>
      </c>
      <c r="P40" s="246" t="s">
        <v>27</v>
      </c>
      <c r="Q40" s="246" t="s">
        <v>27</v>
      </c>
      <c r="S40" s="246">
        <v>6</v>
      </c>
      <c r="T40" s="246" t="s">
        <v>28</v>
      </c>
      <c r="U40" s="246" t="s">
        <v>22</v>
      </c>
    </row>
    <row r="41" spans="1:21" x14ac:dyDescent="0.3">
      <c r="A41" s="247">
        <v>46078</v>
      </c>
      <c r="B41" s="248">
        <v>138641</v>
      </c>
      <c r="C41" s="246" t="s">
        <v>22</v>
      </c>
      <c r="D41" s="246" t="s">
        <v>87</v>
      </c>
      <c r="E41" s="246" t="s">
        <v>47</v>
      </c>
      <c r="F41" s="246" t="s">
        <v>30</v>
      </c>
      <c r="G41" s="246">
        <v>30</v>
      </c>
      <c r="H41" s="249">
        <v>275.62</v>
      </c>
      <c r="I41" s="249">
        <v>8268.6</v>
      </c>
      <c r="J41" s="249">
        <v>8268.6</v>
      </c>
      <c r="K41" s="250">
        <v>1</v>
      </c>
      <c r="L41" s="250">
        <v>0</v>
      </c>
      <c r="M41" s="246" t="s">
        <v>46</v>
      </c>
      <c r="N41" s="249">
        <v>8268.6</v>
      </c>
      <c r="O41" s="249">
        <v>0</v>
      </c>
      <c r="P41" s="246" t="s">
        <v>27</v>
      </c>
      <c r="Q41" s="246" t="s">
        <v>27</v>
      </c>
      <c r="S41" s="246">
        <v>1</v>
      </c>
      <c r="T41" s="246" t="s">
        <v>28</v>
      </c>
      <c r="U41" s="246" t="s">
        <v>22</v>
      </c>
    </row>
    <row r="42" spans="1:21" x14ac:dyDescent="0.3">
      <c r="A42" s="247">
        <v>46078</v>
      </c>
      <c r="B42" s="248">
        <v>138641</v>
      </c>
      <c r="C42" s="246" t="s">
        <v>22</v>
      </c>
      <c r="D42" s="246" t="s">
        <v>87</v>
      </c>
      <c r="E42" s="246" t="s">
        <v>63</v>
      </c>
      <c r="F42" s="246" t="s">
        <v>30</v>
      </c>
      <c r="G42" s="246">
        <v>60</v>
      </c>
      <c r="H42" s="249">
        <v>105</v>
      </c>
      <c r="I42" s="249">
        <v>6300</v>
      </c>
      <c r="J42" s="249">
        <v>6300</v>
      </c>
      <c r="K42" s="250">
        <v>1</v>
      </c>
      <c r="L42" s="250">
        <v>0</v>
      </c>
      <c r="M42" s="246" t="s">
        <v>46</v>
      </c>
      <c r="N42" s="249">
        <v>6300</v>
      </c>
      <c r="O42" s="249">
        <v>0</v>
      </c>
      <c r="P42" s="246" t="s">
        <v>27</v>
      </c>
      <c r="Q42" s="246" t="s">
        <v>27</v>
      </c>
      <c r="S42" s="246">
        <v>1</v>
      </c>
      <c r="T42" s="246" t="s">
        <v>28</v>
      </c>
      <c r="U42" s="246" t="s">
        <v>22</v>
      </c>
    </row>
    <row r="43" spans="1:21" x14ac:dyDescent="0.3">
      <c r="A43" s="247">
        <v>46078</v>
      </c>
      <c r="B43" s="248">
        <v>138641</v>
      </c>
      <c r="C43" s="246" t="s">
        <v>22</v>
      </c>
      <c r="D43" s="246" t="s">
        <v>87</v>
      </c>
      <c r="E43" s="246" t="s">
        <v>48</v>
      </c>
      <c r="F43" s="246" t="s">
        <v>30</v>
      </c>
      <c r="G43" s="246">
        <v>1</v>
      </c>
      <c r="H43" s="249">
        <v>356.4</v>
      </c>
      <c r="I43" s="249">
        <v>356.4</v>
      </c>
      <c r="J43" s="249">
        <v>356.4</v>
      </c>
      <c r="K43" s="250">
        <v>1</v>
      </c>
      <c r="L43" s="250">
        <v>0</v>
      </c>
      <c r="M43" s="246" t="s">
        <v>46</v>
      </c>
      <c r="N43" s="249">
        <v>356.4</v>
      </c>
      <c r="O43" s="249">
        <v>0</v>
      </c>
      <c r="P43" s="246" t="s">
        <v>27</v>
      </c>
      <c r="Q43" s="246" t="s">
        <v>27</v>
      </c>
      <c r="S43" s="246">
        <v>1</v>
      </c>
      <c r="T43" s="246" t="s">
        <v>28</v>
      </c>
      <c r="U43" s="246" t="s">
        <v>22</v>
      </c>
    </row>
    <row r="44" spans="1:21" x14ac:dyDescent="0.3">
      <c r="A44" s="247">
        <v>46078</v>
      </c>
      <c r="B44" s="248">
        <v>138641</v>
      </c>
      <c r="C44" s="246" t="s">
        <v>22</v>
      </c>
      <c r="D44" s="246" t="s">
        <v>87</v>
      </c>
      <c r="E44" s="246" t="s">
        <v>52</v>
      </c>
      <c r="F44" s="246" t="s">
        <v>30</v>
      </c>
      <c r="G44" s="246">
        <v>1</v>
      </c>
      <c r="H44" s="249">
        <v>1080</v>
      </c>
      <c r="I44" s="249">
        <v>1080</v>
      </c>
      <c r="J44" s="249">
        <v>1080</v>
      </c>
      <c r="K44" s="250">
        <v>1</v>
      </c>
      <c r="L44" s="250">
        <v>0</v>
      </c>
      <c r="M44" s="246" t="s">
        <v>46</v>
      </c>
      <c r="N44" s="249">
        <v>1080</v>
      </c>
      <c r="O44" s="249">
        <v>0</v>
      </c>
      <c r="P44" s="246" t="s">
        <v>27</v>
      </c>
      <c r="Q44" s="246" t="s">
        <v>27</v>
      </c>
      <c r="S44" s="246">
        <v>1</v>
      </c>
      <c r="T44" s="246" t="s">
        <v>28</v>
      </c>
      <c r="U44" s="246" t="s">
        <v>22</v>
      </c>
    </row>
    <row r="45" spans="1:21" x14ac:dyDescent="0.3">
      <c r="A45" s="247">
        <v>46078</v>
      </c>
      <c r="B45" s="248">
        <v>138641</v>
      </c>
      <c r="C45" s="246" t="s">
        <v>22</v>
      </c>
      <c r="D45" s="246" t="s">
        <v>87</v>
      </c>
      <c r="E45" s="246" t="s">
        <v>54</v>
      </c>
      <c r="F45" s="246" t="s">
        <v>30</v>
      </c>
      <c r="G45" s="246">
        <v>5</v>
      </c>
      <c r="H45" s="249">
        <v>142.56</v>
      </c>
      <c r="I45" s="249">
        <v>712.8</v>
      </c>
      <c r="J45" s="249">
        <v>712.8</v>
      </c>
      <c r="K45" s="250">
        <v>1</v>
      </c>
      <c r="L45" s="250">
        <v>0</v>
      </c>
      <c r="M45" s="246" t="s">
        <v>46</v>
      </c>
      <c r="N45" s="249">
        <v>712.8</v>
      </c>
      <c r="O45" s="249">
        <v>0</v>
      </c>
      <c r="P45" s="246" t="s">
        <v>27</v>
      </c>
      <c r="Q45" s="246" t="s">
        <v>27</v>
      </c>
      <c r="S45" s="246">
        <v>1</v>
      </c>
      <c r="T45" s="246" t="s">
        <v>28</v>
      </c>
      <c r="U45" s="246" t="s">
        <v>22</v>
      </c>
    </row>
    <row r="46" spans="1:21" x14ac:dyDescent="0.3">
      <c r="A46" s="247">
        <v>46078</v>
      </c>
      <c r="B46" s="248">
        <v>138641</v>
      </c>
      <c r="C46" s="246" t="s">
        <v>22</v>
      </c>
      <c r="D46" s="246" t="s">
        <v>87</v>
      </c>
      <c r="E46" s="246" t="s">
        <v>83</v>
      </c>
      <c r="F46" s="246" t="s">
        <v>30</v>
      </c>
      <c r="G46" s="246">
        <v>1</v>
      </c>
      <c r="H46" s="249">
        <v>689</v>
      </c>
      <c r="I46" s="249">
        <v>689</v>
      </c>
      <c r="J46" s="249">
        <v>689</v>
      </c>
      <c r="K46" s="250">
        <v>1</v>
      </c>
      <c r="L46" s="250">
        <v>0</v>
      </c>
      <c r="M46" s="246" t="s">
        <v>46</v>
      </c>
      <c r="N46" s="249">
        <v>689</v>
      </c>
      <c r="O46" s="249">
        <v>0</v>
      </c>
      <c r="P46" s="246" t="s">
        <v>27</v>
      </c>
      <c r="Q46" s="246" t="s">
        <v>27</v>
      </c>
      <c r="S46" s="246">
        <v>1</v>
      </c>
      <c r="T46" s="246" t="s">
        <v>28</v>
      </c>
      <c r="U46" s="246" t="s">
        <v>22</v>
      </c>
    </row>
    <row r="47" spans="1:21" x14ac:dyDescent="0.3">
      <c r="A47" s="247">
        <v>46078</v>
      </c>
      <c r="B47" s="248">
        <v>138641</v>
      </c>
      <c r="C47" s="246" t="s">
        <v>22</v>
      </c>
      <c r="D47" s="246" t="s">
        <v>87</v>
      </c>
      <c r="E47" s="246" t="s">
        <v>84</v>
      </c>
      <c r="F47" s="246" t="s">
        <v>30</v>
      </c>
      <c r="G47" s="246">
        <v>1</v>
      </c>
      <c r="H47" s="249">
        <v>712</v>
      </c>
      <c r="I47" s="249">
        <v>712</v>
      </c>
      <c r="J47" s="249">
        <v>712</v>
      </c>
      <c r="K47" s="250">
        <v>1</v>
      </c>
      <c r="L47" s="250">
        <v>0</v>
      </c>
      <c r="M47" s="246" t="s">
        <v>46</v>
      </c>
      <c r="N47" s="249">
        <v>712</v>
      </c>
      <c r="O47" s="249">
        <v>0</v>
      </c>
      <c r="P47" s="246" t="s">
        <v>27</v>
      </c>
      <c r="Q47" s="246" t="s">
        <v>27</v>
      </c>
      <c r="S47" s="246">
        <v>1</v>
      </c>
      <c r="T47" s="246" t="s">
        <v>28</v>
      </c>
      <c r="U47" s="246" t="s">
        <v>22</v>
      </c>
    </row>
    <row r="48" spans="1:21" x14ac:dyDescent="0.3">
      <c r="A48" s="247">
        <v>46078</v>
      </c>
      <c r="B48" s="248">
        <v>138643</v>
      </c>
      <c r="C48" s="246" t="s">
        <v>22</v>
      </c>
      <c r="D48" s="246" t="s">
        <v>88</v>
      </c>
      <c r="E48" s="246" t="s">
        <v>47</v>
      </c>
      <c r="F48" s="246" t="s">
        <v>25</v>
      </c>
      <c r="G48" s="246">
        <v>196</v>
      </c>
      <c r="H48" s="249">
        <v>200</v>
      </c>
      <c r="I48" s="249">
        <v>39200</v>
      </c>
      <c r="J48" s="249">
        <v>39200</v>
      </c>
      <c r="K48" s="250">
        <v>7.0000000000000007E-2</v>
      </c>
      <c r="L48" s="250">
        <v>0</v>
      </c>
      <c r="M48" s="246" t="s">
        <v>46</v>
      </c>
      <c r="N48" s="249">
        <v>2744</v>
      </c>
      <c r="O48" s="249">
        <v>0</v>
      </c>
      <c r="P48" s="246" t="s">
        <v>27</v>
      </c>
      <c r="Q48" s="246" t="s">
        <v>27</v>
      </c>
      <c r="S48" s="246">
        <v>6</v>
      </c>
      <c r="T48" s="246" t="s">
        <v>28</v>
      </c>
      <c r="U48" s="246" t="s">
        <v>22</v>
      </c>
    </row>
    <row r="49" spans="1:21" x14ac:dyDescent="0.3">
      <c r="A49" s="247">
        <v>46078</v>
      </c>
      <c r="B49" s="248">
        <v>138643</v>
      </c>
      <c r="C49" s="246" t="s">
        <v>22</v>
      </c>
      <c r="D49" s="246" t="s">
        <v>88</v>
      </c>
      <c r="E49" s="246" t="s">
        <v>47</v>
      </c>
      <c r="F49" s="246" t="s">
        <v>41</v>
      </c>
      <c r="G49" s="246">
        <v>1</v>
      </c>
      <c r="H49" s="249">
        <v>35502.9</v>
      </c>
      <c r="I49" s="249">
        <v>35502.9</v>
      </c>
      <c r="J49" s="249">
        <v>35502.9</v>
      </c>
      <c r="K49" s="250">
        <v>0.25</v>
      </c>
      <c r="L49" s="250">
        <v>0</v>
      </c>
      <c r="M49" s="246" t="s">
        <v>46</v>
      </c>
      <c r="N49" s="249">
        <v>8875.7250000000004</v>
      </c>
      <c r="O49" s="249">
        <v>0</v>
      </c>
      <c r="P49" s="246" t="s">
        <v>27</v>
      </c>
      <c r="Q49" s="246" t="s">
        <v>27</v>
      </c>
      <c r="S49" s="246">
        <v>6</v>
      </c>
      <c r="T49" s="246" t="s">
        <v>28</v>
      </c>
      <c r="U49" s="246" t="s">
        <v>22</v>
      </c>
    </row>
    <row r="50" spans="1:21" x14ac:dyDescent="0.3">
      <c r="A50" s="247">
        <v>46078</v>
      </c>
      <c r="B50" s="248">
        <v>138643</v>
      </c>
      <c r="C50" s="246" t="s">
        <v>22</v>
      </c>
      <c r="D50" s="246" t="s">
        <v>88</v>
      </c>
      <c r="E50" s="246" t="s">
        <v>47</v>
      </c>
      <c r="F50" s="246" t="s">
        <v>30</v>
      </c>
      <c r="G50" s="246">
        <v>14</v>
      </c>
      <c r="H50" s="249">
        <v>275.62</v>
      </c>
      <c r="I50" s="249">
        <v>3858.68</v>
      </c>
      <c r="J50" s="249">
        <v>3858.68</v>
      </c>
      <c r="K50" s="250">
        <v>1</v>
      </c>
      <c r="L50" s="250">
        <v>0</v>
      </c>
      <c r="M50" s="246" t="s">
        <v>46</v>
      </c>
      <c r="N50" s="249">
        <v>3858.68</v>
      </c>
      <c r="O50" s="249">
        <v>0</v>
      </c>
      <c r="P50" s="246" t="s">
        <v>27</v>
      </c>
      <c r="Q50" s="246" t="s">
        <v>27</v>
      </c>
      <c r="S50" s="246">
        <v>1</v>
      </c>
      <c r="T50" s="246" t="s">
        <v>28</v>
      </c>
      <c r="U50" s="246" t="s">
        <v>22</v>
      </c>
    </row>
    <row r="51" spans="1:21" x14ac:dyDescent="0.3">
      <c r="A51" s="247">
        <v>46078</v>
      </c>
      <c r="B51" s="248">
        <v>138643</v>
      </c>
      <c r="C51" s="246" t="s">
        <v>22</v>
      </c>
      <c r="D51" s="246" t="s">
        <v>88</v>
      </c>
      <c r="E51" s="246" t="s">
        <v>63</v>
      </c>
      <c r="F51" s="246" t="s">
        <v>30</v>
      </c>
      <c r="G51" s="246">
        <v>48</v>
      </c>
      <c r="H51" s="249">
        <v>115</v>
      </c>
      <c r="I51" s="249">
        <v>5520</v>
      </c>
      <c r="J51" s="249">
        <v>5520</v>
      </c>
      <c r="K51" s="250">
        <v>1</v>
      </c>
      <c r="L51" s="250">
        <v>0</v>
      </c>
      <c r="M51" s="246" t="s">
        <v>46</v>
      </c>
      <c r="N51" s="249">
        <v>5520</v>
      </c>
      <c r="O51" s="249">
        <v>0</v>
      </c>
      <c r="P51" s="246" t="s">
        <v>27</v>
      </c>
      <c r="Q51" s="246" t="s">
        <v>27</v>
      </c>
      <c r="S51" s="246">
        <v>1</v>
      </c>
      <c r="T51" s="246" t="s">
        <v>28</v>
      </c>
      <c r="U51" s="246" t="s">
        <v>22</v>
      </c>
    </row>
    <row r="52" spans="1:21" x14ac:dyDescent="0.3">
      <c r="A52" s="247">
        <v>46078</v>
      </c>
      <c r="B52" s="248">
        <v>138643</v>
      </c>
      <c r="C52" s="246" t="s">
        <v>22</v>
      </c>
      <c r="D52" s="246" t="s">
        <v>88</v>
      </c>
      <c r="E52" s="246" t="s">
        <v>89</v>
      </c>
      <c r="F52" s="246" t="s">
        <v>30</v>
      </c>
      <c r="G52" s="246">
        <v>1</v>
      </c>
      <c r="H52" s="249">
        <v>356.4</v>
      </c>
      <c r="I52" s="249">
        <v>356.4</v>
      </c>
      <c r="J52" s="249">
        <v>356.4</v>
      </c>
      <c r="K52" s="250">
        <v>1</v>
      </c>
      <c r="L52" s="250">
        <v>0</v>
      </c>
      <c r="M52" s="246" t="s">
        <v>46</v>
      </c>
      <c r="N52" s="249">
        <v>356.4</v>
      </c>
      <c r="O52" s="249">
        <v>0</v>
      </c>
      <c r="P52" s="246" t="s">
        <v>27</v>
      </c>
      <c r="Q52" s="246" t="s">
        <v>27</v>
      </c>
      <c r="S52" s="246">
        <v>1</v>
      </c>
      <c r="T52" s="246" t="s">
        <v>28</v>
      </c>
      <c r="U52" s="246" t="s">
        <v>22</v>
      </c>
    </row>
    <row r="53" spans="1:21" x14ac:dyDescent="0.3">
      <c r="A53" s="247">
        <v>46078</v>
      </c>
      <c r="B53" s="248">
        <v>138643</v>
      </c>
      <c r="C53" s="246" t="s">
        <v>22</v>
      </c>
      <c r="D53" s="246" t="s">
        <v>88</v>
      </c>
      <c r="E53" s="246" t="s">
        <v>52</v>
      </c>
      <c r="F53" s="246" t="s">
        <v>30</v>
      </c>
      <c r="G53" s="246">
        <v>1</v>
      </c>
      <c r="H53" s="249">
        <v>1080</v>
      </c>
      <c r="I53" s="249">
        <v>1080</v>
      </c>
      <c r="J53" s="249">
        <v>1080</v>
      </c>
      <c r="K53" s="250">
        <v>1</v>
      </c>
      <c r="L53" s="250">
        <v>0</v>
      </c>
      <c r="M53" s="246" t="s">
        <v>46</v>
      </c>
      <c r="N53" s="249">
        <v>1080</v>
      </c>
      <c r="O53" s="249">
        <v>0</v>
      </c>
      <c r="P53" s="246" t="s">
        <v>27</v>
      </c>
      <c r="Q53" s="246" t="s">
        <v>27</v>
      </c>
      <c r="S53" s="246">
        <v>1</v>
      </c>
      <c r="T53" s="246" t="s">
        <v>28</v>
      </c>
      <c r="U53" s="246" t="s">
        <v>22</v>
      </c>
    </row>
    <row r="54" spans="1:21" x14ac:dyDescent="0.3">
      <c r="A54" s="247">
        <v>46078</v>
      </c>
      <c r="B54" s="248">
        <v>138643</v>
      </c>
      <c r="C54" s="246" t="s">
        <v>22</v>
      </c>
      <c r="D54" s="246" t="s">
        <v>88</v>
      </c>
      <c r="E54" s="246" t="s">
        <v>83</v>
      </c>
      <c r="F54" s="246" t="s">
        <v>30</v>
      </c>
      <c r="G54" s="246">
        <v>1</v>
      </c>
      <c r="H54" s="249">
        <v>689</v>
      </c>
      <c r="I54" s="249">
        <v>689</v>
      </c>
      <c r="J54" s="249">
        <v>689</v>
      </c>
      <c r="K54" s="250">
        <v>1</v>
      </c>
      <c r="L54" s="250">
        <v>0</v>
      </c>
      <c r="M54" s="246" t="s">
        <v>46</v>
      </c>
      <c r="N54" s="249">
        <v>689</v>
      </c>
      <c r="O54" s="249">
        <v>0</v>
      </c>
      <c r="P54" s="246" t="s">
        <v>27</v>
      </c>
      <c r="Q54" s="246" t="s">
        <v>27</v>
      </c>
      <c r="S54" s="246">
        <v>1</v>
      </c>
      <c r="T54" s="246" t="s">
        <v>28</v>
      </c>
      <c r="U54" s="246" t="s">
        <v>22</v>
      </c>
    </row>
    <row r="55" spans="1:21" x14ac:dyDescent="0.3">
      <c r="A55" s="247">
        <v>46078</v>
      </c>
      <c r="B55" s="248">
        <v>138643</v>
      </c>
      <c r="C55" s="246" t="s">
        <v>22</v>
      </c>
      <c r="D55" s="246" t="s">
        <v>88</v>
      </c>
      <c r="E55" s="246" t="s">
        <v>84</v>
      </c>
      <c r="F55" s="246" t="s">
        <v>30</v>
      </c>
      <c r="G55" s="246">
        <v>1</v>
      </c>
      <c r="H55" s="249">
        <v>712</v>
      </c>
      <c r="I55" s="249">
        <v>712</v>
      </c>
      <c r="J55" s="249">
        <v>712</v>
      </c>
      <c r="K55" s="250">
        <v>1</v>
      </c>
      <c r="L55" s="250">
        <v>0</v>
      </c>
      <c r="M55" s="246" t="s">
        <v>46</v>
      </c>
      <c r="N55" s="249">
        <v>712</v>
      </c>
      <c r="O55" s="249">
        <v>0</v>
      </c>
      <c r="P55" s="246" t="s">
        <v>27</v>
      </c>
      <c r="Q55" s="246" t="s">
        <v>27</v>
      </c>
      <c r="S55" s="246">
        <v>1</v>
      </c>
      <c r="T55" s="246" t="s">
        <v>28</v>
      </c>
      <c r="U55" s="246" t="s">
        <v>22</v>
      </c>
    </row>
    <row r="56" spans="1:21" x14ac:dyDescent="0.3">
      <c r="A56" s="247">
        <v>46078</v>
      </c>
      <c r="B56" s="248">
        <v>136629</v>
      </c>
      <c r="C56" s="246" t="s">
        <v>31</v>
      </c>
      <c r="D56" s="246" t="s">
        <v>90</v>
      </c>
      <c r="E56" s="246" t="s">
        <v>35</v>
      </c>
      <c r="F56" s="246" t="s">
        <v>35</v>
      </c>
      <c r="G56" s="246">
        <v>80</v>
      </c>
      <c r="H56" s="249">
        <v>150</v>
      </c>
      <c r="I56" s="249">
        <v>12000</v>
      </c>
      <c r="J56" s="249">
        <v>12000</v>
      </c>
      <c r="K56" s="250">
        <v>6.8999999999999999E-3</v>
      </c>
      <c r="L56" s="250">
        <v>0</v>
      </c>
      <c r="M56" s="246" t="s">
        <v>26</v>
      </c>
      <c r="N56" s="249">
        <v>82.8</v>
      </c>
      <c r="O56" s="249">
        <v>0</v>
      </c>
      <c r="P56" s="246" t="s">
        <v>36</v>
      </c>
      <c r="Q56" s="246" t="s">
        <v>37</v>
      </c>
      <c r="S56" s="246">
        <v>1</v>
      </c>
      <c r="T56" s="246" t="s">
        <v>38</v>
      </c>
      <c r="U56" s="246" t="s">
        <v>31</v>
      </c>
    </row>
    <row r="57" spans="1:21" x14ac:dyDescent="0.3">
      <c r="A57" s="247">
        <v>46078</v>
      </c>
      <c r="B57" s="248">
        <v>138487</v>
      </c>
      <c r="C57" s="246" t="s">
        <v>31</v>
      </c>
      <c r="D57" s="246" t="s">
        <v>91</v>
      </c>
      <c r="E57" s="246" t="s">
        <v>56</v>
      </c>
      <c r="F57" s="246" t="s">
        <v>25</v>
      </c>
      <c r="G57" s="246">
        <v>2</v>
      </c>
      <c r="H57" s="249">
        <v>210</v>
      </c>
      <c r="I57" s="249">
        <v>420</v>
      </c>
      <c r="J57" s="249">
        <v>504</v>
      </c>
      <c r="K57" s="250">
        <v>7.0000000000000007E-2</v>
      </c>
      <c r="L57" s="250">
        <v>1.7500000000000002E-2</v>
      </c>
      <c r="M57" s="246" t="s">
        <v>26</v>
      </c>
      <c r="N57" s="249">
        <v>29.4</v>
      </c>
      <c r="O57" s="249">
        <v>7.3500000000000014</v>
      </c>
      <c r="P57" s="246" t="s">
        <v>27</v>
      </c>
      <c r="Q57" s="246" t="s">
        <v>27</v>
      </c>
      <c r="S57" s="246">
        <v>1</v>
      </c>
      <c r="T57" s="246" t="s">
        <v>28</v>
      </c>
      <c r="U57" s="246" t="s">
        <v>31</v>
      </c>
    </row>
    <row r="58" spans="1:21" x14ac:dyDescent="0.3">
      <c r="A58" s="247">
        <v>46078</v>
      </c>
      <c r="B58" s="248">
        <v>138487</v>
      </c>
      <c r="C58" s="246" t="s">
        <v>31</v>
      </c>
      <c r="D58" s="246" t="s">
        <v>91</v>
      </c>
      <c r="E58" s="246" t="s">
        <v>56</v>
      </c>
      <c r="F58" s="246" t="s">
        <v>30</v>
      </c>
      <c r="G58" s="246">
        <v>1</v>
      </c>
      <c r="H58" s="249">
        <v>356.4</v>
      </c>
      <c r="I58" s="249">
        <v>356.4</v>
      </c>
      <c r="J58" s="249">
        <v>427.67999999999989</v>
      </c>
      <c r="K58" s="250">
        <v>1</v>
      </c>
      <c r="L58" s="250">
        <v>0.25</v>
      </c>
      <c r="M58" s="246" t="s">
        <v>26</v>
      </c>
      <c r="N58" s="249">
        <v>356.4</v>
      </c>
      <c r="O58" s="249">
        <v>89.1</v>
      </c>
      <c r="P58" s="246" t="s">
        <v>27</v>
      </c>
      <c r="Q58" s="246" t="s">
        <v>27</v>
      </c>
      <c r="S58" s="246">
        <v>1</v>
      </c>
      <c r="T58" s="246" t="s">
        <v>28</v>
      </c>
      <c r="U58" s="246" t="s">
        <v>31</v>
      </c>
    </row>
    <row r="59" spans="1:21" x14ac:dyDescent="0.3">
      <c r="A59" s="247">
        <v>46078</v>
      </c>
      <c r="B59" s="248">
        <v>138723</v>
      </c>
      <c r="C59" s="246" t="s">
        <v>31</v>
      </c>
      <c r="D59" s="246" t="s">
        <v>79</v>
      </c>
      <c r="E59" s="246" t="s">
        <v>24</v>
      </c>
      <c r="F59" s="246" t="s">
        <v>25</v>
      </c>
      <c r="G59" s="246">
        <v>40</v>
      </c>
      <c r="H59" s="249">
        <v>210</v>
      </c>
      <c r="I59" s="249">
        <v>8400</v>
      </c>
      <c r="J59" s="249">
        <v>10080</v>
      </c>
      <c r="K59" s="250">
        <v>0.25</v>
      </c>
      <c r="L59" s="250">
        <v>6.25E-2</v>
      </c>
      <c r="M59" s="246" t="s">
        <v>26</v>
      </c>
      <c r="N59" s="249">
        <v>2100</v>
      </c>
      <c r="O59" s="249">
        <v>525</v>
      </c>
      <c r="P59" s="246" t="s">
        <v>36</v>
      </c>
      <c r="Q59" s="246" t="s">
        <v>37</v>
      </c>
      <c r="S59" s="246">
        <v>6</v>
      </c>
      <c r="T59" s="246" t="s">
        <v>38</v>
      </c>
      <c r="U59" s="246" t="s">
        <v>31</v>
      </c>
    </row>
    <row r="60" spans="1:21" x14ac:dyDescent="0.3">
      <c r="A60" s="247">
        <v>46078</v>
      </c>
      <c r="B60" s="248">
        <v>134770</v>
      </c>
      <c r="C60" s="246" t="s">
        <v>31</v>
      </c>
      <c r="D60" s="246" t="s">
        <v>92</v>
      </c>
      <c r="E60" s="246" t="s">
        <v>35</v>
      </c>
      <c r="F60" s="246" t="s">
        <v>35</v>
      </c>
      <c r="G60" s="246">
        <v>4</v>
      </c>
      <c r="H60" s="249">
        <v>176</v>
      </c>
      <c r="I60" s="249">
        <v>704</v>
      </c>
      <c r="J60" s="249">
        <v>704</v>
      </c>
      <c r="K60" s="250">
        <v>0.01</v>
      </c>
      <c r="L60" s="250">
        <v>2.5000000000000001E-3</v>
      </c>
      <c r="M60" s="246" t="s">
        <v>26</v>
      </c>
      <c r="N60" s="249">
        <v>7.04</v>
      </c>
      <c r="O60" s="249">
        <v>1.76</v>
      </c>
      <c r="P60" s="246" t="s">
        <v>36</v>
      </c>
      <c r="Q60" s="246" t="s">
        <v>37</v>
      </c>
      <c r="S60" s="246">
        <v>1</v>
      </c>
      <c r="T60" s="246" t="s">
        <v>38</v>
      </c>
      <c r="U60" s="246" t="s">
        <v>31</v>
      </c>
    </row>
    <row r="61" spans="1:21" x14ac:dyDescent="0.3">
      <c r="A61" s="247">
        <v>46078</v>
      </c>
      <c r="B61" s="248">
        <v>138211</v>
      </c>
      <c r="C61" s="246" t="s">
        <v>31</v>
      </c>
      <c r="D61" s="246" t="s">
        <v>93</v>
      </c>
      <c r="E61" s="246" t="s">
        <v>24</v>
      </c>
      <c r="F61" s="246" t="s">
        <v>25</v>
      </c>
      <c r="G61" s="246">
        <v>8</v>
      </c>
      <c r="H61" s="249">
        <v>189</v>
      </c>
      <c r="I61" s="249">
        <v>1512</v>
      </c>
      <c r="J61" s="249">
        <v>1814.4</v>
      </c>
      <c r="K61" s="250">
        <v>0.25</v>
      </c>
      <c r="L61" s="250">
        <v>6.25E-2</v>
      </c>
      <c r="M61" s="246" t="s">
        <v>26</v>
      </c>
      <c r="N61" s="249">
        <v>378</v>
      </c>
      <c r="O61" s="249">
        <v>94.5</v>
      </c>
      <c r="P61" s="246" t="s">
        <v>36</v>
      </c>
      <c r="Q61" s="246" t="s">
        <v>37</v>
      </c>
      <c r="S61" s="246">
        <v>1</v>
      </c>
      <c r="T61" s="246" t="s">
        <v>38</v>
      </c>
      <c r="U61" s="246" t="s">
        <v>31</v>
      </c>
    </row>
    <row r="62" spans="1:21" x14ac:dyDescent="0.3">
      <c r="A62" s="246" t="s">
        <v>150</v>
      </c>
      <c r="I62" s="249">
        <f>SUBTOTAL(109,Tabela11[VlrTotal])</f>
        <v>625422.5700000003</v>
      </c>
      <c r="J62" s="249">
        <f>SUBTOTAL(109,Tabela11[Vlr Meta])</f>
        <v>632884.93000000028</v>
      </c>
      <c r="N62" s="249">
        <f>SUBTOTAL(109,Tabela11[[ComissãoVendedor ]])</f>
        <v>135598.15</v>
      </c>
      <c r="O62" s="249">
        <f>SUBTOTAL(109,Tabela11[ComissãoSupervisor])</f>
        <v>7286.9700000000021</v>
      </c>
      <c r="U62" s="246">
        <f>SUBTOTAL(103,Tabela11[SDR_RESPONSÁVEL])</f>
        <v>60</v>
      </c>
    </row>
    <row r="65" spans="3:14" x14ac:dyDescent="0.3">
      <c r="C65" s="110" t="s">
        <v>512</v>
      </c>
      <c r="D65" s="111"/>
      <c r="E65" s="111"/>
      <c r="F65" s="111"/>
      <c r="G65" s="111"/>
      <c r="H65" s="111"/>
      <c r="I65" s="111"/>
      <c r="J65" s="111"/>
      <c r="K65" s="111"/>
      <c r="L65" s="111"/>
      <c r="M65" s="111"/>
      <c r="N65" s="111"/>
    </row>
    <row r="66" spans="3:14" x14ac:dyDescent="0.3">
      <c r="C66" s="112" t="s">
        <v>183</v>
      </c>
      <c r="D66" s="112"/>
      <c r="E66" s="112"/>
      <c r="F66" s="112"/>
      <c r="G66" s="112"/>
      <c r="H66" s="112"/>
      <c r="I66" s="112"/>
      <c r="J66" s="112"/>
      <c r="K66" s="112"/>
      <c r="L66" s="112"/>
      <c r="M66" s="112"/>
      <c r="N66" s="112"/>
    </row>
    <row r="67" spans="3:14" x14ac:dyDescent="0.3">
      <c r="C67" s="404" t="s">
        <v>185</v>
      </c>
      <c r="D67" s="398"/>
      <c r="E67" s="398"/>
      <c r="F67" s="398"/>
      <c r="G67" s="405" t="s">
        <v>186</v>
      </c>
      <c r="H67" s="398"/>
      <c r="I67" s="398"/>
      <c r="J67" s="398"/>
      <c r="K67" s="397" t="s">
        <v>187</v>
      </c>
      <c r="L67" s="398"/>
      <c r="M67" s="398"/>
      <c r="N67" s="398"/>
    </row>
    <row r="68" spans="3:14" x14ac:dyDescent="0.3">
      <c r="C68" s="113"/>
      <c r="D68" s="114" t="s">
        <v>156</v>
      </c>
      <c r="E68" s="115" t="s">
        <v>188</v>
      </c>
      <c r="F68" s="115" t="s">
        <v>158</v>
      </c>
      <c r="G68" s="113"/>
      <c r="H68" s="114" t="s">
        <v>156</v>
      </c>
      <c r="I68" s="115" t="s">
        <v>188</v>
      </c>
      <c r="J68" s="115" t="s">
        <v>158</v>
      </c>
      <c r="K68" s="113"/>
      <c r="L68" s="114" t="s">
        <v>156</v>
      </c>
      <c r="M68" s="115" t="s">
        <v>188</v>
      </c>
      <c r="N68" s="115" t="s">
        <v>158</v>
      </c>
    </row>
    <row r="69" spans="3:14" x14ac:dyDescent="0.3">
      <c r="C69" s="116" t="s">
        <v>189</v>
      </c>
      <c r="D69" s="117">
        <v>15</v>
      </c>
      <c r="E69" s="118">
        <v>26</v>
      </c>
      <c r="F69" s="119">
        <f>E69/D69</f>
        <v>1.7333333333333334</v>
      </c>
      <c r="G69" s="116" t="s">
        <v>189</v>
      </c>
      <c r="H69" s="117">
        <v>15</v>
      </c>
      <c r="I69" s="118">
        <v>16</v>
      </c>
      <c r="J69" s="119">
        <f>I69/H69</f>
        <v>1.0666666666666667</v>
      </c>
      <c r="K69" s="116" t="s">
        <v>189</v>
      </c>
      <c r="L69" s="117">
        <v>15</v>
      </c>
      <c r="M69" s="118">
        <v>17</v>
      </c>
      <c r="N69" s="119">
        <f>M69/L69</f>
        <v>1.1333333333333333</v>
      </c>
    </row>
    <row r="70" spans="3:14" x14ac:dyDescent="0.3">
      <c r="C70" s="116" t="s">
        <v>190</v>
      </c>
      <c r="D70" s="117">
        <v>12</v>
      </c>
      <c r="E70" s="118">
        <v>31</v>
      </c>
      <c r="F70" s="119">
        <f>E70/D70</f>
        <v>2.5833333333333335</v>
      </c>
      <c r="G70" s="116" t="s">
        <v>190</v>
      </c>
      <c r="H70" s="117">
        <v>12</v>
      </c>
      <c r="I70" s="118">
        <v>13</v>
      </c>
      <c r="J70" s="119">
        <f>I70/H70</f>
        <v>1.0833333333333333</v>
      </c>
      <c r="K70" s="116" t="s">
        <v>190</v>
      </c>
      <c r="L70" s="117">
        <v>12</v>
      </c>
      <c r="M70" s="118">
        <v>15</v>
      </c>
      <c r="N70" s="119">
        <f>M70/L70</f>
        <v>1.25</v>
      </c>
    </row>
    <row r="71" spans="3:14" x14ac:dyDescent="0.3">
      <c r="C71" s="116" t="s">
        <v>173</v>
      </c>
      <c r="D71" s="120">
        <v>6500</v>
      </c>
      <c r="E71" s="121">
        <v>2413.6799999999998</v>
      </c>
      <c r="F71" s="119">
        <f>E71/D71</f>
        <v>0.37133538461538457</v>
      </c>
      <c r="G71" s="116" t="s">
        <v>173</v>
      </c>
      <c r="H71" s="120">
        <v>10000</v>
      </c>
      <c r="I71" s="121">
        <v>14107.5</v>
      </c>
      <c r="J71" s="119">
        <f>I71/H71</f>
        <v>1.4107499999999999</v>
      </c>
      <c r="K71" s="116" t="s">
        <v>173</v>
      </c>
      <c r="L71" s="120">
        <v>10000</v>
      </c>
      <c r="M71" s="121">
        <v>55175.35</v>
      </c>
      <c r="N71" s="119">
        <f>M71/L71</f>
        <v>5.5175349999999996</v>
      </c>
    </row>
    <row r="72" spans="3:14" x14ac:dyDescent="0.3">
      <c r="C72" s="116" t="s">
        <v>166</v>
      </c>
      <c r="D72" s="120">
        <v>26500</v>
      </c>
      <c r="E72" s="122">
        <f>E71+I71+M71</f>
        <v>71696.53</v>
      </c>
      <c r="F72" s="119">
        <f>E72/D72</f>
        <v>2.7055294339622642</v>
      </c>
      <c r="G72" s="116" t="s">
        <v>166</v>
      </c>
      <c r="H72" s="120">
        <v>26500</v>
      </c>
      <c r="I72" s="122">
        <f>E72</f>
        <v>71696.53</v>
      </c>
      <c r="J72" s="119">
        <f>I72/H72</f>
        <v>2.7055294339622642</v>
      </c>
      <c r="K72" s="116" t="s">
        <v>166</v>
      </c>
      <c r="L72" s="120">
        <v>26500</v>
      </c>
      <c r="M72" s="122">
        <f>E72</f>
        <v>71696.53</v>
      </c>
      <c r="N72" s="119">
        <f>M72/L72</f>
        <v>2.7055294339622642</v>
      </c>
    </row>
    <row r="73" spans="3:14" x14ac:dyDescent="0.3">
      <c r="C73" s="116" t="s">
        <v>174</v>
      </c>
      <c r="D73" s="120">
        <v>90000</v>
      </c>
      <c r="E73" s="122">
        <v>96796.800000000003</v>
      </c>
      <c r="F73" s="119">
        <f>E73/D73</f>
        <v>1.07552</v>
      </c>
      <c r="G73" s="116" t="s">
        <v>174</v>
      </c>
      <c r="H73" s="120">
        <v>90000</v>
      </c>
      <c r="I73" s="122">
        <v>97230</v>
      </c>
      <c r="J73" s="119">
        <f>I73/H73</f>
        <v>1.0803333333333334</v>
      </c>
      <c r="K73" s="116" t="s">
        <v>174</v>
      </c>
      <c r="L73" s="120">
        <v>90000</v>
      </c>
      <c r="M73" s="122">
        <v>367161.59999999998</v>
      </c>
      <c r="N73" s="119">
        <f>M73/L73</f>
        <v>4.0795733333333333</v>
      </c>
    </row>
    <row r="75" spans="3:14" x14ac:dyDescent="0.3">
      <c r="C75" s="407" t="s">
        <v>513</v>
      </c>
      <c r="D75" s="398"/>
      <c r="E75" s="398"/>
      <c r="F75" s="398"/>
      <c r="G75" s="398"/>
      <c r="H75" s="398"/>
      <c r="I75" s="398"/>
      <c r="J75" s="398"/>
    </row>
    <row r="76" spans="3:14" x14ac:dyDescent="0.3">
      <c r="C76" s="123"/>
      <c r="D76" s="115"/>
      <c r="E76" s="115"/>
      <c r="F76" s="115"/>
      <c r="G76" s="117"/>
      <c r="H76" s="124"/>
      <c r="I76" s="124"/>
      <c r="J76" s="124"/>
    </row>
    <row r="77" spans="3:14" x14ac:dyDescent="0.3">
      <c r="C77" s="124"/>
      <c r="D77" s="124"/>
      <c r="E77" s="124"/>
      <c r="F77" s="124"/>
      <c r="G77" s="117"/>
      <c r="H77" s="124"/>
      <c r="I77" s="124"/>
      <c r="J77" s="124"/>
    </row>
    <row r="78" spans="3:14" x14ac:dyDescent="0.3">
      <c r="C78" s="124"/>
      <c r="D78" s="124"/>
      <c r="E78" s="125" t="s">
        <v>514</v>
      </c>
      <c r="F78" s="114"/>
      <c r="G78" s="114"/>
      <c r="H78" s="126"/>
      <c r="I78" s="124"/>
      <c r="J78" s="124"/>
    </row>
    <row r="79" spans="3:14" x14ac:dyDescent="0.3">
      <c r="C79" s="124"/>
      <c r="D79" s="124"/>
      <c r="E79" s="125"/>
      <c r="F79" s="114" t="s">
        <v>515</v>
      </c>
      <c r="G79" s="114" t="s">
        <v>516</v>
      </c>
      <c r="H79" s="127" t="s">
        <v>30</v>
      </c>
      <c r="I79" s="124"/>
      <c r="J79" s="124"/>
    </row>
    <row r="80" spans="3:14" x14ac:dyDescent="0.3">
      <c r="C80" s="124"/>
      <c r="D80" s="124"/>
      <c r="E80" s="128" t="s">
        <v>517</v>
      </c>
      <c r="F80" s="129">
        <v>0.1</v>
      </c>
      <c r="G80" s="130">
        <v>7.0000000000000001E-3</v>
      </c>
      <c r="H80" s="130">
        <v>0.1</v>
      </c>
      <c r="I80" s="124"/>
      <c r="J80" s="124"/>
    </row>
    <row r="81" spans="3:13" x14ac:dyDescent="0.3">
      <c r="C81" s="124"/>
      <c r="D81" s="124"/>
      <c r="E81" s="128" t="s">
        <v>518</v>
      </c>
      <c r="F81" s="129">
        <v>0.1</v>
      </c>
      <c r="G81" s="130">
        <v>7.0000000000000001E-3</v>
      </c>
      <c r="H81" s="130">
        <v>0.1</v>
      </c>
      <c r="I81" s="124"/>
      <c r="J81" s="124"/>
    </row>
    <row r="82" spans="3:13" x14ac:dyDescent="0.3">
      <c r="C82" s="128"/>
      <c r="D82" s="131"/>
      <c r="E82" s="132" t="s">
        <v>519</v>
      </c>
      <c r="F82" s="133">
        <v>0.1</v>
      </c>
      <c r="G82" s="134">
        <v>7.0000000000000001E-3</v>
      </c>
      <c r="H82" s="134">
        <v>0.1</v>
      </c>
      <c r="I82" s="124"/>
      <c r="J82" s="124"/>
    </row>
    <row r="84" spans="3:13" ht="14.4" customHeight="1" x14ac:dyDescent="0.3">
      <c r="C84" s="403" t="s">
        <v>520</v>
      </c>
      <c r="D84" s="398"/>
      <c r="E84" s="398"/>
      <c r="F84" s="398"/>
      <c r="G84" s="398"/>
      <c r="H84" s="398"/>
      <c r="I84" s="398"/>
      <c r="J84" s="398"/>
    </row>
    <row r="85" spans="3:13" ht="14.4" customHeight="1" x14ac:dyDescent="0.3"/>
    <row r="86" spans="3:13" ht="14.4" customHeight="1" x14ac:dyDescent="0.3">
      <c r="D86" s="135" t="s">
        <v>521</v>
      </c>
      <c r="E86" s="136" t="s">
        <v>522</v>
      </c>
      <c r="F86" s="137" t="s">
        <v>523</v>
      </c>
      <c r="G86" s="137" t="s">
        <v>524</v>
      </c>
      <c r="H86" s="137" t="s">
        <v>525</v>
      </c>
      <c r="I86" s="136" t="s">
        <v>526</v>
      </c>
      <c r="J86" s="136" t="s">
        <v>527</v>
      </c>
      <c r="K86" s="137" t="s">
        <v>528</v>
      </c>
      <c r="L86" s="137" t="s">
        <v>529</v>
      </c>
    </row>
    <row r="87" spans="3:13" ht="14.4" customHeight="1" x14ac:dyDescent="0.3">
      <c r="D87" s="138" t="s">
        <v>258</v>
      </c>
      <c r="E87" s="139">
        <v>97230</v>
      </c>
      <c r="F87" s="139">
        <v>5646.1</v>
      </c>
      <c r="G87" s="139">
        <f>F87*0.1</f>
        <v>564.61</v>
      </c>
      <c r="H87" s="139">
        <v>0</v>
      </c>
      <c r="I87" s="401" t="str">
        <f>IF(J71&lt;100%,"NÃO BATEU","CUMPRIU")</f>
        <v>CUMPRIU</v>
      </c>
      <c r="J87" s="401" t="str">
        <f>IF(J72&lt;100%,"NÃO BATEU","CUMPRIU")</f>
        <v>CUMPRIU</v>
      </c>
      <c r="K87" s="140">
        <f>E87/E106</f>
        <v>0.17525246954035295</v>
      </c>
      <c r="L87" s="141">
        <f>G106*K87</f>
        <v>1138.7060753828953</v>
      </c>
    </row>
    <row r="88" spans="3:13" ht="14.4" customHeight="1" x14ac:dyDescent="0.3">
      <c r="D88" s="138" t="s">
        <v>30</v>
      </c>
      <c r="E88" s="139">
        <v>13507.5</v>
      </c>
      <c r="F88" s="139">
        <v>13507.5</v>
      </c>
      <c r="G88" s="139">
        <f>F88*0.1</f>
        <v>1350.75</v>
      </c>
      <c r="H88" s="139">
        <v>0</v>
      </c>
      <c r="I88" s="402"/>
      <c r="J88" s="402"/>
      <c r="K88" s="140">
        <f>IFERROR(E88/E107,0)</f>
        <v>0.19126213468507483</v>
      </c>
      <c r="L88" s="141">
        <f>G107*K88</f>
        <v>1350.75</v>
      </c>
    </row>
    <row r="89" spans="3:13" ht="14.4" customHeight="1" x14ac:dyDescent="0.3">
      <c r="D89" s="138"/>
      <c r="E89" s="142">
        <f>SUM(E87:E88)</f>
        <v>110737.5</v>
      </c>
      <c r="F89" s="142">
        <f>F87+F88</f>
        <v>19153.599999999999</v>
      </c>
      <c r="G89" s="143">
        <f>SUM(G87:G88)</f>
        <v>1915.3600000000001</v>
      </c>
      <c r="H89" s="144">
        <f>SUM(H87:H88)*-1</f>
        <v>0</v>
      </c>
      <c r="I89" s="138"/>
      <c r="J89" s="138"/>
      <c r="K89" s="138"/>
      <c r="L89" s="145">
        <f>SUM(L87:L88)</f>
        <v>2489.4560753828955</v>
      </c>
      <c r="M89" s="251">
        <f>G89+H89+L89</f>
        <v>4404.8160753828961</v>
      </c>
    </row>
    <row r="90" spans="3:13" ht="14.4" customHeight="1" x14ac:dyDescent="0.3"/>
    <row r="91" spans="3:13" ht="14.4" customHeight="1" x14ac:dyDescent="0.3">
      <c r="D91" s="135" t="s">
        <v>185</v>
      </c>
      <c r="E91" s="136" t="s">
        <v>530</v>
      </c>
      <c r="F91" s="137" t="s">
        <v>523</v>
      </c>
      <c r="G91" s="137" t="s">
        <v>524</v>
      </c>
      <c r="H91" s="137" t="s">
        <v>525</v>
      </c>
      <c r="I91" s="136" t="s">
        <v>526</v>
      </c>
      <c r="J91" s="136" t="s">
        <v>527</v>
      </c>
      <c r="K91" s="137" t="s">
        <v>528</v>
      </c>
      <c r="L91" s="137" t="s">
        <v>529</v>
      </c>
    </row>
    <row r="92" spans="3:13" ht="14.4" customHeight="1" x14ac:dyDescent="0.3">
      <c r="D92" s="138" t="s">
        <v>258</v>
      </c>
      <c r="E92" s="139">
        <v>31944</v>
      </c>
      <c r="F92" s="147">
        <v>7518.24</v>
      </c>
      <c r="G92" s="139">
        <v>0</v>
      </c>
      <c r="H92" s="139">
        <f>F92*0.1</f>
        <v>751.82400000000007</v>
      </c>
      <c r="I92" s="401" t="str">
        <f>IF(F71&lt;100%,"NÃO BATEU","CUMPRIU")</f>
        <v>NÃO BATEU</v>
      </c>
      <c r="J92" s="401" t="str">
        <f>IF(F72&lt;100%,"NÃO BATEU","CUMPRIU")</f>
        <v>CUMPRIU</v>
      </c>
      <c r="K92" s="140">
        <f>E92/E106</f>
        <v>5.75775469196445E-2</v>
      </c>
      <c r="L92" s="141">
        <f>K92*G106</f>
        <v>374.11114750623477</v>
      </c>
    </row>
    <row r="93" spans="3:13" ht="14.4" customHeight="1" x14ac:dyDescent="0.3">
      <c r="D93" s="138" t="s">
        <v>30</v>
      </c>
      <c r="E93" s="148">
        <v>2011.4</v>
      </c>
      <c r="F93" s="147">
        <v>2011.4</v>
      </c>
      <c r="G93" s="139">
        <v>0</v>
      </c>
      <c r="H93" s="139">
        <f>F93*0.1</f>
        <v>201.14000000000001</v>
      </c>
      <c r="I93" s="411"/>
      <c r="J93" s="411"/>
      <c r="K93" s="140">
        <f>E93/E107</f>
        <v>2.848081863450376E-2</v>
      </c>
      <c r="L93" s="141">
        <f>K93*G107</f>
        <v>201.14000000000001</v>
      </c>
    </row>
    <row r="94" spans="3:13" ht="14.4" customHeight="1" x14ac:dyDescent="0.3">
      <c r="D94" s="138" t="s">
        <v>35</v>
      </c>
      <c r="E94" s="149">
        <v>58464</v>
      </c>
      <c r="F94" s="150">
        <v>547.44000000000005</v>
      </c>
      <c r="G94" s="151">
        <v>0</v>
      </c>
      <c r="H94" s="139">
        <f>F94*0.1</f>
        <v>54.744000000000007</v>
      </c>
      <c r="I94" s="402"/>
      <c r="J94" s="402"/>
      <c r="K94" s="140">
        <f>E94/E106</f>
        <v>0.10537859075601352</v>
      </c>
      <c r="L94" s="141">
        <f>K94*G106</f>
        <v>684.6992902518316</v>
      </c>
    </row>
    <row r="95" spans="3:13" ht="14.4" customHeight="1" x14ac:dyDescent="0.3">
      <c r="D95" s="138"/>
      <c r="E95" s="142">
        <f>SUM(E92:E94)</f>
        <v>92419.4</v>
      </c>
      <c r="F95" s="142">
        <f>SUM(F92:F94)</f>
        <v>10077.08</v>
      </c>
      <c r="G95" s="143">
        <f>SUM(G92:G94)</f>
        <v>0</v>
      </c>
      <c r="H95" s="144">
        <f>SUM(H92:H94)*-1</f>
        <v>-1007.7080000000001</v>
      </c>
      <c r="I95" s="138"/>
      <c r="J95" s="152"/>
      <c r="L95" s="145">
        <f>SUM(L92:L94)</f>
        <v>1259.9504377580665</v>
      </c>
      <c r="M95" s="251">
        <f>G95+H95+L95</f>
        <v>252.24243775806644</v>
      </c>
    </row>
    <row r="96" spans="3:13" ht="14.4" customHeight="1" x14ac:dyDescent="0.3"/>
    <row r="97" spans="4:14" ht="14.4" customHeight="1" x14ac:dyDescent="0.3">
      <c r="D97" s="135" t="s">
        <v>187</v>
      </c>
      <c r="E97" s="136" t="s">
        <v>530</v>
      </c>
      <c r="F97" s="137" t="s">
        <v>523</v>
      </c>
      <c r="G97" s="137" t="s">
        <v>524</v>
      </c>
      <c r="H97" s="137" t="s">
        <v>525</v>
      </c>
      <c r="I97" s="136" t="s">
        <v>526</v>
      </c>
      <c r="J97" s="136" t="s">
        <v>527</v>
      </c>
      <c r="K97" s="154" t="s">
        <v>528</v>
      </c>
      <c r="L97" s="154" t="s">
        <v>529</v>
      </c>
      <c r="M97" s="137" t="s">
        <v>531</v>
      </c>
      <c r="N97" s="137" t="s">
        <v>532</v>
      </c>
    </row>
    <row r="98" spans="4:14" ht="14.4" customHeight="1" x14ac:dyDescent="0.3">
      <c r="D98" s="138" t="s">
        <v>258</v>
      </c>
      <c r="E98" s="139">
        <v>367161.59999999998</v>
      </c>
      <c r="F98" s="139">
        <v>51263.4</v>
      </c>
      <c r="G98" s="139">
        <f>F98*0.1</f>
        <v>5126.34</v>
      </c>
      <c r="H98" s="141">
        <v>0</v>
      </c>
      <c r="I98" s="401" t="str">
        <f>IF(N71&lt;100%,"NÃO BATEU","CUMPRIU")</f>
        <v>CUMPRIU</v>
      </c>
      <c r="J98" s="401" t="str">
        <f>IF(N72&lt;100%,"NÃO BATEU","CUMPRIU")</f>
        <v>CUMPRIU</v>
      </c>
      <c r="K98" s="140">
        <f>E98/E106</f>
        <v>0.66179139278398902</v>
      </c>
      <c r="L98" s="253">
        <f>K98*G106</f>
        <v>4300.0014868590397</v>
      </c>
      <c r="M98" s="156">
        <f>G89*0.1</f>
        <v>191.53600000000003</v>
      </c>
      <c r="N98" s="141">
        <v>3291.09</v>
      </c>
    </row>
    <row r="99" spans="4:14" ht="14.4" customHeight="1" x14ac:dyDescent="0.3">
      <c r="D99" s="138" t="s">
        <v>30</v>
      </c>
      <c r="E99" s="139">
        <v>55104.07</v>
      </c>
      <c r="F99" s="139">
        <v>55104.07</v>
      </c>
      <c r="G99" s="139">
        <f>F99*0.1</f>
        <v>5510.4070000000002</v>
      </c>
      <c r="H99" s="141">
        <v>0</v>
      </c>
      <c r="I99" s="411"/>
      <c r="J99" s="411"/>
      <c r="K99" s="140">
        <f>E99/E107</f>
        <v>0.7802570466804214</v>
      </c>
      <c r="L99" s="253">
        <f>K99*G107</f>
        <v>5510.4070000000002</v>
      </c>
      <c r="M99" s="156">
        <f>H95*0.25</f>
        <v>-251.92700000000002</v>
      </c>
      <c r="N99" s="157">
        <v>3879.73</v>
      </c>
    </row>
    <row r="100" spans="4:14" ht="14.4" customHeight="1" x14ac:dyDescent="0.3">
      <c r="D100" s="138" t="s">
        <v>35</v>
      </c>
      <c r="E100" s="139">
        <v>0</v>
      </c>
      <c r="F100" s="139">
        <v>0</v>
      </c>
      <c r="G100" s="139">
        <f>F100*0.1</f>
        <v>0</v>
      </c>
      <c r="H100" s="141">
        <v>0</v>
      </c>
      <c r="I100" s="411"/>
      <c r="J100" s="411"/>
      <c r="K100" s="140">
        <f>E100/E106</f>
        <v>0</v>
      </c>
      <c r="L100" s="253">
        <f>K100*G106</f>
        <v>0</v>
      </c>
      <c r="M100" s="156">
        <f>K100*G106</f>
        <v>0</v>
      </c>
      <c r="N100" s="141">
        <v>116.16</v>
      </c>
    </row>
    <row r="101" spans="4:14" ht="14.4" customHeight="1" x14ac:dyDescent="0.3">
      <c r="D101" s="138"/>
      <c r="E101" s="142">
        <f>SUM(E98:E100)</f>
        <v>422265.67</v>
      </c>
      <c r="F101" s="158">
        <f>SUM(F98:F100)</f>
        <v>106367.47</v>
      </c>
      <c r="G101" s="143">
        <f>SUM(G98:G100)</f>
        <v>10636.746999999999</v>
      </c>
      <c r="H101" s="159">
        <f>SUM(H98:H100)*-1</f>
        <v>0</v>
      </c>
      <c r="I101" s="402"/>
      <c r="J101" s="402"/>
      <c r="L101" s="252">
        <f>SUM(L98:L100)</f>
        <v>9810.4084868590398</v>
      </c>
      <c r="M101" s="161">
        <f>SUM(M98:M100)</f>
        <v>-60.390999999999991</v>
      </c>
      <c r="N101" s="162">
        <f>SUM(N98:N100)</f>
        <v>7286.98</v>
      </c>
    </row>
    <row r="102" spans="4:14" ht="14.4" customHeight="1" x14ac:dyDescent="0.3">
      <c r="N102" s="254">
        <f>G101+H101+N101+M101+L101</f>
        <v>27673.744486859039</v>
      </c>
    </row>
    <row r="103" spans="4:14" ht="14.4" customHeight="1" x14ac:dyDescent="0.3">
      <c r="G103" s="164" t="s">
        <v>533</v>
      </c>
    </row>
    <row r="104" spans="4:14" ht="14.4" customHeight="1" x14ac:dyDescent="0.3">
      <c r="F104" s="2" t="s">
        <v>534</v>
      </c>
      <c r="G104" s="164" t="s">
        <v>535</v>
      </c>
    </row>
    <row r="105" spans="4:14" ht="14.4" customHeight="1" x14ac:dyDescent="0.3">
      <c r="D105" s="165" t="s">
        <v>534</v>
      </c>
      <c r="E105" s="166">
        <f>E89+E95+E101</f>
        <v>625422.56999999995</v>
      </c>
      <c r="F105" s="166">
        <f>F89+F95+F101</f>
        <v>135598.15</v>
      </c>
      <c r="G105" s="167">
        <f>G106+G107</f>
        <v>13559.815000000002</v>
      </c>
    </row>
    <row r="106" spans="4:14" ht="14.4" customHeight="1" x14ac:dyDescent="0.3">
      <c r="D106" s="165" t="s">
        <v>536</v>
      </c>
      <c r="E106" s="166">
        <f>E87+E92+E98+E94+E100</f>
        <v>554799.6</v>
      </c>
      <c r="F106" s="166">
        <f>F87+F92+F98+F94+F100</f>
        <v>64975.180000000008</v>
      </c>
      <c r="G106" s="167">
        <f>IF(F107&gt;26500,(F106*0.1),0)</f>
        <v>6497.5180000000009</v>
      </c>
    </row>
    <row r="107" spans="4:14" ht="14.4" customHeight="1" x14ac:dyDescent="0.3">
      <c r="D107" s="165" t="s">
        <v>537</v>
      </c>
      <c r="E107" s="166">
        <f>E88+E93+E99</f>
        <v>70622.97</v>
      </c>
      <c r="F107" s="166">
        <f>F88+F93+F99</f>
        <v>70622.97</v>
      </c>
      <c r="G107" s="167">
        <f>IF(F107&gt;26500,(F107*0.1),0)</f>
        <v>7062.2970000000005</v>
      </c>
    </row>
    <row r="108" spans="4:14" ht="14.4" customHeight="1" thickBot="1" x14ac:dyDescent="0.35"/>
    <row r="109" spans="4:14" ht="15.6" customHeight="1" x14ac:dyDescent="0.3">
      <c r="D109" s="408" t="s">
        <v>538</v>
      </c>
      <c r="E109" s="409"/>
      <c r="F109" s="410"/>
    </row>
    <row r="110" spans="4:14" ht="15.6" customHeight="1" x14ac:dyDescent="0.3">
      <c r="D110" s="168" t="s">
        <v>2</v>
      </c>
      <c r="E110" s="406" t="s">
        <v>539</v>
      </c>
      <c r="F110" s="400"/>
    </row>
    <row r="111" spans="4:14" ht="15.6" customHeight="1" x14ac:dyDescent="0.3">
      <c r="D111" s="169" t="s">
        <v>540</v>
      </c>
      <c r="E111" s="399">
        <f>M89</f>
        <v>4404.8160753828961</v>
      </c>
      <c r="F111" s="400"/>
    </row>
    <row r="112" spans="4:14" ht="15.6" customHeight="1" x14ac:dyDescent="0.3">
      <c r="D112" s="169" t="s">
        <v>541</v>
      </c>
      <c r="E112" s="399">
        <f>M95</f>
        <v>252.24243775806644</v>
      </c>
      <c r="F112" s="400"/>
    </row>
    <row r="113" spans="4:10" ht="16.2" customHeight="1" thickBot="1" x14ac:dyDescent="0.35">
      <c r="D113" s="170" t="s">
        <v>22</v>
      </c>
      <c r="E113" s="412">
        <f>N102</f>
        <v>27673.744486859039</v>
      </c>
      <c r="F113" s="413"/>
    </row>
    <row r="114" spans="4:10" ht="15" customHeight="1" thickBot="1" x14ac:dyDescent="0.35"/>
    <row r="115" spans="4:10" ht="15.6" customHeight="1" x14ac:dyDescent="0.3">
      <c r="D115" s="171" t="s">
        <v>542</v>
      </c>
      <c r="E115" s="172"/>
      <c r="F115" s="173"/>
    </row>
    <row r="116" spans="4:10" ht="18" customHeight="1" x14ac:dyDescent="0.35">
      <c r="D116" s="174" t="s">
        <v>543</v>
      </c>
      <c r="E116" s="175"/>
      <c r="F116" s="176">
        <f>E106</f>
        <v>554799.6</v>
      </c>
    </row>
    <row r="117" spans="4:10" ht="18" customHeight="1" x14ac:dyDescent="0.35">
      <c r="D117" s="174" t="s">
        <v>544</v>
      </c>
      <c r="E117" s="175"/>
      <c r="F117" s="177">
        <f>F106/F116</f>
        <v>0.11711468429321148</v>
      </c>
      <c r="J117" s="255"/>
    </row>
    <row r="118" spans="4:10" ht="15.6" customHeight="1" x14ac:dyDescent="0.3">
      <c r="D118" s="174"/>
      <c r="E118" s="175"/>
      <c r="F118" s="178"/>
    </row>
    <row r="119" spans="4:10" ht="15.6" customHeight="1" x14ac:dyDescent="0.3">
      <c r="D119" s="179" t="s">
        <v>160</v>
      </c>
      <c r="E119" s="175"/>
      <c r="F119" s="178"/>
    </row>
    <row r="120" spans="4:10" ht="18" customHeight="1" x14ac:dyDescent="0.35">
      <c r="D120" s="174" t="s">
        <v>545</v>
      </c>
      <c r="E120" s="175"/>
      <c r="F120" s="176">
        <f>E107</f>
        <v>70622.97</v>
      </c>
    </row>
    <row r="121" spans="4:10" ht="18.600000000000001" customHeight="1" thickBot="1" x14ac:dyDescent="0.4">
      <c r="D121" s="180" t="s">
        <v>544</v>
      </c>
      <c r="E121" s="181"/>
      <c r="F121" s="182">
        <f>(F107+N99)/F120</f>
        <v>1.0549358091283898</v>
      </c>
    </row>
  </sheetData>
  <mergeCells count="16">
    <mergeCell ref="E113:F113"/>
    <mergeCell ref="I92:I94"/>
    <mergeCell ref="J92:J94"/>
    <mergeCell ref="I87:I88"/>
    <mergeCell ref="I98:I101"/>
    <mergeCell ref="K67:N67"/>
    <mergeCell ref="E111:F111"/>
    <mergeCell ref="E112:F112"/>
    <mergeCell ref="J87:J88"/>
    <mergeCell ref="C84:J84"/>
    <mergeCell ref="C67:F67"/>
    <mergeCell ref="G67:J67"/>
    <mergeCell ref="E110:F110"/>
    <mergeCell ref="C75:J75"/>
    <mergeCell ref="D109:F109"/>
    <mergeCell ref="J98:J101"/>
  </mergeCells>
  <conditionalFormatting sqref="I87:J87">
    <cfRule type="containsText" dxfId="11" priority="5" operator="containsText" text="CUMPRIU">
      <formula>NOT(ISERROR(SEARCH("CUMPRIU",I87)))</formula>
    </cfRule>
    <cfRule type="containsText" dxfId="10" priority="6" operator="containsText" text="NÃO">
      <formula>NOT(ISERROR(SEARCH("NÃO",I87)))</formula>
    </cfRule>
  </conditionalFormatting>
  <conditionalFormatting sqref="I92:J92">
    <cfRule type="containsText" dxfId="9" priority="3" operator="containsText" text="CUMPRIU">
      <formula>NOT(ISERROR(SEARCH("CUMPRIU",I92)))</formula>
    </cfRule>
    <cfRule type="containsText" dxfId="8" priority="4" operator="containsText" text="NÃO">
      <formula>NOT(ISERROR(SEARCH("NÃO",I92)))</formula>
    </cfRule>
  </conditionalFormatting>
  <conditionalFormatting sqref="I98:J98">
    <cfRule type="containsText" dxfId="7" priority="1" operator="containsText" text="CUMPRIU">
      <formula>NOT(ISERROR(SEARCH("CUMPRIU",I98)))</formula>
    </cfRule>
    <cfRule type="containsText" dxfId="6" priority="2" operator="containsText" text="NÃO">
      <formula>NOT(ISERROR(SEARCH("NÃO",I98)))</formula>
    </cfRule>
  </conditionalFormatting>
  <pageMargins left="0.511811024" right="0.511811024" top="0.78740157499999996" bottom="0.78740157499999996" header="0.31496062000000002" footer="0.31496062000000002"/>
  <pageSetup paperSize="9" scale="28"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98"/>
  <sheetViews>
    <sheetView showGridLines="0" workbookViewId="0">
      <selection activeCell="D58" sqref="D58"/>
    </sheetView>
  </sheetViews>
  <sheetFormatPr defaultRowHeight="14.4" x14ac:dyDescent="0.3"/>
  <cols>
    <col min="1" max="1" width="10.109375" bestFit="1" customWidth="1"/>
    <col min="2" max="2" width="20.109375" bestFit="1" customWidth="1"/>
    <col min="3" max="3" width="15.33203125" bestFit="1" customWidth="1"/>
    <col min="4" max="4" width="34.33203125" bestFit="1" customWidth="1"/>
    <col min="5" max="5" width="18.5546875" bestFit="1" customWidth="1"/>
    <col min="6" max="6" width="23.33203125" bestFit="1" customWidth="1"/>
    <col min="7" max="7" width="10.5546875" bestFit="1" customWidth="1"/>
    <col min="8" max="8" width="13.6640625" bestFit="1" customWidth="1"/>
    <col min="9" max="9" width="11.88671875" bestFit="1" customWidth="1"/>
    <col min="10" max="10" width="14.5546875" bestFit="1" customWidth="1"/>
    <col min="11" max="11" width="23.109375" bestFit="1" customWidth="1"/>
    <col min="12" max="12" width="9.88671875" bestFit="1" customWidth="1"/>
    <col min="13" max="13" width="20.88671875" bestFit="1" customWidth="1"/>
    <col min="14" max="14" width="21.5546875" bestFit="1" customWidth="1"/>
    <col min="15" max="15" width="12.5546875" bestFit="1" customWidth="1"/>
    <col min="16" max="16" width="23.6640625" bestFit="1" customWidth="1"/>
    <col min="17" max="17" width="8.6640625" bestFit="1" customWidth="1"/>
    <col min="18" max="18" width="12.109375" bestFit="1" customWidth="1"/>
    <col min="19" max="19" width="12.33203125" bestFit="1" customWidth="1"/>
    <col min="20" max="20" width="20.88671875" bestFit="1" customWidth="1"/>
  </cols>
  <sheetData>
    <row r="1" spans="1:20" s="153" customFormat="1" ht="13.95" customHeight="1" x14ac:dyDescent="0.3">
      <c r="A1" s="91" t="s">
        <v>0</v>
      </c>
      <c r="B1" s="92" t="s">
        <v>1</v>
      </c>
      <c r="C1" s="92" t="s">
        <v>2</v>
      </c>
      <c r="D1" s="92" t="s">
        <v>3</v>
      </c>
      <c r="E1" s="92" t="s">
        <v>4</v>
      </c>
      <c r="F1" s="92" t="s">
        <v>5</v>
      </c>
      <c r="G1" s="92" t="s">
        <v>6</v>
      </c>
      <c r="H1" s="92" t="s">
        <v>7</v>
      </c>
      <c r="I1" s="92" t="s">
        <v>8</v>
      </c>
      <c r="J1" s="92" t="s">
        <v>10</v>
      </c>
      <c r="K1" s="93" t="s">
        <v>11</v>
      </c>
      <c r="L1" s="92" t="s">
        <v>12</v>
      </c>
      <c r="M1" s="93" t="s">
        <v>13</v>
      </c>
      <c r="N1" s="93" t="s">
        <v>14</v>
      </c>
      <c r="O1" s="92" t="s">
        <v>15</v>
      </c>
      <c r="P1" s="93" t="s">
        <v>16</v>
      </c>
      <c r="Q1" s="92" t="s">
        <v>17</v>
      </c>
      <c r="R1" s="92" t="s">
        <v>18</v>
      </c>
      <c r="S1" s="92" t="s">
        <v>20</v>
      </c>
      <c r="T1" s="94" t="s">
        <v>21</v>
      </c>
    </row>
    <row r="2" spans="1:20" s="111" customFormat="1" ht="13.95" customHeight="1" x14ac:dyDescent="0.3">
      <c r="A2" s="95">
        <v>46027</v>
      </c>
      <c r="B2" s="96">
        <v>133837</v>
      </c>
      <c r="C2" s="96" t="s">
        <v>22</v>
      </c>
      <c r="D2" s="96" t="s">
        <v>23</v>
      </c>
      <c r="E2" s="96" t="s">
        <v>24</v>
      </c>
      <c r="F2" s="96" t="s">
        <v>25</v>
      </c>
      <c r="G2" s="97">
        <v>180</v>
      </c>
      <c r="H2" s="98">
        <v>117</v>
      </c>
      <c r="I2" s="99">
        <v>17837.099999999999</v>
      </c>
      <c r="J2" s="100">
        <v>7.0000000000000007E-2</v>
      </c>
      <c r="K2" s="100">
        <v>0</v>
      </c>
      <c r="L2" s="99" t="s">
        <v>26</v>
      </c>
      <c r="M2" s="99">
        <v>1248.597</v>
      </c>
      <c r="N2" s="99">
        <v>0</v>
      </c>
      <c r="O2" s="96" t="s">
        <v>27</v>
      </c>
      <c r="P2" s="96" t="s">
        <v>27</v>
      </c>
      <c r="Q2" s="96"/>
      <c r="R2" s="96">
        <v>12</v>
      </c>
      <c r="S2" s="96" t="s">
        <v>28</v>
      </c>
      <c r="T2" s="101" t="s">
        <v>22</v>
      </c>
    </row>
    <row r="3" spans="1:20" s="111" customFormat="1" ht="13.95" customHeight="1" x14ac:dyDescent="0.3">
      <c r="A3" s="102">
        <v>46027</v>
      </c>
      <c r="B3" s="103">
        <v>133837</v>
      </c>
      <c r="C3" s="103" t="s">
        <v>22</v>
      </c>
      <c r="D3" s="103" t="s">
        <v>23</v>
      </c>
      <c r="E3" s="103" t="s">
        <v>29</v>
      </c>
      <c r="F3" s="103" t="s">
        <v>30</v>
      </c>
      <c r="G3" s="104">
        <v>3</v>
      </c>
      <c r="H3" s="105">
        <v>280</v>
      </c>
      <c r="I3" s="106">
        <v>840</v>
      </c>
      <c r="J3" s="107">
        <v>1</v>
      </c>
      <c r="K3" s="107">
        <v>0</v>
      </c>
      <c r="L3" s="106" t="s">
        <v>26</v>
      </c>
      <c r="M3" s="106">
        <v>840</v>
      </c>
      <c r="N3" s="106">
        <v>0</v>
      </c>
      <c r="O3" s="103" t="s">
        <v>27</v>
      </c>
      <c r="P3" s="103" t="s">
        <v>27</v>
      </c>
      <c r="Q3" s="103"/>
      <c r="R3" s="103">
        <v>1</v>
      </c>
      <c r="S3" s="103" t="s">
        <v>28</v>
      </c>
      <c r="T3" s="108" t="s">
        <v>22</v>
      </c>
    </row>
    <row r="4" spans="1:20" s="111" customFormat="1" ht="13.95" customHeight="1" x14ac:dyDescent="0.3">
      <c r="A4" s="95">
        <v>46027</v>
      </c>
      <c r="B4" s="96">
        <v>135649</v>
      </c>
      <c r="C4" s="96" t="s">
        <v>31</v>
      </c>
      <c r="D4" s="96" t="s">
        <v>32</v>
      </c>
      <c r="E4" s="96" t="s">
        <v>24</v>
      </c>
      <c r="F4" s="103" t="s">
        <v>25</v>
      </c>
      <c r="G4" s="97">
        <v>60</v>
      </c>
      <c r="H4" s="98">
        <v>133.33000000000001</v>
      </c>
      <c r="I4" s="106">
        <v>7999.8000000000011</v>
      </c>
      <c r="J4" s="107">
        <v>6.6699999999999995E-2</v>
      </c>
      <c r="K4" s="100">
        <v>1.6674999999999999E-2</v>
      </c>
      <c r="L4" s="99" t="s">
        <v>26</v>
      </c>
      <c r="M4" s="106">
        <v>533.58666000000005</v>
      </c>
      <c r="N4" s="99">
        <v>133.39666500000001</v>
      </c>
      <c r="O4" s="96" t="s">
        <v>27</v>
      </c>
      <c r="P4" s="96" t="s">
        <v>27</v>
      </c>
      <c r="Q4" s="96"/>
      <c r="R4" s="96">
        <v>3</v>
      </c>
      <c r="S4" s="96" t="s">
        <v>28</v>
      </c>
      <c r="T4" s="101" t="s">
        <v>31</v>
      </c>
    </row>
    <row r="5" spans="1:20" s="111" customFormat="1" ht="13.95" customHeight="1" x14ac:dyDescent="0.3">
      <c r="A5" s="95">
        <v>46027</v>
      </c>
      <c r="B5" s="96">
        <v>135649</v>
      </c>
      <c r="C5" s="96" t="s">
        <v>31</v>
      </c>
      <c r="D5" s="96" t="s">
        <v>32</v>
      </c>
      <c r="E5" s="96" t="s">
        <v>33</v>
      </c>
      <c r="F5" s="103" t="s">
        <v>30</v>
      </c>
      <c r="G5" s="97">
        <v>78</v>
      </c>
      <c r="H5" s="98">
        <v>12.65</v>
      </c>
      <c r="I5" s="106">
        <v>986.7</v>
      </c>
      <c r="J5" s="107">
        <v>1</v>
      </c>
      <c r="K5" s="100">
        <v>0.25</v>
      </c>
      <c r="L5" s="99" t="s">
        <v>26</v>
      </c>
      <c r="M5" s="106">
        <v>986.7</v>
      </c>
      <c r="N5" s="99">
        <v>246.67500000000001</v>
      </c>
      <c r="O5" s="96" t="s">
        <v>27</v>
      </c>
      <c r="P5" s="96" t="s">
        <v>27</v>
      </c>
      <c r="Q5" s="96"/>
      <c r="R5" s="96">
        <v>1</v>
      </c>
      <c r="S5" s="96" t="s">
        <v>28</v>
      </c>
      <c r="T5" s="101" t="s">
        <v>31</v>
      </c>
    </row>
    <row r="6" spans="1:20" s="111" customFormat="1" ht="13.95" customHeight="1" x14ac:dyDescent="0.3">
      <c r="A6" s="95">
        <v>46034</v>
      </c>
      <c r="B6" s="96">
        <v>134739</v>
      </c>
      <c r="C6" s="96" t="s">
        <v>31</v>
      </c>
      <c r="D6" s="96" t="s">
        <v>34</v>
      </c>
      <c r="E6" s="96" t="s">
        <v>35</v>
      </c>
      <c r="F6" s="96" t="s">
        <v>35</v>
      </c>
      <c r="G6" s="97">
        <v>6</v>
      </c>
      <c r="H6" s="98">
        <v>158.40100000000001</v>
      </c>
      <c r="I6" s="106">
        <v>950.40600000000006</v>
      </c>
      <c r="J6" s="107">
        <v>7.0000000000000001E-3</v>
      </c>
      <c r="K6" s="100">
        <v>1.75E-3</v>
      </c>
      <c r="L6" s="99" t="s">
        <v>26</v>
      </c>
      <c r="M6" s="106">
        <v>6.6528420000000006</v>
      </c>
      <c r="N6" s="99">
        <v>1.6632104999999999</v>
      </c>
      <c r="O6" s="96" t="s">
        <v>36</v>
      </c>
      <c r="P6" s="96" t="s">
        <v>37</v>
      </c>
      <c r="Q6" s="96"/>
      <c r="R6" s="96">
        <v>1</v>
      </c>
      <c r="S6" s="96" t="s">
        <v>38</v>
      </c>
      <c r="T6" s="101" t="s">
        <v>31</v>
      </c>
    </row>
    <row r="7" spans="1:20" s="111" customFormat="1" ht="13.95" customHeight="1" x14ac:dyDescent="0.3">
      <c r="A7" s="95">
        <v>46034</v>
      </c>
      <c r="B7" s="96">
        <v>136315</v>
      </c>
      <c r="C7" s="96" t="s">
        <v>22</v>
      </c>
      <c r="D7" s="96" t="s">
        <v>39</v>
      </c>
      <c r="E7" s="96" t="s">
        <v>40</v>
      </c>
      <c r="F7" s="96" t="s">
        <v>41</v>
      </c>
      <c r="G7" s="97">
        <v>1</v>
      </c>
      <c r="H7" s="98">
        <v>15053.87</v>
      </c>
      <c r="I7" s="106">
        <v>15053.87</v>
      </c>
      <c r="J7" s="107">
        <v>7.0000000000000007E-2</v>
      </c>
      <c r="K7" s="100">
        <v>0</v>
      </c>
      <c r="L7" s="99" t="s">
        <v>26</v>
      </c>
      <c r="M7" s="106">
        <v>1053.7709</v>
      </c>
      <c r="N7" s="99">
        <v>0</v>
      </c>
      <c r="O7" s="96" t="s">
        <v>27</v>
      </c>
      <c r="P7" s="96" t="s">
        <v>27</v>
      </c>
      <c r="Q7" s="96"/>
      <c r="R7" s="96">
        <v>6</v>
      </c>
      <c r="S7" s="96" t="s">
        <v>28</v>
      </c>
      <c r="T7" s="101" t="s">
        <v>22</v>
      </c>
    </row>
    <row r="8" spans="1:20" s="111" customFormat="1" ht="13.95" customHeight="1" x14ac:dyDescent="0.3">
      <c r="A8" s="95">
        <v>46034</v>
      </c>
      <c r="B8" s="96">
        <v>136315</v>
      </c>
      <c r="C8" s="96" t="s">
        <v>22</v>
      </c>
      <c r="D8" s="96" t="s">
        <v>39</v>
      </c>
      <c r="E8" s="96" t="s">
        <v>42</v>
      </c>
      <c r="F8" s="96" t="s">
        <v>30</v>
      </c>
      <c r="G8" s="97">
        <v>1</v>
      </c>
      <c r="H8" s="98">
        <v>275.62</v>
      </c>
      <c r="I8" s="106">
        <v>275.62</v>
      </c>
      <c r="J8" s="107">
        <v>1</v>
      </c>
      <c r="K8" s="100">
        <v>0</v>
      </c>
      <c r="L8" s="99" t="s">
        <v>26</v>
      </c>
      <c r="M8" s="106">
        <v>275.62</v>
      </c>
      <c r="N8" s="99">
        <v>0</v>
      </c>
      <c r="O8" s="96" t="s">
        <v>27</v>
      </c>
      <c r="P8" s="96" t="s">
        <v>27</v>
      </c>
      <c r="Q8" s="96"/>
      <c r="R8" s="96">
        <v>1</v>
      </c>
      <c r="S8" s="96" t="s">
        <v>28</v>
      </c>
      <c r="T8" s="101" t="s">
        <v>22</v>
      </c>
    </row>
    <row r="9" spans="1:20" s="111" customFormat="1" ht="13.95" customHeight="1" x14ac:dyDescent="0.3">
      <c r="A9" s="95">
        <v>46043</v>
      </c>
      <c r="B9" s="96">
        <v>132374</v>
      </c>
      <c r="C9" s="96" t="s">
        <v>31</v>
      </c>
      <c r="D9" s="96" t="s">
        <v>43</v>
      </c>
      <c r="E9" s="96" t="s">
        <v>24</v>
      </c>
      <c r="F9" s="96" t="s">
        <v>25</v>
      </c>
      <c r="G9" s="97">
        <v>94</v>
      </c>
      <c r="H9" s="98">
        <v>178.5</v>
      </c>
      <c r="I9" s="106">
        <v>16779</v>
      </c>
      <c r="J9" s="107">
        <v>6.6699999999999995E-2</v>
      </c>
      <c r="K9" s="100">
        <v>1.6674999999999999E-2</v>
      </c>
      <c r="L9" s="99" t="s">
        <v>26</v>
      </c>
      <c r="M9" s="106">
        <v>1119.1593</v>
      </c>
      <c r="N9" s="99">
        <v>279.78982500000001</v>
      </c>
      <c r="O9" s="96" t="s">
        <v>36</v>
      </c>
      <c r="P9" s="96" t="s">
        <v>37</v>
      </c>
      <c r="Q9" s="96"/>
      <c r="R9" s="96">
        <v>10</v>
      </c>
      <c r="S9" s="96" t="s">
        <v>28</v>
      </c>
      <c r="T9" s="101" t="s">
        <v>31</v>
      </c>
    </row>
    <row r="10" spans="1:20" s="111" customFormat="1" ht="13.95" customHeight="1" x14ac:dyDescent="0.3">
      <c r="A10" s="95">
        <v>46043</v>
      </c>
      <c r="B10" s="96">
        <v>132678</v>
      </c>
      <c r="C10" s="96" t="s">
        <v>44</v>
      </c>
      <c r="D10" s="96" t="s">
        <v>45</v>
      </c>
      <c r="E10" s="96" t="s">
        <v>24</v>
      </c>
      <c r="F10" s="96" t="s">
        <v>25</v>
      </c>
      <c r="G10" s="97">
        <v>270</v>
      </c>
      <c r="H10" s="98">
        <v>190</v>
      </c>
      <c r="I10" s="99">
        <v>51300</v>
      </c>
      <c r="J10" s="100">
        <v>7.0000000000000007E-2</v>
      </c>
      <c r="K10" s="100">
        <v>1.7500000000000002E-2</v>
      </c>
      <c r="L10" s="99" t="s">
        <v>46</v>
      </c>
      <c r="M10" s="99">
        <v>3591</v>
      </c>
      <c r="N10" s="99">
        <v>897.75000000000011</v>
      </c>
      <c r="O10" s="96" t="s">
        <v>27</v>
      </c>
      <c r="P10" s="96" t="s">
        <v>27</v>
      </c>
      <c r="Q10" s="96"/>
      <c r="R10" s="96">
        <v>10</v>
      </c>
      <c r="S10" s="96" t="s">
        <v>28</v>
      </c>
      <c r="T10" s="101" t="s">
        <v>44</v>
      </c>
    </row>
    <row r="11" spans="1:20" s="111" customFormat="1" ht="13.95" customHeight="1" x14ac:dyDescent="0.3">
      <c r="A11" s="95">
        <v>46043</v>
      </c>
      <c r="B11" s="96">
        <v>132678</v>
      </c>
      <c r="C11" s="96" t="s">
        <v>44</v>
      </c>
      <c r="D11" s="96" t="s">
        <v>45</v>
      </c>
      <c r="E11" s="96" t="s">
        <v>47</v>
      </c>
      <c r="F11" s="96" t="s">
        <v>30</v>
      </c>
      <c r="G11" s="97">
        <v>5</v>
      </c>
      <c r="H11" s="98">
        <v>275.62</v>
      </c>
      <c r="I11" s="99">
        <v>1378.1</v>
      </c>
      <c r="J11" s="100">
        <v>1</v>
      </c>
      <c r="K11" s="100">
        <v>0.25</v>
      </c>
      <c r="L11" s="99" t="s">
        <v>46</v>
      </c>
      <c r="M11" s="99">
        <v>1378.1</v>
      </c>
      <c r="N11" s="99">
        <v>344.52499999999998</v>
      </c>
      <c r="O11" s="96" t="s">
        <v>27</v>
      </c>
      <c r="P11" s="96" t="s">
        <v>27</v>
      </c>
      <c r="Q11" s="96"/>
      <c r="R11" s="96">
        <v>1</v>
      </c>
      <c r="S11" s="96" t="s">
        <v>28</v>
      </c>
      <c r="T11" s="101" t="s">
        <v>44</v>
      </c>
    </row>
    <row r="12" spans="1:20" s="111" customFormat="1" ht="13.95" customHeight="1" x14ac:dyDescent="0.3">
      <c r="A12" s="95">
        <v>46043</v>
      </c>
      <c r="B12" s="96">
        <v>132678</v>
      </c>
      <c r="C12" s="96" t="s">
        <v>44</v>
      </c>
      <c r="D12" s="96" t="s">
        <v>45</v>
      </c>
      <c r="E12" s="96" t="s">
        <v>48</v>
      </c>
      <c r="F12" s="96" t="s">
        <v>30</v>
      </c>
      <c r="G12" s="97">
        <v>1</v>
      </c>
      <c r="H12" s="98">
        <v>356.4</v>
      </c>
      <c r="I12" s="99">
        <v>356.4</v>
      </c>
      <c r="J12" s="100">
        <v>1</v>
      </c>
      <c r="K12" s="100">
        <v>0.25</v>
      </c>
      <c r="L12" s="99" t="s">
        <v>46</v>
      </c>
      <c r="M12" s="99">
        <v>356.4</v>
      </c>
      <c r="N12" s="99">
        <v>89.1</v>
      </c>
      <c r="O12" s="96" t="s">
        <v>27</v>
      </c>
      <c r="P12" s="96" t="s">
        <v>27</v>
      </c>
      <c r="Q12" s="96"/>
      <c r="R12" s="96">
        <v>1</v>
      </c>
      <c r="S12" s="96" t="s">
        <v>28</v>
      </c>
      <c r="T12" s="101" t="s">
        <v>44</v>
      </c>
    </row>
    <row r="13" spans="1:20" s="111" customFormat="1" ht="13.95" customHeight="1" x14ac:dyDescent="0.3">
      <c r="A13" s="95">
        <v>46043</v>
      </c>
      <c r="B13" s="96">
        <v>136662</v>
      </c>
      <c r="C13" s="96" t="s">
        <v>31</v>
      </c>
      <c r="D13" s="96" t="s">
        <v>49</v>
      </c>
      <c r="E13" s="96" t="s">
        <v>24</v>
      </c>
      <c r="F13" s="96" t="s">
        <v>25</v>
      </c>
      <c r="G13" s="97">
        <v>10</v>
      </c>
      <c r="H13" s="98">
        <v>210</v>
      </c>
      <c r="I13" s="99">
        <v>2100</v>
      </c>
      <c r="J13" s="100">
        <v>7.0000000000000007E-2</v>
      </c>
      <c r="K13" s="100">
        <v>1.7500000000000002E-2</v>
      </c>
      <c r="L13" s="99" t="s">
        <v>26</v>
      </c>
      <c r="M13" s="99">
        <v>147</v>
      </c>
      <c r="N13" s="99">
        <v>36.75</v>
      </c>
      <c r="O13" s="96" t="s">
        <v>36</v>
      </c>
      <c r="P13" s="96" t="s">
        <v>37</v>
      </c>
      <c r="Q13" s="96"/>
      <c r="R13" s="96">
        <v>4</v>
      </c>
      <c r="S13" s="96" t="s">
        <v>38</v>
      </c>
      <c r="T13" s="101" t="s">
        <v>31</v>
      </c>
    </row>
    <row r="14" spans="1:20" s="111" customFormat="1" ht="13.95" customHeight="1" x14ac:dyDescent="0.3">
      <c r="A14" s="95">
        <v>46043</v>
      </c>
      <c r="B14" s="96" t="s">
        <v>50</v>
      </c>
      <c r="C14" s="96" t="s">
        <v>22</v>
      </c>
      <c r="D14" s="96" t="s">
        <v>51</v>
      </c>
      <c r="E14" s="96" t="s">
        <v>47</v>
      </c>
      <c r="F14" s="96" t="s">
        <v>25</v>
      </c>
      <c r="G14" s="97">
        <v>240</v>
      </c>
      <c r="H14" s="98">
        <v>200</v>
      </c>
      <c r="I14" s="99">
        <v>48000</v>
      </c>
      <c r="J14" s="100">
        <v>7.0000000000000007E-2</v>
      </c>
      <c r="K14" s="100">
        <v>0</v>
      </c>
      <c r="L14" s="99" t="s">
        <v>46</v>
      </c>
      <c r="M14" s="99">
        <v>3360</v>
      </c>
      <c r="N14" s="99">
        <v>0</v>
      </c>
      <c r="O14" s="96" t="s">
        <v>27</v>
      </c>
      <c r="P14" s="96" t="s">
        <v>27</v>
      </c>
      <c r="Q14" s="96"/>
      <c r="R14" s="96">
        <v>6</v>
      </c>
      <c r="S14" s="96" t="s">
        <v>28</v>
      </c>
      <c r="T14" s="101" t="s">
        <v>22</v>
      </c>
    </row>
    <row r="15" spans="1:20" s="111" customFormat="1" ht="13.95" customHeight="1" x14ac:dyDescent="0.3">
      <c r="A15" s="95">
        <v>46043</v>
      </c>
      <c r="B15" s="96" t="s">
        <v>50</v>
      </c>
      <c r="C15" s="96" t="s">
        <v>22</v>
      </c>
      <c r="D15" s="96" t="s">
        <v>51</v>
      </c>
      <c r="E15" s="96" t="s">
        <v>52</v>
      </c>
      <c r="F15" s="96" t="s">
        <v>41</v>
      </c>
      <c r="G15" s="97">
        <v>1</v>
      </c>
      <c r="H15" s="98">
        <v>8100</v>
      </c>
      <c r="I15" s="99">
        <v>8100</v>
      </c>
      <c r="J15" s="100">
        <v>7.0000000000000007E-2</v>
      </c>
      <c r="K15" s="100">
        <v>0</v>
      </c>
      <c r="L15" s="99" t="s">
        <v>46</v>
      </c>
      <c r="M15" s="99">
        <v>567</v>
      </c>
      <c r="N15" s="99">
        <v>0</v>
      </c>
      <c r="O15" s="96" t="s">
        <v>27</v>
      </c>
      <c r="P15" s="96" t="s">
        <v>27</v>
      </c>
      <c r="Q15" s="96"/>
      <c r="R15" s="96">
        <v>6</v>
      </c>
      <c r="S15" s="96" t="s">
        <v>28</v>
      </c>
      <c r="T15" s="101" t="s">
        <v>22</v>
      </c>
    </row>
    <row r="16" spans="1:20" s="111" customFormat="1" ht="13.95" customHeight="1" x14ac:dyDescent="0.3">
      <c r="A16" s="95">
        <v>46043</v>
      </c>
      <c r="B16" s="96" t="s">
        <v>50</v>
      </c>
      <c r="C16" s="96" t="s">
        <v>22</v>
      </c>
      <c r="D16" s="96" t="s">
        <v>51</v>
      </c>
      <c r="E16" s="96" t="s">
        <v>53</v>
      </c>
      <c r="F16" s="96" t="s">
        <v>41</v>
      </c>
      <c r="G16" s="97">
        <v>1</v>
      </c>
      <c r="H16" s="98">
        <v>1600</v>
      </c>
      <c r="I16" s="99">
        <v>1600</v>
      </c>
      <c r="J16" s="100">
        <v>7.0000000000000007E-2</v>
      </c>
      <c r="K16" s="100">
        <v>0</v>
      </c>
      <c r="L16" s="99" t="s">
        <v>46</v>
      </c>
      <c r="M16" s="99">
        <v>112</v>
      </c>
      <c r="N16" s="99">
        <v>0</v>
      </c>
      <c r="O16" s="96" t="s">
        <v>27</v>
      </c>
      <c r="P16" s="96" t="s">
        <v>27</v>
      </c>
      <c r="Q16" s="96"/>
      <c r="R16" s="96">
        <v>6</v>
      </c>
      <c r="S16" s="96" t="s">
        <v>28</v>
      </c>
      <c r="T16" s="101" t="s">
        <v>22</v>
      </c>
    </row>
    <row r="17" spans="1:20" s="111" customFormat="1" ht="13.95" customHeight="1" x14ac:dyDescent="0.3">
      <c r="A17" s="95">
        <v>46043</v>
      </c>
      <c r="B17" s="96" t="s">
        <v>50</v>
      </c>
      <c r="C17" s="96" t="s">
        <v>22</v>
      </c>
      <c r="D17" s="96" t="s">
        <v>51</v>
      </c>
      <c r="E17" s="96" t="s">
        <v>47</v>
      </c>
      <c r="F17" s="96" t="s">
        <v>30</v>
      </c>
      <c r="G17" s="97">
        <v>8</v>
      </c>
      <c r="H17" s="98">
        <v>250</v>
      </c>
      <c r="I17" s="99">
        <v>2000</v>
      </c>
      <c r="J17" s="100">
        <v>1</v>
      </c>
      <c r="K17" s="100">
        <v>0</v>
      </c>
      <c r="L17" s="99" t="s">
        <v>46</v>
      </c>
      <c r="M17" s="99">
        <v>2000</v>
      </c>
      <c r="N17" s="99">
        <v>0</v>
      </c>
      <c r="O17" s="96" t="s">
        <v>27</v>
      </c>
      <c r="P17" s="96" t="s">
        <v>27</v>
      </c>
      <c r="Q17" s="96"/>
      <c r="R17" s="96">
        <v>1</v>
      </c>
      <c r="S17" s="96" t="s">
        <v>28</v>
      </c>
      <c r="T17" s="101" t="s">
        <v>22</v>
      </c>
    </row>
    <row r="18" spans="1:20" s="111" customFormat="1" ht="13.95" customHeight="1" x14ac:dyDescent="0.3">
      <c r="A18" s="95">
        <v>46043</v>
      </c>
      <c r="B18" s="96" t="s">
        <v>50</v>
      </c>
      <c r="C18" s="96" t="s">
        <v>22</v>
      </c>
      <c r="D18" s="96" t="s">
        <v>51</v>
      </c>
      <c r="E18" s="96" t="s">
        <v>54</v>
      </c>
      <c r="F18" s="96" t="s">
        <v>30</v>
      </c>
      <c r="G18" s="97">
        <v>4</v>
      </c>
      <c r="H18" s="98">
        <v>100</v>
      </c>
      <c r="I18" s="99">
        <v>400</v>
      </c>
      <c r="J18" s="100">
        <v>1</v>
      </c>
      <c r="K18" s="100">
        <v>0</v>
      </c>
      <c r="L18" s="99" t="s">
        <v>46</v>
      </c>
      <c r="M18" s="99">
        <v>400</v>
      </c>
      <c r="N18" s="99">
        <v>0</v>
      </c>
      <c r="O18" s="96" t="s">
        <v>27</v>
      </c>
      <c r="P18" s="96" t="s">
        <v>27</v>
      </c>
      <c r="Q18" s="96"/>
      <c r="R18" s="96">
        <v>1</v>
      </c>
      <c r="S18" s="96" t="s">
        <v>28</v>
      </c>
      <c r="T18" s="101" t="s">
        <v>22</v>
      </c>
    </row>
    <row r="19" spans="1:20" s="111" customFormat="1" ht="13.95" customHeight="1" x14ac:dyDescent="0.3">
      <c r="A19" s="95">
        <v>46043</v>
      </c>
      <c r="B19" s="96" t="s">
        <v>50</v>
      </c>
      <c r="C19" s="96" t="s">
        <v>22</v>
      </c>
      <c r="D19" s="96" t="s">
        <v>51</v>
      </c>
      <c r="E19" s="96" t="s">
        <v>52</v>
      </c>
      <c r="F19" s="96" t="s">
        <v>30</v>
      </c>
      <c r="G19" s="97">
        <v>1</v>
      </c>
      <c r="H19" s="98">
        <v>1080</v>
      </c>
      <c r="I19" s="99">
        <v>1080</v>
      </c>
      <c r="J19" s="100">
        <v>1</v>
      </c>
      <c r="K19" s="100">
        <v>0</v>
      </c>
      <c r="L19" s="99" t="s">
        <v>46</v>
      </c>
      <c r="M19" s="99">
        <v>1080</v>
      </c>
      <c r="N19" s="99">
        <v>0</v>
      </c>
      <c r="O19" s="96" t="s">
        <v>27</v>
      </c>
      <c r="P19" s="96" t="s">
        <v>27</v>
      </c>
      <c r="Q19" s="96"/>
      <c r="R19" s="96">
        <v>1</v>
      </c>
      <c r="S19" s="96" t="s">
        <v>28</v>
      </c>
      <c r="T19" s="101" t="s">
        <v>22</v>
      </c>
    </row>
    <row r="20" spans="1:20" s="111" customFormat="1" ht="13.95" customHeight="1" x14ac:dyDescent="0.3">
      <c r="A20" s="95">
        <v>46043</v>
      </c>
      <c r="B20" s="96" t="s">
        <v>50</v>
      </c>
      <c r="C20" s="96" t="s">
        <v>22</v>
      </c>
      <c r="D20" s="96" t="s">
        <v>51</v>
      </c>
      <c r="E20" s="96" t="s">
        <v>55</v>
      </c>
      <c r="F20" s="96" t="s">
        <v>30</v>
      </c>
      <c r="G20" s="97">
        <v>30</v>
      </c>
      <c r="H20" s="98">
        <v>90</v>
      </c>
      <c r="I20" s="99">
        <v>2700</v>
      </c>
      <c r="J20" s="100">
        <v>1</v>
      </c>
      <c r="K20" s="100">
        <v>0</v>
      </c>
      <c r="L20" s="99" t="s">
        <v>46</v>
      </c>
      <c r="M20" s="99">
        <v>2700</v>
      </c>
      <c r="N20" s="99">
        <v>0</v>
      </c>
      <c r="O20" s="96" t="s">
        <v>27</v>
      </c>
      <c r="P20" s="96" t="s">
        <v>27</v>
      </c>
      <c r="Q20" s="96"/>
      <c r="R20" s="96">
        <v>1</v>
      </c>
      <c r="S20" s="96" t="s">
        <v>28</v>
      </c>
      <c r="T20" s="101" t="s">
        <v>22</v>
      </c>
    </row>
    <row r="21" spans="1:20" s="111" customFormat="1" ht="13.95" customHeight="1" x14ac:dyDescent="0.3">
      <c r="A21" s="95">
        <v>46043</v>
      </c>
      <c r="B21" s="96" t="s">
        <v>50</v>
      </c>
      <c r="C21" s="96" t="s">
        <v>22</v>
      </c>
      <c r="D21" s="96" t="s">
        <v>51</v>
      </c>
      <c r="E21" s="96" t="s">
        <v>48</v>
      </c>
      <c r="F21" s="96" t="s">
        <v>30</v>
      </c>
      <c r="G21" s="97">
        <v>1</v>
      </c>
      <c r="H21" s="98">
        <v>356.4</v>
      </c>
      <c r="I21" s="99">
        <v>356.4</v>
      </c>
      <c r="J21" s="100">
        <v>1</v>
      </c>
      <c r="K21" s="100">
        <v>0</v>
      </c>
      <c r="L21" s="99" t="s">
        <v>46</v>
      </c>
      <c r="M21" s="99">
        <v>356.4</v>
      </c>
      <c r="N21" s="99">
        <v>0</v>
      </c>
      <c r="O21" s="96" t="s">
        <v>27</v>
      </c>
      <c r="P21" s="96" t="s">
        <v>27</v>
      </c>
      <c r="Q21" s="96"/>
      <c r="R21" s="96">
        <v>1</v>
      </c>
      <c r="S21" s="96" t="s">
        <v>28</v>
      </c>
      <c r="T21" s="101" t="s">
        <v>22</v>
      </c>
    </row>
    <row r="22" spans="1:20" s="111" customFormat="1" ht="13.95" customHeight="1" x14ac:dyDescent="0.3">
      <c r="A22" s="95">
        <v>46043</v>
      </c>
      <c r="B22" s="96" t="s">
        <v>50</v>
      </c>
      <c r="C22" s="96" t="s">
        <v>22</v>
      </c>
      <c r="D22" s="96" t="s">
        <v>51</v>
      </c>
      <c r="E22" s="96" t="s">
        <v>56</v>
      </c>
      <c r="F22" s="96" t="s">
        <v>30</v>
      </c>
      <c r="G22" s="97">
        <v>1</v>
      </c>
      <c r="H22" s="98">
        <v>197</v>
      </c>
      <c r="I22" s="99">
        <v>197</v>
      </c>
      <c r="J22" s="100">
        <v>1</v>
      </c>
      <c r="K22" s="100">
        <v>0</v>
      </c>
      <c r="L22" s="99" t="s">
        <v>46</v>
      </c>
      <c r="M22" s="99">
        <v>197</v>
      </c>
      <c r="N22" s="99">
        <v>0</v>
      </c>
      <c r="O22" s="96" t="s">
        <v>27</v>
      </c>
      <c r="P22" s="96" t="s">
        <v>27</v>
      </c>
      <c r="Q22" s="96"/>
      <c r="R22" s="96">
        <v>1</v>
      </c>
      <c r="S22" s="96" t="s">
        <v>28</v>
      </c>
      <c r="T22" s="101" t="s">
        <v>22</v>
      </c>
    </row>
    <row r="23" spans="1:20" s="111" customFormat="1" ht="13.95" customHeight="1" x14ac:dyDescent="0.3">
      <c r="A23" s="95">
        <v>46043</v>
      </c>
      <c r="B23" s="96" t="s">
        <v>50</v>
      </c>
      <c r="C23" s="96" t="s">
        <v>22</v>
      </c>
      <c r="D23" s="96" t="s">
        <v>51</v>
      </c>
      <c r="E23" s="96" t="s">
        <v>53</v>
      </c>
      <c r="F23" s="96" t="s">
        <v>30</v>
      </c>
      <c r="G23" s="97">
        <v>1</v>
      </c>
      <c r="H23" s="98">
        <v>2524.7199999999998</v>
      </c>
      <c r="I23" s="99">
        <v>2524.7199999999998</v>
      </c>
      <c r="J23" s="100">
        <v>1</v>
      </c>
      <c r="K23" s="100">
        <v>0</v>
      </c>
      <c r="L23" s="99" t="s">
        <v>46</v>
      </c>
      <c r="M23" s="99">
        <v>2524.7199999999998</v>
      </c>
      <c r="N23" s="99">
        <v>0</v>
      </c>
      <c r="O23" s="96" t="s">
        <v>27</v>
      </c>
      <c r="P23" s="96" t="s">
        <v>27</v>
      </c>
      <c r="Q23" s="96"/>
      <c r="R23" s="96">
        <v>1</v>
      </c>
      <c r="S23" s="96" t="s">
        <v>28</v>
      </c>
      <c r="T23" s="101" t="s">
        <v>22</v>
      </c>
    </row>
    <row r="24" spans="1:20" s="111" customFormat="1" ht="13.95" customHeight="1" x14ac:dyDescent="0.3">
      <c r="A24" s="95">
        <v>46043</v>
      </c>
      <c r="B24" s="96">
        <v>114426</v>
      </c>
      <c r="C24" s="96" t="s">
        <v>31</v>
      </c>
      <c r="D24" s="96" t="s">
        <v>57</v>
      </c>
      <c r="E24" s="96" t="s">
        <v>24</v>
      </c>
      <c r="F24" s="96" t="s">
        <v>25</v>
      </c>
      <c r="G24" s="97">
        <v>11</v>
      </c>
      <c r="H24" s="98">
        <v>210</v>
      </c>
      <c r="I24" s="99">
        <v>2310</v>
      </c>
      <c r="J24" s="100">
        <v>7.0000000000000007E-2</v>
      </c>
      <c r="K24" s="100">
        <v>1.7500000000000002E-2</v>
      </c>
      <c r="L24" s="99" t="s">
        <v>26</v>
      </c>
      <c r="M24" s="99">
        <v>161.69999999999999</v>
      </c>
      <c r="N24" s="99">
        <v>40.424999999999997</v>
      </c>
      <c r="O24" s="96" t="s">
        <v>36</v>
      </c>
      <c r="P24" s="96" t="s">
        <v>37</v>
      </c>
      <c r="Q24" s="96"/>
      <c r="R24" s="96">
        <v>6</v>
      </c>
      <c r="S24" s="96" t="s">
        <v>38</v>
      </c>
      <c r="T24" s="101" t="s">
        <v>31</v>
      </c>
    </row>
    <row r="25" spans="1:20" s="111" customFormat="1" ht="13.95" customHeight="1" x14ac:dyDescent="0.3">
      <c r="A25" s="95">
        <v>46043</v>
      </c>
      <c r="B25" s="96">
        <v>136856</v>
      </c>
      <c r="C25" s="96" t="s">
        <v>31</v>
      </c>
      <c r="D25" s="96" t="s">
        <v>58</v>
      </c>
      <c r="E25" s="96" t="s">
        <v>59</v>
      </c>
      <c r="F25" s="96" t="s">
        <v>25</v>
      </c>
      <c r="G25" s="97">
        <v>16</v>
      </c>
      <c r="H25" s="98">
        <v>178.5</v>
      </c>
      <c r="I25" s="99">
        <v>2856</v>
      </c>
      <c r="J25" s="100">
        <v>6.6699999999999995E-2</v>
      </c>
      <c r="K25" s="100">
        <v>1.6674999999999999E-2</v>
      </c>
      <c r="L25" s="99" t="s">
        <v>26</v>
      </c>
      <c r="M25" s="99">
        <v>190.49520000000001</v>
      </c>
      <c r="N25" s="99">
        <v>47.623800000000003</v>
      </c>
      <c r="O25" s="96" t="s">
        <v>27</v>
      </c>
      <c r="P25" s="96" t="s">
        <v>27</v>
      </c>
      <c r="Q25" s="96"/>
      <c r="R25" s="96">
        <v>6</v>
      </c>
      <c r="S25" s="96" t="s">
        <v>28</v>
      </c>
      <c r="T25" s="101" t="s">
        <v>31</v>
      </c>
    </row>
    <row r="26" spans="1:20" s="111" customFormat="1" ht="13.95" customHeight="1" x14ac:dyDescent="0.3">
      <c r="A26" s="95">
        <v>46043</v>
      </c>
      <c r="B26" s="96">
        <v>136856</v>
      </c>
      <c r="C26" s="96" t="s">
        <v>31</v>
      </c>
      <c r="D26" s="96" t="s">
        <v>58</v>
      </c>
      <c r="E26" s="96" t="s">
        <v>59</v>
      </c>
      <c r="F26" s="96" t="s">
        <v>30</v>
      </c>
      <c r="G26" s="97">
        <v>1</v>
      </c>
      <c r="H26" s="98">
        <v>641.52</v>
      </c>
      <c r="I26" s="99">
        <v>641.52</v>
      </c>
      <c r="J26" s="100">
        <v>1</v>
      </c>
      <c r="K26" s="100">
        <v>0.25</v>
      </c>
      <c r="L26" s="99" t="s">
        <v>26</v>
      </c>
      <c r="M26" s="99">
        <v>641.52</v>
      </c>
      <c r="N26" s="99">
        <v>160.38</v>
      </c>
      <c r="O26" s="96" t="s">
        <v>27</v>
      </c>
      <c r="P26" s="96" t="s">
        <v>27</v>
      </c>
      <c r="Q26" s="96"/>
      <c r="R26" s="96">
        <v>1</v>
      </c>
      <c r="S26" s="96" t="s">
        <v>28</v>
      </c>
      <c r="T26" s="101" t="s">
        <v>31</v>
      </c>
    </row>
    <row r="27" spans="1:20" s="111" customFormat="1" ht="13.95" customHeight="1" x14ac:dyDescent="0.3">
      <c r="A27" s="95">
        <v>46044</v>
      </c>
      <c r="B27" s="96">
        <v>134776</v>
      </c>
      <c r="C27" s="96" t="s">
        <v>31</v>
      </c>
      <c r="D27" s="96" t="s">
        <v>60</v>
      </c>
      <c r="E27" s="96" t="s">
        <v>35</v>
      </c>
      <c r="F27" s="96" t="s">
        <v>35</v>
      </c>
      <c r="G27" s="97">
        <v>8</v>
      </c>
      <c r="H27" s="98">
        <v>176</v>
      </c>
      <c r="I27" s="99">
        <v>1408</v>
      </c>
      <c r="J27" s="100">
        <v>0.01</v>
      </c>
      <c r="K27" s="100">
        <v>2.5000000000000001E-3</v>
      </c>
      <c r="L27" s="99" t="s">
        <v>26</v>
      </c>
      <c r="M27" s="99">
        <v>14.08</v>
      </c>
      <c r="N27" s="99">
        <v>3.52</v>
      </c>
      <c r="O27" s="96" t="s">
        <v>36</v>
      </c>
      <c r="P27" s="96" t="s">
        <v>37</v>
      </c>
      <c r="Q27" s="96"/>
      <c r="R27" s="96">
        <v>3</v>
      </c>
      <c r="S27" s="96" t="s">
        <v>38</v>
      </c>
      <c r="T27" s="101" t="s">
        <v>31</v>
      </c>
    </row>
    <row r="28" spans="1:20" s="111" customFormat="1" ht="13.95" customHeight="1" x14ac:dyDescent="0.3">
      <c r="A28" s="95">
        <v>46044</v>
      </c>
      <c r="B28" s="96">
        <v>136981</v>
      </c>
      <c r="C28" s="96" t="s">
        <v>31</v>
      </c>
      <c r="D28" s="96" t="s">
        <v>34</v>
      </c>
      <c r="E28" s="96" t="s">
        <v>40</v>
      </c>
      <c r="F28" s="96" t="s">
        <v>41</v>
      </c>
      <c r="G28" s="97">
        <v>1</v>
      </c>
      <c r="H28" s="98">
        <v>2419.1799999999998</v>
      </c>
      <c r="I28" s="99">
        <v>2419.1799999999998</v>
      </c>
      <c r="J28" s="100">
        <v>6.6669999999999993E-2</v>
      </c>
      <c r="K28" s="100">
        <v>1.6667499999999998E-2</v>
      </c>
      <c r="L28" s="99" t="s">
        <v>26</v>
      </c>
      <c r="M28" s="99">
        <v>161.2867306</v>
      </c>
      <c r="N28" s="99">
        <v>40.321682649999993</v>
      </c>
      <c r="O28" s="96" t="s">
        <v>27</v>
      </c>
      <c r="P28" s="96" t="s">
        <v>27</v>
      </c>
      <c r="Q28" s="96"/>
      <c r="R28" s="96">
        <v>6</v>
      </c>
      <c r="S28" s="96" t="s">
        <v>28</v>
      </c>
      <c r="T28" s="101" t="s">
        <v>31</v>
      </c>
    </row>
    <row r="29" spans="1:20" s="111" customFormat="1" ht="13.95" customHeight="1" x14ac:dyDescent="0.3">
      <c r="A29" s="95">
        <v>46044</v>
      </c>
      <c r="B29" s="96">
        <v>136981</v>
      </c>
      <c r="C29" s="96" t="s">
        <v>31</v>
      </c>
      <c r="D29" s="96" t="s">
        <v>34</v>
      </c>
      <c r="E29" s="96" t="s">
        <v>40</v>
      </c>
      <c r="F29" s="96" t="s">
        <v>25</v>
      </c>
      <c r="G29" s="97">
        <v>16</v>
      </c>
      <c r="H29" s="98">
        <v>178.68</v>
      </c>
      <c r="I29" s="99">
        <v>2858.88</v>
      </c>
      <c r="J29" s="100">
        <v>6.6699999999999995E-2</v>
      </c>
      <c r="K29" s="100">
        <v>1.6674999999999999E-2</v>
      </c>
      <c r="L29" s="99" t="s">
        <v>26</v>
      </c>
      <c r="M29" s="99">
        <v>190.687296</v>
      </c>
      <c r="N29" s="99">
        <v>47.671824000000001</v>
      </c>
      <c r="O29" s="96" t="s">
        <v>27</v>
      </c>
      <c r="P29" s="96" t="s">
        <v>27</v>
      </c>
      <c r="Q29" s="96"/>
      <c r="R29" s="96">
        <v>6</v>
      </c>
      <c r="S29" s="96" t="s">
        <v>28</v>
      </c>
      <c r="T29" s="101" t="s">
        <v>31</v>
      </c>
    </row>
    <row r="30" spans="1:20" s="111" customFormat="1" ht="13.95" customHeight="1" x14ac:dyDescent="0.3">
      <c r="A30" s="95">
        <v>46048</v>
      </c>
      <c r="B30" s="96">
        <v>137055</v>
      </c>
      <c r="C30" s="96" t="s">
        <v>31</v>
      </c>
      <c r="D30" s="96" t="s">
        <v>61</v>
      </c>
      <c r="E30" s="96" t="s">
        <v>52</v>
      </c>
      <c r="F30" s="96" t="s">
        <v>41</v>
      </c>
      <c r="G30" s="97">
        <v>1</v>
      </c>
      <c r="H30" s="98">
        <v>8100</v>
      </c>
      <c r="I30" s="99">
        <v>8100</v>
      </c>
      <c r="J30" s="100">
        <v>7.0000000000000007E-2</v>
      </c>
      <c r="K30" s="100">
        <v>1.7500000000000002E-2</v>
      </c>
      <c r="L30" s="99" t="s">
        <v>26</v>
      </c>
      <c r="M30" s="99">
        <v>567</v>
      </c>
      <c r="N30" s="99">
        <v>141.75</v>
      </c>
      <c r="O30" s="96" t="s">
        <v>27</v>
      </c>
      <c r="P30" s="96" t="s">
        <v>27</v>
      </c>
      <c r="Q30" s="96"/>
      <c r="R30" s="96">
        <v>6</v>
      </c>
      <c r="S30" s="96" t="s">
        <v>28</v>
      </c>
      <c r="T30" s="101" t="s">
        <v>31</v>
      </c>
    </row>
    <row r="31" spans="1:20" s="111" customFormat="1" ht="13.95" customHeight="1" x14ac:dyDescent="0.3">
      <c r="A31" s="95">
        <v>46048</v>
      </c>
      <c r="B31" s="96">
        <v>137055</v>
      </c>
      <c r="C31" s="96" t="s">
        <v>31</v>
      </c>
      <c r="D31" s="96" t="s">
        <v>61</v>
      </c>
      <c r="E31" s="96" t="s">
        <v>52</v>
      </c>
      <c r="F31" s="96" t="s">
        <v>30</v>
      </c>
      <c r="G31" s="97">
        <v>1</v>
      </c>
      <c r="H31" s="98">
        <v>1070</v>
      </c>
      <c r="I31" s="99">
        <v>1070</v>
      </c>
      <c r="J31" s="100">
        <v>1</v>
      </c>
      <c r="K31" s="100">
        <v>0.25</v>
      </c>
      <c r="L31" s="99" t="s">
        <v>26</v>
      </c>
      <c r="M31" s="99">
        <v>1070</v>
      </c>
      <c r="N31" s="99">
        <v>267.5</v>
      </c>
      <c r="O31" s="96" t="s">
        <v>27</v>
      </c>
      <c r="P31" s="96" t="s">
        <v>27</v>
      </c>
      <c r="Q31" s="96"/>
      <c r="R31" s="96">
        <v>1</v>
      </c>
      <c r="S31" s="96" t="s">
        <v>28</v>
      </c>
      <c r="T31" s="101" t="s">
        <v>31</v>
      </c>
    </row>
    <row r="32" spans="1:20" s="111" customFormat="1" ht="13.95" customHeight="1" x14ac:dyDescent="0.3">
      <c r="A32" s="95">
        <v>46052</v>
      </c>
      <c r="B32" s="96">
        <v>137171</v>
      </c>
      <c r="C32" s="96" t="s">
        <v>44</v>
      </c>
      <c r="D32" s="96" t="s">
        <v>62</v>
      </c>
      <c r="E32" s="96" t="s">
        <v>47</v>
      </c>
      <c r="F32" s="96" t="s">
        <v>25</v>
      </c>
      <c r="G32" s="97">
        <v>300</v>
      </c>
      <c r="H32" s="98">
        <v>166.67</v>
      </c>
      <c r="I32" s="99">
        <v>50000.999999999993</v>
      </c>
      <c r="J32" s="100">
        <v>0.05</v>
      </c>
      <c r="K32" s="100">
        <v>1.2500000000000001E-2</v>
      </c>
      <c r="L32" s="99" t="s">
        <v>46</v>
      </c>
      <c r="M32" s="99">
        <v>2500.0500000000002</v>
      </c>
      <c r="N32" s="99">
        <v>625.01249999999993</v>
      </c>
      <c r="O32" s="96" t="s">
        <v>27</v>
      </c>
      <c r="P32" s="96" t="s">
        <v>27</v>
      </c>
      <c r="Q32" s="96"/>
      <c r="R32" s="96">
        <v>10</v>
      </c>
      <c r="S32" s="96" t="s">
        <v>28</v>
      </c>
      <c r="T32" s="101" t="s">
        <v>44</v>
      </c>
    </row>
    <row r="33" spans="1:20" s="111" customFormat="1" ht="13.95" customHeight="1" x14ac:dyDescent="0.3">
      <c r="A33" s="95">
        <v>46052</v>
      </c>
      <c r="B33" s="96">
        <v>137171</v>
      </c>
      <c r="C33" s="96" t="s">
        <v>44</v>
      </c>
      <c r="D33" s="96" t="s">
        <v>62</v>
      </c>
      <c r="E33" s="96" t="s">
        <v>47</v>
      </c>
      <c r="F33" s="96" t="s">
        <v>30</v>
      </c>
      <c r="G33" s="97">
        <v>7</v>
      </c>
      <c r="H33" s="98">
        <v>240</v>
      </c>
      <c r="I33" s="99">
        <v>1680</v>
      </c>
      <c r="J33" s="100">
        <v>1</v>
      </c>
      <c r="K33" s="100">
        <v>0.25</v>
      </c>
      <c r="L33" s="99" t="s">
        <v>46</v>
      </c>
      <c r="M33" s="99">
        <v>1680</v>
      </c>
      <c r="N33" s="99">
        <v>420</v>
      </c>
      <c r="O33" s="96" t="s">
        <v>27</v>
      </c>
      <c r="P33" s="96" t="s">
        <v>27</v>
      </c>
      <c r="Q33" s="96"/>
      <c r="R33" s="96">
        <v>1</v>
      </c>
      <c r="S33" s="96" t="s">
        <v>28</v>
      </c>
      <c r="T33" s="101" t="s">
        <v>44</v>
      </c>
    </row>
    <row r="34" spans="1:20" s="111" customFormat="1" ht="13.95" customHeight="1" x14ac:dyDescent="0.3">
      <c r="A34" s="95">
        <v>46052</v>
      </c>
      <c r="B34" s="96">
        <v>137171</v>
      </c>
      <c r="C34" s="96" t="s">
        <v>44</v>
      </c>
      <c r="D34" s="96" t="s">
        <v>62</v>
      </c>
      <c r="E34" s="96" t="s">
        <v>54</v>
      </c>
      <c r="F34" s="96" t="s">
        <v>30</v>
      </c>
      <c r="G34" s="97">
        <v>1</v>
      </c>
      <c r="H34" s="98">
        <v>140</v>
      </c>
      <c r="I34" s="99">
        <v>140</v>
      </c>
      <c r="J34" s="100">
        <v>1</v>
      </c>
      <c r="K34" s="100">
        <v>0.25</v>
      </c>
      <c r="L34" s="99" t="s">
        <v>46</v>
      </c>
      <c r="M34" s="99">
        <v>140</v>
      </c>
      <c r="N34" s="99">
        <v>35</v>
      </c>
      <c r="O34" s="96" t="s">
        <v>27</v>
      </c>
      <c r="P34" s="96" t="s">
        <v>27</v>
      </c>
      <c r="Q34" s="96"/>
      <c r="R34" s="96">
        <v>1</v>
      </c>
      <c r="S34" s="96" t="s">
        <v>28</v>
      </c>
      <c r="T34" s="101" t="s">
        <v>44</v>
      </c>
    </row>
    <row r="35" spans="1:20" s="111" customFormat="1" ht="13.95" customHeight="1" x14ac:dyDescent="0.3">
      <c r="A35" s="95">
        <v>46052</v>
      </c>
      <c r="B35" s="96">
        <v>137171</v>
      </c>
      <c r="C35" s="96" t="s">
        <v>44</v>
      </c>
      <c r="D35" s="96" t="s">
        <v>62</v>
      </c>
      <c r="E35" s="96" t="s">
        <v>63</v>
      </c>
      <c r="F35" s="96" t="s">
        <v>30</v>
      </c>
      <c r="G35" s="97">
        <v>10</v>
      </c>
      <c r="H35" s="98">
        <v>88</v>
      </c>
      <c r="I35" s="99">
        <v>880</v>
      </c>
      <c r="J35" s="100">
        <v>1</v>
      </c>
      <c r="K35" s="100">
        <v>0.25</v>
      </c>
      <c r="L35" s="99" t="s">
        <v>46</v>
      </c>
      <c r="M35" s="99">
        <v>880</v>
      </c>
      <c r="N35" s="99">
        <v>220</v>
      </c>
      <c r="O35" s="96" t="s">
        <v>27</v>
      </c>
      <c r="P35" s="96" t="s">
        <v>27</v>
      </c>
      <c r="Q35" s="96"/>
      <c r="R35" s="96">
        <v>1</v>
      </c>
      <c r="S35" s="96" t="s">
        <v>28</v>
      </c>
      <c r="T35" s="101" t="s">
        <v>44</v>
      </c>
    </row>
    <row r="36" spans="1:20" s="111" customFormat="1" ht="13.95" customHeight="1" x14ac:dyDescent="0.3">
      <c r="A36" s="95">
        <v>46052</v>
      </c>
      <c r="B36" s="96">
        <v>120629</v>
      </c>
      <c r="C36" s="96" t="s">
        <v>31</v>
      </c>
      <c r="D36" s="96" t="s">
        <v>64</v>
      </c>
      <c r="E36" s="96" t="s">
        <v>24</v>
      </c>
      <c r="F36" s="96" t="s">
        <v>25</v>
      </c>
      <c r="G36" s="97">
        <v>45</v>
      </c>
      <c r="H36" s="98">
        <v>158</v>
      </c>
      <c r="I36" s="99">
        <v>7110</v>
      </c>
      <c r="J36" s="100">
        <v>0.01</v>
      </c>
      <c r="K36" s="100">
        <v>2.5000000000000001E-3</v>
      </c>
      <c r="L36" s="99" t="s">
        <v>26</v>
      </c>
      <c r="M36" s="99">
        <v>71.100000000000009</v>
      </c>
      <c r="N36" s="99">
        <v>17.774999999999999</v>
      </c>
      <c r="O36" s="96" t="s">
        <v>36</v>
      </c>
      <c r="P36" s="96" t="s">
        <v>37</v>
      </c>
      <c r="Q36" s="96"/>
      <c r="R36" s="96">
        <v>6</v>
      </c>
      <c r="S36" s="96" t="s">
        <v>38</v>
      </c>
      <c r="T36" s="101" t="s">
        <v>31</v>
      </c>
    </row>
    <row r="37" spans="1:20" s="111" customFormat="1" ht="13.95" customHeight="1" x14ac:dyDescent="0.3">
      <c r="A37" s="95">
        <v>46052</v>
      </c>
      <c r="B37" s="96">
        <v>137074</v>
      </c>
      <c r="C37" s="96" t="s">
        <v>31</v>
      </c>
      <c r="D37" s="96" t="s">
        <v>65</v>
      </c>
      <c r="E37" s="96" t="s">
        <v>35</v>
      </c>
      <c r="F37" s="96" t="s">
        <v>35</v>
      </c>
      <c r="G37" s="97">
        <v>16</v>
      </c>
      <c r="H37" s="98">
        <v>176</v>
      </c>
      <c r="I37" s="99">
        <v>2816</v>
      </c>
      <c r="J37" s="100">
        <v>0.01</v>
      </c>
      <c r="K37" s="100">
        <v>2.5000000000000001E-3</v>
      </c>
      <c r="L37" s="99" t="s">
        <v>26</v>
      </c>
      <c r="M37" s="99">
        <v>28.16</v>
      </c>
      <c r="N37" s="99">
        <v>7.04</v>
      </c>
      <c r="O37" s="96" t="s">
        <v>36</v>
      </c>
      <c r="P37" s="96" t="s">
        <v>37</v>
      </c>
      <c r="Q37" s="96"/>
      <c r="R37" s="96">
        <v>1</v>
      </c>
      <c r="S37" s="96" t="s">
        <v>38</v>
      </c>
      <c r="T37" s="101" t="s">
        <v>31</v>
      </c>
    </row>
    <row r="38" spans="1:20" s="111" customFormat="1" ht="13.95" customHeight="1" x14ac:dyDescent="0.3">
      <c r="A38" s="95">
        <v>46052</v>
      </c>
      <c r="B38" s="96">
        <v>137309</v>
      </c>
      <c r="C38" s="96" t="s">
        <v>31</v>
      </c>
      <c r="D38" s="96" t="s">
        <v>66</v>
      </c>
      <c r="E38" s="96" t="s">
        <v>35</v>
      </c>
      <c r="F38" s="96" t="s">
        <v>35</v>
      </c>
      <c r="G38" s="97">
        <v>5</v>
      </c>
      <c r="H38" s="98">
        <v>176</v>
      </c>
      <c r="I38" s="99">
        <v>880</v>
      </c>
      <c r="J38" s="100">
        <v>0.01</v>
      </c>
      <c r="K38" s="100">
        <v>2.5000000000000001E-3</v>
      </c>
      <c r="L38" s="99" t="s">
        <v>26</v>
      </c>
      <c r="M38" s="99">
        <v>8.8000000000000007</v>
      </c>
      <c r="N38" s="99">
        <v>2.2000000000000002</v>
      </c>
      <c r="O38" s="96" t="s">
        <v>36</v>
      </c>
      <c r="P38" s="96" t="s">
        <v>37</v>
      </c>
      <c r="Q38" s="96"/>
      <c r="R38" s="96">
        <v>3</v>
      </c>
      <c r="S38" s="96" t="s">
        <v>38</v>
      </c>
      <c r="T38" s="101" t="s">
        <v>31</v>
      </c>
    </row>
    <row r="39" spans="1:20" s="111" customFormat="1" ht="13.95" customHeight="1" x14ac:dyDescent="0.3">
      <c r="A39" s="95">
        <v>46052</v>
      </c>
      <c r="B39" s="96">
        <v>125596</v>
      </c>
      <c r="C39" s="96" t="s">
        <v>22</v>
      </c>
      <c r="D39" s="96" t="s">
        <v>67</v>
      </c>
      <c r="E39" s="96" t="s">
        <v>24</v>
      </c>
      <c r="F39" s="96" t="s">
        <v>25</v>
      </c>
      <c r="G39" s="97">
        <v>40</v>
      </c>
      <c r="H39" s="98">
        <v>180</v>
      </c>
      <c r="I39" s="99">
        <v>7200</v>
      </c>
      <c r="J39" s="100">
        <v>7.0000000000000007E-2</v>
      </c>
      <c r="K39" s="100">
        <v>0</v>
      </c>
      <c r="L39" s="99" t="s">
        <v>26</v>
      </c>
      <c r="M39" s="99">
        <v>504.00000000000011</v>
      </c>
      <c r="N39" s="99">
        <v>0</v>
      </c>
      <c r="O39" s="96" t="s">
        <v>36</v>
      </c>
      <c r="P39" s="96" t="s">
        <v>37</v>
      </c>
      <c r="Q39" s="96"/>
      <c r="R39" s="96">
        <v>6</v>
      </c>
      <c r="S39" s="96" t="s">
        <v>38</v>
      </c>
      <c r="T39" s="101" t="s">
        <v>22</v>
      </c>
    </row>
    <row r="40" spans="1:20" s="111" customFormat="1" ht="13.95" customHeight="1" x14ac:dyDescent="0.3">
      <c r="A40" s="109" t="s">
        <v>150</v>
      </c>
      <c r="B40" s="103"/>
      <c r="C40" s="103"/>
      <c r="D40" s="103"/>
      <c r="E40" s="103"/>
      <c r="F40" s="103"/>
      <c r="G40" s="103"/>
      <c r="H40" s="105"/>
      <c r="I40" s="106">
        <f>SUBTOTAL(109,Tabela3[VlrTotal])</f>
        <v>275185.696</v>
      </c>
      <c r="J40" s="103"/>
      <c r="K40" s="103"/>
      <c r="L40" s="103"/>
      <c r="M40" s="106">
        <f>SUBTOTAL(109,Tabela3[[ComissãoVendedor ]])</f>
        <v>33642.585928600012</v>
      </c>
      <c r="N40" s="106">
        <f>SUBTOTAL(109,Tabela3[ComissãoSupervisor])</f>
        <v>4105.8695071499997</v>
      </c>
      <c r="O40" s="103"/>
      <c r="P40" s="103"/>
      <c r="Q40" s="103"/>
      <c r="R40" s="103"/>
      <c r="S40" s="103"/>
      <c r="T40" s="108">
        <f>SUBTOTAL(103,Tabela3[SDR_RESPONSÁVEL])</f>
        <v>38</v>
      </c>
    </row>
    <row r="42" spans="1:20" x14ac:dyDescent="0.3">
      <c r="C42" s="110" t="s">
        <v>546</v>
      </c>
      <c r="D42" s="111"/>
      <c r="E42" s="111"/>
      <c r="F42" s="111"/>
      <c r="G42" s="111"/>
      <c r="H42" s="111"/>
      <c r="I42" s="111"/>
      <c r="J42" s="111"/>
      <c r="K42" s="111"/>
      <c r="L42" s="111"/>
      <c r="M42" s="111"/>
      <c r="N42" s="111"/>
    </row>
    <row r="43" spans="1:20" x14ac:dyDescent="0.3">
      <c r="C43" s="112" t="s">
        <v>183</v>
      </c>
      <c r="D43" s="112"/>
      <c r="E43" s="112"/>
      <c r="F43" s="112"/>
      <c r="G43" s="112"/>
      <c r="H43" s="112"/>
      <c r="I43" s="112"/>
      <c r="J43" s="112"/>
      <c r="K43" s="112"/>
      <c r="L43" s="112"/>
      <c r="M43" s="112"/>
      <c r="N43" s="112"/>
    </row>
    <row r="44" spans="1:20" x14ac:dyDescent="0.3">
      <c r="C44" s="404" t="s">
        <v>185</v>
      </c>
      <c r="D44" s="394"/>
      <c r="E44" s="394"/>
      <c r="F44" s="394"/>
      <c r="G44" s="405" t="s">
        <v>186</v>
      </c>
      <c r="H44" s="394"/>
      <c r="I44" s="394"/>
      <c r="J44" s="394"/>
      <c r="K44" s="397" t="s">
        <v>187</v>
      </c>
      <c r="L44" s="394"/>
      <c r="M44" s="394"/>
      <c r="N44" s="394"/>
    </row>
    <row r="45" spans="1:20" x14ac:dyDescent="0.3">
      <c r="C45" s="113"/>
      <c r="D45" s="114" t="s">
        <v>156</v>
      </c>
      <c r="E45" s="115" t="s">
        <v>188</v>
      </c>
      <c r="F45" s="115" t="s">
        <v>158</v>
      </c>
      <c r="G45" s="113"/>
      <c r="H45" s="114" t="s">
        <v>156</v>
      </c>
      <c r="I45" s="115" t="s">
        <v>188</v>
      </c>
      <c r="J45" s="115" t="s">
        <v>158</v>
      </c>
      <c r="K45" s="113"/>
      <c r="L45" s="114" t="s">
        <v>156</v>
      </c>
      <c r="M45" s="115" t="s">
        <v>188</v>
      </c>
      <c r="N45" s="115" t="s">
        <v>158</v>
      </c>
    </row>
    <row r="46" spans="1:20" x14ac:dyDescent="0.3">
      <c r="C46" s="116" t="s">
        <v>189</v>
      </c>
      <c r="D46" s="117">
        <v>15</v>
      </c>
      <c r="E46" s="118">
        <v>24</v>
      </c>
      <c r="F46" s="119">
        <f>E46/D46</f>
        <v>1.6</v>
      </c>
      <c r="G46" s="116" t="s">
        <v>189</v>
      </c>
      <c r="H46" s="117">
        <v>15</v>
      </c>
      <c r="I46" s="118">
        <v>16</v>
      </c>
      <c r="J46" s="119">
        <f>I46/H46</f>
        <v>1.0666666666666667</v>
      </c>
      <c r="K46" s="116" t="s">
        <v>189</v>
      </c>
      <c r="L46" s="117">
        <v>15</v>
      </c>
      <c r="M46" s="118">
        <v>10</v>
      </c>
      <c r="N46" s="119">
        <f>M46/L46</f>
        <v>0.66666666666666663</v>
      </c>
    </row>
    <row r="47" spans="1:20" x14ac:dyDescent="0.3">
      <c r="C47" s="116" t="s">
        <v>190</v>
      </c>
      <c r="D47" s="117">
        <v>12</v>
      </c>
      <c r="E47" s="118">
        <v>16</v>
      </c>
      <c r="F47" s="119">
        <f>E47/D47</f>
        <v>1.3333333333333333</v>
      </c>
      <c r="G47" s="116" t="s">
        <v>190</v>
      </c>
      <c r="H47" s="117">
        <v>12</v>
      </c>
      <c r="I47" s="118">
        <v>16</v>
      </c>
      <c r="J47" s="119">
        <f>I47/H47</f>
        <v>1.3333333333333333</v>
      </c>
      <c r="K47" s="116" t="s">
        <v>190</v>
      </c>
      <c r="L47" s="117">
        <v>12</v>
      </c>
      <c r="M47" s="118">
        <v>10</v>
      </c>
      <c r="N47" s="119">
        <f>M47/L47</f>
        <v>0.83333333333333337</v>
      </c>
    </row>
    <row r="48" spans="1:20" x14ac:dyDescent="0.3">
      <c r="C48" s="116" t="s">
        <v>173</v>
      </c>
      <c r="D48" s="120">
        <v>6000</v>
      </c>
      <c r="E48" s="121">
        <f>E70</f>
        <v>2698.22</v>
      </c>
      <c r="F48" s="119">
        <f>E48/D48</f>
        <v>0.44970333333333329</v>
      </c>
      <c r="G48" s="116" t="s">
        <v>173</v>
      </c>
      <c r="H48" s="120">
        <v>10000</v>
      </c>
      <c r="I48" s="121">
        <f>E65</f>
        <v>4434.5</v>
      </c>
      <c r="J48" s="119">
        <f>I48/H48</f>
        <v>0.44345000000000001</v>
      </c>
      <c r="K48" s="116" t="s">
        <v>173</v>
      </c>
      <c r="L48" s="120">
        <v>10000</v>
      </c>
      <c r="M48" s="121">
        <f>E76</f>
        <v>10373.74</v>
      </c>
      <c r="N48" s="119">
        <f>M48/L48</f>
        <v>1.037374</v>
      </c>
    </row>
    <row r="49" spans="3:14" x14ac:dyDescent="0.3">
      <c r="C49" s="116" t="s">
        <v>166</v>
      </c>
      <c r="D49" s="120">
        <v>26000</v>
      </c>
      <c r="E49" s="122">
        <f>E48+I48+M48</f>
        <v>17506.46</v>
      </c>
      <c r="F49" s="119">
        <f>E49/D49</f>
        <v>0.6733253846153846</v>
      </c>
      <c r="G49" s="116" t="s">
        <v>166</v>
      </c>
      <c r="H49" s="120">
        <v>26000</v>
      </c>
      <c r="I49" s="122">
        <f>E49</f>
        <v>17506.46</v>
      </c>
      <c r="J49" s="119">
        <f>I49/H49</f>
        <v>0.6733253846153846</v>
      </c>
      <c r="K49" s="116" t="s">
        <v>166</v>
      </c>
      <c r="L49" s="120">
        <v>26000</v>
      </c>
      <c r="M49" s="122">
        <f>E49</f>
        <v>17506.46</v>
      </c>
      <c r="N49" s="119">
        <f>M49/L49</f>
        <v>0.6733253846153846</v>
      </c>
    </row>
    <row r="50" spans="3:14" x14ac:dyDescent="0.3">
      <c r="C50" s="116" t="s">
        <v>174</v>
      </c>
      <c r="D50" s="120">
        <v>90000</v>
      </c>
      <c r="E50" s="122">
        <f>E69+E71</f>
        <v>58587.270000000004</v>
      </c>
      <c r="F50" s="119">
        <f>E50/D50</f>
        <v>0.65096966666666667</v>
      </c>
      <c r="G50" s="116" t="s">
        <v>174</v>
      </c>
      <c r="H50" s="120">
        <v>90000</v>
      </c>
      <c r="I50" s="122">
        <f>E64</f>
        <v>101301</v>
      </c>
      <c r="J50" s="119">
        <f>I50/H50</f>
        <v>1.1255666666666666</v>
      </c>
      <c r="K50" s="116" t="s">
        <v>174</v>
      </c>
      <c r="L50" s="120">
        <v>90000</v>
      </c>
      <c r="M50" s="122">
        <f>E75</f>
        <v>97790.97</v>
      </c>
      <c r="N50" s="119">
        <f>M50/L50</f>
        <v>1.0865663333333333</v>
      </c>
    </row>
    <row r="52" spans="3:14" x14ac:dyDescent="0.3">
      <c r="C52" s="407" t="s">
        <v>513</v>
      </c>
      <c r="D52" s="394"/>
      <c r="E52" s="394"/>
      <c r="F52" s="394"/>
      <c r="G52" s="394"/>
      <c r="H52" s="394"/>
      <c r="I52" s="394"/>
      <c r="J52" s="394"/>
    </row>
    <row r="53" spans="3:14" x14ac:dyDescent="0.3">
      <c r="C53" s="123"/>
      <c r="D53" s="115"/>
      <c r="E53" s="115"/>
      <c r="F53" s="115"/>
      <c r="G53" s="117"/>
      <c r="H53" s="124"/>
      <c r="I53" s="124"/>
      <c r="J53" s="124"/>
    </row>
    <row r="54" spans="3:14" x14ac:dyDescent="0.3">
      <c r="C54" s="124"/>
      <c r="D54" s="124"/>
      <c r="E54" s="124"/>
      <c r="F54" s="124"/>
      <c r="G54" s="117"/>
      <c r="H54" s="124"/>
      <c r="I54" s="124"/>
      <c r="J54" s="124"/>
    </row>
    <row r="55" spans="3:14" x14ac:dyDescent="0.3">
      <c r="C55" s="124"/>
      <c r="D55" s="124"/>
      <c r="E55" s="125" t="s">
        <v>514</v>
      </c>
      <c r="F55" s="114"/>
      <c r="G55" s="114"/>
      <c r="H55" s="126"/>
      <c r="I55" s="124"/>
      <c r="J55" s="124"/>
    </row>
    <row r="56" spans="3:14" x14ac:dyDescent="0.3">
      <c r="C56" s="124"/>
      <c r="D56" s="124"/>
      <c r="E56" s="125"/>
      <c r="F56" s="114" t="s">
        <v>515</v>
      </c>
      <c r="G56" s="114" t="s">
        <v>516</v>
      </c>
      <c r="H56" s="127" t="s">
        <v>30</v>
      </c>
      <c r="I56" s="124"/>
      <c r="J56" s="124"/>
    </row>
    <row r="57" spans="3:14" x14ac:dyDescent="0.3">
      <c r="C57" s="124"/>
      <c r="D57" s="124"/>
      <c r="E57" s="128" t="s">
        <v>517</v>
      </c>
      <c r="F57" s="129">
        <v>0.1</v>
      </c>
      <c r="G57" s="130">
        <v>7.0000000000000001E-3</v>
      </c>
      <c r="H57" s="130">
        <v>0.1</v>
      </c>
      <c r="I57" s="124"/>
      <c r="J57" s="124"/>
    </row>
    <row r="58" spans="3:14" x14ac:dyDescent="0.3">
      <c r="C58" s="124"/>
      <c r="D58" s="124"/>
      <c r="E58" s="128" t="s">
        <v>518</v>
      </c>
      <c r="F58" s="129">
        <v>0.1</v>
      </c>
      <c r="G58" s="130">
        <v>7.0000000000000001E-3</v>
      </c>
      <c r="H58" s="130">
        <v>0.1</v>
      </c>
      <c r="I58" s="124"/>
      <c r="J58" s="124"/>
    </row>
    <row r="59" spans="3:14" x14ac:dyDescent="0.3">
      <c r="C59" s="128"/>
      <c r="D59" s="131"/>
      <c r="E59" s="132" t="s">
        <v>519</v>
      </c>
      <c r="F59" s="133">
        <v>0.1</v>
      </c>
      <c r="G59" s="134">
        <v>7.0000000000000001E-3</v>
      </c>
      <c r="H59" s="134">
        <v>0.1</v>
      </c>
      <c r="I59" s="124"/>
      <c r="J59" s="124"/>
    </row>
    <row r="60" spans="3:14" x14ac:dyDescent="0.3">
      <c r="C60" s="124"/>
      <c r="D60" s="124"/>
      <c r="E60" s="124"/>
      <c r="F60" s="124"/>
      <c r="G60" s="124"/>
      <c r="H60" s="124"/>
      <c r="I60" s="124"/>
      <c r="J60" s="124"/>
    </row>
    <row r="61" spans="3:14" x14ac:dyDescent="0.3">
      <c r="C61" s="403" t="s">
        <v>520</v>
      </c>
      <c r="D61" s="394"/>
      <c r="E61" s="394"/>
      <c r="F61" s="394"/>
      <c r="G61" s="394"/>
      <c r="H61" s="394"/>
      <c r="I61" s="394"/>
      <c r="J61" s="394"/>
    </row>
    <row r="63" spans="3:14" ht="22.2" customHeight="1" x14ac:dyDescent="0.3">
      <c r="D63" s="135" t="s">
        <v>521</v>
      </c>
      <c r="E63" s="136" t="s">
        <v>522</v>
      </c>
      <c r="F63" s="137" t="s">
        <v>523</v>
      </c>
      <c r="G63" s="137" t="s">
        <v>524</v>
      </c>
      <c r="H63" s="137" t="s">
        <v>525</v>
      </c>
      <c r="I63" s="136" t="s">
        <v>526</v>
      </c>
      <c r="J63" s="136" t="s">
        <v>527</v>
      </c>
      <c r="K63" s="137" t="s">
        <v>528</v>
      </c>
      <c r="L63" s="137" t="s">
        <v>529</v>
      </c>
    </row>
    <row r="64" spans="3:14" x14ac:dyDescent="0.3">
      <c r="D64" s="138" t="s">
        <v>258</v>
      </c>
      <c r="E64" s="139">
        <v>101301</v>
      </c>
      <c r="F64" s="139">
        <v>6091.05</v>
      </c>
      <c r="G64" s="139">
        <v>0</v>
      </c>
      <c r="H64" s="139">
        <f>F64*0.1</f>
        <v>609.10500000000002</v>
      </c>
      <c r="I64" s="401" t="str">
        <f>IF(J48&lt;100%,"NÃO BATEU","CUMPRIU")</f>
        <v>NÃO BATEU</v>
      </c>
      <c r="J64" s="401" t="str">
        <f>IF(J49&lt;100%,"NÃO BATEU","CUMPRIU")</f>
        <v>NÃO BATEU</v>
      </c>
      <c r="K64" s="140">
        <f>E64/E83</f>
        <v>0.39312829392076754</v>
      </c>
      <c r="L64" s="141">
        <f>G83*K64</f>
        <v>0</v>
      </c>
    </row>
    <row r="65" spans="4:14" x14ac:dyDescent="0.3">
      <c r="D65" s="138" t="s">
        <v>30</v>
      </c>
      <c r="E65" s="139">
        <v>4434.5</v>
      </c>
      <c r="F65" s="139">
        <v>4434.5</v>
      </c>
      <c r="G65" s="139">
        <v>0</v>
      </c>
      <c r="H65" s="139">
        <f>F65*0.1</f>
        <v>443.45000000000005</v>
      </c>
      <c r="I65" s="402"/>
      <c r="J65" s="402"/>
      <c r="K65" s="140">
        <f>IFERROR(E65/E84,0)</f>
        <v>0.2533064937171764</v>
      </c>
      <c r="L65" s="141">
        <f>G84*K65</f>
        <v>0</v>
      </c>
    </row>
    <row r="66" spans="4:14" x14ac:dyDescent="0.3">
      <c r="D66" s="138"/>
      <c r="E66" s="142">
        <f>SUM(E64:E65)</f>
        <v>105735.5</v>
      </c>
      <c r="F66" s="142">
        <f>F64+F65</f>
        <v>10525.55</v>
      </c>
      <c r="G66" s="143">
        <f>SUM(G64:G65)</f>
        <v>0</v>
      </c>
      <c r="H66" s="144">
        <f>SUM(H64:H65)*-1</f>
        <v>-1052.5550000000001</v>
      </c>
      <c r="I66" s="138"/>
      <c r="J66" s="138"/>
      <c r="K66" s="138"/>
      <c r="L66" s="145">
        <f>SUM(L64:L65)</f>
        <v>0</v>
      </c>
      <c r="M66" s="146">
        <f>G66+H66+L66</f>
        <v>-1052.5550000000001</v>
      </c>
    </row>
    <row r="68" spans="4:14" ht="22.2" customHeight="1" x14ac:dyDescent="0.3">
      <c r="D68" s="135" t="s">
        <v>185</v>
      </c>
      <c r="E68" s="136" t="s">
        <v>530</v>
      </c>
      <c r="F68" s="137" t="s">
        <v>523</v>
      </c>
      <c r="G68" s="137" t="s">
        <v>524</v>
      </c>
      <c r="H68" s="137" t="s">
        <v>525</v>
      </c>
      <c r="I68" s="136" t="s">
        <v>526</v>
      </c>
      <c r="J68" s="136" t="s">
        <v>527</v>
      </c>
      <c r="K68" s="137" t="s">
        <v>528</v>
      </c>
      <c r="L68" s="137" t="s">
        <v>529</v>
      </c>
    </row>
    <row r="69" spans="4:14" x14ac:dyDescent="0.3">
      <c r="D69" s="138" t="s">
        <v>258</v>
      </c>
      <c r="E69" s="139">
        <v>52532.86</v>
      </c>
      <c r="F69" s="147">
        <v>3142.02</v>
      </c>
      <c r="G69" s="139">
        <v>0</v>
      </c>
      <c r="H69" s="139">
        <f>F69*0.1</f>
        <v>314.202</v>
      </c>
      <c r="I69" s="401" t="str">
        <f>IF(F48&lt;100%,"NÃO BATEU","CUMPRIU")</f>
        <v>NÃO BATEU</v>
      </c>
      <c r="J69" s="401" t="str">
        <f>IF(F49&lt;100%,"NÃO BATEU","CUMPRIU")</f>
        <v>NÃO BATEU</v>
      </c>
      <c r="K69" s="140">
        <f>E69/E83</f>
        <v>0.20386919799980782</v>
      </c>
      <c r="L69" s="141">
        <f>K69*G83</f>
        <v>0</v>
      </c>
    </row>
    <row r="70" spans="4:14" x14ac:dyDescent="0.3">
      <c r="D70" s="138" t="s">
        <v>30</v>
      </c>
      <c r="E70" s="148">
        <v>2698.22</v>
      </c>
      <c r="F70" s="147">
        <v>2698.22</v>
      </c>
      <c r="G70" s="139">
        <v>0</v>
      </c>
      <c r="H70" s="139">
        <f>F70*0.1</f>
        <v>269.822</v>
      </c>
      <c r="I70" s="411"/>
      <c r="J70" s="411"/>
      <c r="K70" s="140">
        <f>E70/E84</f>
        <v>0.15412710508006758</v>
      </c>
      <c r="L70" s="141">
        <f>K70*G84</f>
        <v>0</v>
      </c>
    </row>
    <row r="71" spans="4:14" x14ac:dyDescent="0.3">
      <c r="D71" s="138" t="s">
        <v>35</v>
      </c>
      <c r="E71" s="149">
        <v>6054.41</v>
      </c>
      <c r="F71" s="150">
        <v>57.69</v>
      </c>
      <c r="G71" s="151">
        <v>0</v>
      </c>
      <c r="H71" s="139">
        <f>F71*0.1</f>
        <v>5.7690000000000001</v>
      </c>
      <c r="I71" s="402"/>
      <c r="J71" s="402"/>
      <c r="K71" s="140">
        <f>E71/E83</f>
        <v>2.349591686159894E-2</v>
      </c>
      <c r="L71" s="141">
        <f>K71*G83</f>
        <v>0</v>
      </c>
    </row>
    <row r="72" spans="4:14" x14ac:dyDescent="0.3">
      <c r="D72" s="138"/>
      <c r="E72" s="142">
        <f>SUM(E69:E71)</f>
        <v>61285.490000000005</v>
      </c>
      <c r="F72" s="142">
        <f>SUM(F69:F71)</f>
        <v>5897.9299999999994</v>
      </c>
      <c r="G72" s="143">
        <f>SUM(G69:G71)</f>
        <v>0</v>
      </c>
      <c r="H72" s="144">
        <f>SUM(H69:H71)*-1</f>
        <v>-589.79300000000001</v>
      </c>
      <c r="I72" s="138"/>
      <c r="J72" s="152"/>
      <c r="L72" s="145">
        <f>SUM(L69:L71)</f>
        <v>0</v>
      </c>
      <c r="M72" s="146">
        <f>G72+H72+L72</f>
        <v>-589.79300000000001</v>
      </c>
    </row>
    <row r="74" spans="4:14" ht="22.2" customHeight="1" x14ac:dyDescent="0.3">
      <c r="D74" s="135" t="s">
        <v>187</v>
      </c>
      <c r="E74" s="136" t="s">
        <v>530</v>
      </c>
      <c r="F74" s="137" t="s">
        <v>523</v>
      </c>
      <c r="G74" s="137" t="s">
        <v>524</v>
      </c>
      <c r="H74" s="137" t="s">
        <v>525</v>
      </c>
      <c r="I74" s="136" t="s">
        <v>526</v>
      </c>
      <c r="J74" s="136" t="s">
        <v>527</v>
      </c>
      <c r="K74" s="154" t="s">
        <v>528</v>
      </c>
      <c r="L74" s="154" t="s">
        <v>529</v>
      </c>
      <c r="M74" s="137" t="s">
        <v>531</v>
      </c>
      <c r="N74" s="137" t="s">
        <v>532</v>
      </c>
    </row>
    <row r="75" spans="4:14" x14ac:dyDescent="0.3">
      <c r="D75" s="138" t="s">
        <v>258</v>
      </c>
      <c r="E75" s="139">
        <v>97790.97</v>
      </c>
      <c r="F75" s="139">
        <v>6845.37</v>
      </c>
      <c r="G75" s="139">
        <f>F75*0.1</f>
        <v>684.53700000000003</v>
      </c>
      <c r="H75" s="141">
        <v>0</v>
      </c>
      <c r="I75" s="401" t="str">
        <f>IF(N48&lt;100%,"NÃO BATEU","CUMPRIU")</f>
        <v>CUMPRIU</v>
      </c>
      <c r="J75" s="401" t="str">
        <f>IF(N49&lt;100%,"NÃO BATEU","CUMPRIU")</f>
        <v>NÃO BATEU</v>
      </c>
      <c r="K75" s="140">
        <f>E75/E83</f>
        <v>0.37950659121782571</v>
      </c>
      <c r="L75" s="155">
        <f>K75*G83</f>
        <v>0</v>
      </c>
      <c r="M75" s="156">
        <f>H66*0.25</f>
        <v>-263.13875000000002</v>
      </c>
      <c r="N75" s="141">
        <v>2308.27</v>
      </c>
    </row>
    <row r="76" spans="4:14" x14ac:dyDescent="0.3">
      <c r="D76" s="138" t="s">
        <v>30</v>
      </c>
      <c r="E76" s="139">
        <v>10373.74</v>
      </c>
      <c r="F76" s="139">
        <v>10373.74</v>
      </c>
      <c r="G76" s="139">
        <f>F76*0.1</f>
        <v>1037.374</v>
      </c>
      <c r="H76" s="141">
        <v>0</v>
      </c>
      <c r="I76" s="411"/>
      <c r="J76" s="411"/>
      <c r="K76" s="140">
        <f>E76/E84</f>
        <v>0.59256640120275605</v>
      </c>
      <c r="L76" s="155">
        <f>K76*G84</f>
        <v>0</v>
      </c>
      <c r="M76" s="156">
        <f>H72*0.25</f>
        <v>-147.44825</v>
      </c>
      <c r="N76" s="157">
        <v>1783.18</v>
      </c>
    </row>
    <row r="77" spans="4:14" x14ac:dyDescent="0.3">
      <c r="D77" s="138" t="s">
        <v>35</v>
      </c>
      <c r="E77" s="139">
        <v>0</v>
      </c>
      <c r="F77" s="139">
        <v>0</v>
      </c>
      <c r="G77" s="139">
        <f>F77*0.1</f>
        <v>0</v>
      </c>
      <c r="H77" s="141">
        <v>0</v>
      </c>
      <c r="I77" s="411"/>
      <c r="J77" s="411"/>
      <c r="K77" s="140">
        <f>E77/E83</f>
        <v>0</v>
      </c>
      <c r="L77" s="155">
        <f>K77*G83</f>
        <v>0</v>
      </c>
      <c r="M77" s="156">
        <f>K77*G83</f>
        <v>0</v>
      </c>
      <c r="N77" s="141">
        <v>14.42</v>
      </c>
    </row>
    <row r="78" spans="4:14" x14ac:dyDescent="0.3">
      <c r="D78" s="138"/>
      <c r="E78" s="142">
        <f>SUM(E75:E77)</f>
        <v>108164.71</v>
      </c>
      <c r="F78" s="158">
        <f>SUM(F75:F77)</f>
        <v>17219.11</v>
      </c>
      <c r="G78" s="143">
        <f>SUM(G75:G77)</f>
        <v>1721.9110000000001</v>
      </c>
      <c r="H78" s="159">
        <f>SUM(H75:H77)*-1</f>
        <v>0</v>
      </c>
      <c r="I78" s="402"/>
      <c r="J78" s="402"/>
      <c r="L78" s="160">
        <f>SUM(L75:L77)</f>
        <v>0</v>
      </c>
      <c r="M78" s="161">
        <f>SUM(M75:M77)</f>
        <v>-410.58699999999999</v>
      </c>
      <c r="N78" s="162">
        <f>SUM(N75:N77)</f>
        <v>4105.87</v>
      </c>
    </row>
    <row r="79" spans="4:14" x14ac:dyDescent="0.3">
      <c r="N79" s="163">
        <f>G78+H78+N78+M78+L78</f>
        <v>5417.1939999999995</v>
      </c>
    </row>
    <row r="80" spans="4:14" x14ac:dyDescent="0.3">
      <c r="G80" s="164" t="s">
        <v>533</v>
      </c>
    </row>
    <row r="81" spans="4:7" x14ac:dyDescent="0.3">
      <c r="F81" s="2" t="s">
        <v>534</v>
      </c>
      <c r="G81" s="164" t="s">
        <v>535</v>
      </c>
    </row>
    <row r="82" spans="4:7" x14ac:dyDescent="0.3">
      <c r="D82" s="165" t="s">
        <v>534</v>
      </c>
      <c r="E82" s="166">
        <f>E66+E72+E78</f>
        <v>275185.7</v>
      </c>
      <c r="F82" s="166">
        <f>F66+F72+F78</f>
        <v>33642.589999999997</v>
      </c>
      <c r="G82" s="167">
        <f>G83+G84</f>
        <v>0</v>
      </c>
    </row>
    <row r="83" spans="4:7" x14ac:dyDescent="0.3">
      <c r="D83" s="165" t="s">
        <v>536</v>
      </c>
      <c r="E83" s="166">
        <f>E64+E69+E75+E71+E77</f>
        <v>257679.24</v>
      </c>
      <c r="F83" s="166">
        <f>F64+F69+F75+F71+F77</f>
        <v>16136.13</v>
      </c>
      <c r="G83" s="167">
        <f>IF(F84&gt;30000,(F83*0.1),0)</f>
        <v>0</v>
      </c>
    </row>
    <row r="84" spans="4:7" x14ac:dyDescent="0.3">
      <c r="D84" s="165" t="s">
        <v>537</v>
      </c>
      <c r="E84" s="166">
        <f>E65+E70+E76</f>
        <v>17506.46</v>
      </c>
      <c r="F84" s="166">
        <f>F65+F70+F76</f>
        <v>17506.46</v>
      </c>
      <c r="G84" s="167">
        <f>IF(F84&gt;30000,(F84*0.1),0)</f>
        <v>0</v>
      </c>
    </row>
    <row r="85" spans="4:7" ht="15" customHeight="1" thickBot="1" x14ac:dyDescent="0.35"/>
    <row r="86" spans="4:7" ht="15.6" customHeight="1" x14ac:dyDescent="0.3">
      <c r="D86" s="408" t="s">
        <v>538</v>
      </c>
      <c r="E86" s="409"/>
      <c r="F86" s="410"/>
    </row>
    <row r="87" spans="4:7" ht="15.6" customHeight="1" x14ac:dyDescent="0.3">
      <c r="D87" s="168" t="s">
        <v>2</v>
      </c>
      <c r="E87" s="406" t="s">
        <v>539</v>
      </c>
      <c r="F87" s="400"/>
    </row>
    <row r="88" spans="4:7" ht="15.6" customHeight="1" x14ac:dyDescent="0.3">
      <c r="D88" s="169" t="s">
        <v>540</v>
      </c>
      <c r="E88" s="414">
        <f>M66</f>
        <v>-1052.5550000000001</v>
      </c>
      <c r="F88" s="400"/>
    </row>
    <row r="89" spans="4:7" ht="15.6" customHeight="1" x14ac:dyDescent="0.3">
      <c r="D89" s="169" t="s">
        <v>541</v>
      </c>
      <c r="E89" s="414">
        <f>M72</f>
        <v>-589.79300000000001</v>
      </c>
      <c r="F89" s="400"/>
    </row>
    <row r="90" spans="4:7" ht="16.2" customHeight="1" thickBot="1" x14ac:dyDescent="0.35">
      <c r="D90" s="170" t="s">
        <v>22</v>
      </c>
      <c r="E90" s="412">
        <f>N79</f>
        <v>5417.1939999999995</v>
      </c>
      <c r="F90" s="413"/>
    </row>
    <row r="91" spans="4:7" ht="15" customHeight="1" thickBot="1" x14ac:dyDescent="0.35"/>
    <row r="92" spans="4:7" ht="15.6" customHeight="1" x14ac:dyDescent="0.3">
      <c r="D92" s="171" t="s">
        <v>542</v>
      </c>
      <c r="E92" s="172"/>
      <c r="F92" s="173"/>
    </row>
    <row r="93" spans="4:7" ht="18" customHeight="1" x14ac:dyDescent="0.35">
      <c r="D93" s="174" t="s">
        <v>543</v>
      </c>
      <c r="E93" s="175"/>
      <c r="F93" s="176">
        <f>E83</f>
        <v>257679.24</v>
      </c>
    </row>
    <row r="94" spans="4:7" ht="18" customHeight="1" x14ac:dyDescent="0.35">
      <c r="D94" s="174" t="s">
        <v>544</v>
      </c>
      <c r="E94" s="175"/>
      <c r="F94" s="177">
        <f>F83/F93</f>
        <v>6.2620993449064813E-2</v>
      </c>
    </row>
    <row r="95" spans="4:7" ht="15.6" customHeight="1" x14ac:dyDescent="0.3">
      <c r="D95" s="174"/>
      <c r="E95" s="175"/>
      <c r="F95" s="178"/>
    </row>
    <row r="96" spans="4:7" ht="15.6" customHeight="1" x14ac:dyDescent="0.3">
      <c r="D96" s="179" t="s">
        <v>160</v>
      </c>
      <c r="E96" s="175"/>
      <c r="F96" s="178"/>
    </row>
    <row r="97" spans="4:6" ht="18" customHeight="1" x14ac:dyDescent="0.35">
      <c r="D97" s="174" t="s">
        <v>545</v>
      </c>
      <c r="E97" s="175"/>
      <c r="F97" s="176">
        <f>E84</f>
        <v>17506.46</v>
      </c>
    </row>
    <row r="98" spans="4:6" ht="18.600000000000001" customHeight="1" thickBot="1" x14ac:dyDescent="0.4">
      <c r="D98" s="180" t="s">
        <v>544</v>
      </c>
      <c r="E98" s="181"/>
      <c r="F98" s="182">
        <f>(F84+N76)/F97</f>
        <v>1.101858399699311</v>
      </c>
    </row>
  </sheetData>
  <mergeCells count="16">
    <mergeCell ref="G44:J44"/>
    <mergeCell ref="K44:N44"/>
    <mergeCell ref="I75:I78"/>
    <mergeCell ref="E87:F87"/>
    <mergeCell ref="J75:J78"/>
    <mergeCell ref="C52:J52"/>
    <mergeCell ref="C61:J61"/>
    <mergeCell ref="C44:F44"/>
    <mergeCell ref="E90:F90"/>
    <mergeCell ref="I69:I71"/>
    <mergeCell ref="J69:J71"/>
    <mergeCell ref="I64:I65"/>
    <mergeCell ref="E89:F89"/>
    <mergeCell ref="J64:J65"/>
    <mergeCell ref="D86:F86"/>
    <mergeCell ref="E88:F88"/>
  </mergeCells>
  <conditionalFormatting sqref="I64:J64">
    <cfRule type="containsText" dxfId="5" priority="5" operator="containsText" text="CUMPRIU">
      <formula>NOT(ISERROR(SEARCH("CUMPRIU",I64)))</formula>
    </cfRule>
    <cfRule type="containsText" dxfId="4" priority="6" operator="containsText" text="NÃO">
      <formula>NOT(ISERROR(SEARCH("NÃO",I64)))</formula>
    </cfRule>
  </conditionalFormatting>
  <conditionalFormatting sqref="I69:J69">
    <cfRule type="containsText" dxfId="3" priority="3" operator="containsText" text="CUMPRIU">
      <formula>NOT(ISERROR(SEARCH("CUMPRIU",I69)))</formula>
    </cfRule>
    <cfRule type="containsText" dxfId="2" priority="4" operator="containsText" text="NÃO">
      <formula>NOT(ISERROR(SEARCH("NÃO",I69)))</formula>
    </cfRule>
  </conditionalFormatting>
  <conditionalFormatting sqref="I75:J75">
    <cfRule type="containsText" dxfId="1" priority="1" operator="containsText" text="CUMPRIU">
      <formula>NOT(ISERROR(SEARCH("CUMPRIU",I75)))</formula>
    </cfRule>
    <cfRule type="containsText" dxfId="0" priority="2" operator="containsText" text="NÃO">
      <formula>NOT(ISERROR(SEARCH("NÃO",I75)))</formula>
    </cfRule>
  </conditionalFormatting>
  <pageMargins left="0.511811024" right="0.511811024" top="0.78740157499999996" bottom="0.78740157499999996" header="0.31496062000000002" footer="0.31496062000000002"/>
  <pageSetup paperSize="9" scale="4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225"/>
  <sheetViews>
    <sheetView showGridLines="0" workbookViewId="0">
      <selection activeCell="D10" sqref="D10"/>
    </sheetView>
  </sheetViews>
  <sheetFormatPr defaultRowHeight="14.4" x14ac:dyDescent="0.3"/>
  <cols>
    <col min="2" max="2" width="14" bestFit="1" customWidth="1"/>
    <col min="3" max="3" width="13.44140625" bestFit="1" customWidth="1"/>
    <col min="4" max="4" width="12.33203125" bestFit="1" customWidth="1"/>
    <col min="5" max="5" width="13.33203125" bestFit="1" customWidth="1"/>
    <col min="6" max="6" width="16.6640625" bestFit="1" customWidth="1"/>
    <col min="7" max="7" width="15.109375" bestFit="1" customWidth="1"/>
    <col min="8" max="8" width="34.109375" bestFit="1" customWidth="1"/>
    <col min="9" max="9" width="12.6640625" bestFit="1" customWidth="1"/>
    <col min="10" max="10" width="13.109375" bestFit="1" customWidth="1"/>
    <col min="11" max="11" width="7" bestFit="1" customWidth="1"/>
    <col min="12" max="12" width="6.6640625" bestFit="1" customWidth="1"/>
  </cols>
  <sheetData>
    <row r="2" spans="2:11" x14ac:dyDescent="0.3">
      <c r="B2" s="58" t="s">
        <v>547</v>
      </c>
      <c r="C2" s="58"/>
      <c r="F2" s="415" t="s">
        <v>548</v>
      </c>
      <c r="G2" s="394"/>
      <c r="I2" s="415" t="s">
        <v>549</v>
      </c>
      <c r="J2" s="394"/>
      <c r="K2" s="394"/>
    </row>
    <row r="3" spans="2:11" x14ac:dyDescent="0.3">
      <c r="B3" s="36" t="s">
        <v>5</v>
      </c>
      <c r="C3" t="s">
        <v>30</v>
      </c>
      <c r="I3" s="36" t="s">
        <v>550</v>
      </c>
      <c r="J3" s="36" t="s">
        <v>5</v>
      </c>
      <c r="K3" t="s">
        <v>536</v>
      </c>
    </row>
    <row r="4" spans="2:11" x14ac:dyDescent="0.3">
      <c r="B4" s="1"/>
      <c r="I4" t="s">
        <v>551</v>
      </c>
      <c r="J4" t="s">
        <v>35</v>
      </c>
      <c r="K4" s="39">
        <v>415</v>
      </c>
    </row>
    <row r="5" spans="2:11" x14ac:dyDescent="0.3">
      <c r="B5" s="40" t="s">
        <v>550</v>
      </c>
      <c r="C5" s="40" t="s">
        <v>552</v>
      </c>
      <c r="F5" s="40" t="s">
        <v>215</v>
      </c>
      <c r="G5" s="40" t="s">
        <v>553</v>
      </c>
      <c r="J5" t="s">
        <v>554</v>
      </c>
      <c r="K5" s="39">
        <v>488</v>
      </c>
    </row>
    <row r="6" spans="2:11" x14ac:dyDescent="0.3">
      <c r="B6" t="s">
        <v>551</v>
      </c>
      <c r="C6" s="38">
        <v>1286.28</v>
      </c>
      <c r="F6" s="37" t="s">
        <v>551</v>
      </c>
      <c r="G6" s="38">
        <v>156983.04000000001</v>
      </c>
      <c r="I6" t="s">
        <v>555</v>
      </c>
      <c r="J6" t="s">
        <v>35</v>
      </c>
      <c r="K6" s="39">
        <v>235</v>
      </c>
    </row>
    <row r="7" spans="2:11" x14ac:dyDescent="0.3">
      <c r="B7" t="s">
        <v>555</v>
      </c>
      <c r="C7" s="38">
        <v>641.52</v>
      </c>
      <c r="F7" s="37" t="s">
        <v>555</v>
      </c>
      <c r="G7" s="38">
        <v>60195.38</v>
      </c>
      <c r="J7" t="s">
        <v>554</v>
      </c>
      <c r="K7" s="39">
        <v>34</v>
      </c>
    </row>
    <row r="8" spans="2:11" x14ac:dyDescent="0.3">
      <c r="B8" t="s">
        <v>556</v>
      </c>
      <c r="C8" s="38">
        <v>7660.0400000000009</v>
      </c>
      <c r="F8" s="37" t="s">
        <v>556</v>
      </c>
      <c r="G8" s="38">
        <v>110046.04</v>
      </c>
      <c r="I8" t="s">
        <v>556</v>
      </c>
      <c r="J8" t="s">
        <v>35</v>
      </c>
      <c r="K8" s="39">
        <v>72</v>
      </c>
    </row>
    <row r="9" spans="2:11" x14ac:dyDescent="0.3">
      <c r="B9" s="40" t="s">
        <v>223</v>
      </c>
      <c r="C9" s="59">
        <v>9587.84</v>
      </c>
      <c r="F9" s="41" t="s">
        <v>223</v>
      </c>
      <c r="G9" s="59">
        <v>327224.46000000002</v>
      </c>
      <c r="J9" t="s">
        <v>554</v>
      </c>
      <c r="K9" s="39">
        <v>244</v>
      </c>
    </row>
    <row r="10" spans="2:11" x14ac:dyDescent="0.3">
      <c r="I10" s="40" t="s">
        <v>223</v>
      </c>
      <c r="J10" s="40"/>
      <c r="K10" s="42">
        <v>1488</v>
      </c>
    </row>
    <row r="12" spans="2:11" hidden="1" x14ac:dyDescent="0.3"/>
    <row r="13" spans="2:11" hidden="1" x14ac:dyDescent="0.3"/>
    <row r="14" spans="2:11" hidden="1" x14ac:dyDescent="0.3"/>
    <row r="15" spans="2:11" hidden="1" x14ac:dyDescent="0.3"/>
    <row r="16" spans="2:11"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row r="35" hidden="1" x14ac:dyDescent="0.3"/>
    <row r="36" hidden="1" x14ac:dyDescent="0.3"/>
    <row r="37" hidden="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spans="6:8" hidden="1" x14ac:dyDescent="0.3"/>
    <row r="178" spans="6:8" hidden="1" x14ac:dyDescent="0.3"/>
    <row r="179" spans="6:8" hidden="1" x14ac:dyDescent="0.3"/>
    <row r="180" spans="6:8" hidden="1" x14ac:dyDescent="0.3"/>
    <row r="181" spans="6:8" hidden="1" x14ac:dyDescent="0.3"/>
    <row r="182" spans="6:8" hidden="1" x14ac:dyDescent="0.3"/>
    <row r="183" spans="6:8" hidden="1" x14ac:dyDescent="0.3"/>
    <row r="184" spans="6:8" hidden="1" x14ac:dyDescent="0.3"/>
    <row r="185" spans="6:8" hidden="1" x14ac:dyDescent="0.3"/>
    <row r="186" spans="6:8" hidden="1" x14ac:dyDescent="0.3"/>
    <row r="187" spans="6:8" hidden="1" x14ac:dyDescent="0.3"/>
    <row r="188" spans="6:8" hidden="1" x14ac:dyDescent="0.3"/>
    <row r="189" spans="6:8" hidden="1" x14ac:dyDescent="0.3"/>
    <row r="190" spans="6:8" hidden="1" x14ac:dyDescent="0.3"/>
    <row r="192" spans="6:8" x14ac:dyDescent="0.3">
      <c r="F192" s="415" t="s">
        <v>557</v>
      </c>
      <c r="G192" s="394"/>
      <c r="H192" s="394"/>
    </row>
    <row r="193" spans="2:12" x14ac:dyDescent="0.3">
      <c r="B193" s="415" t="s">
        <v>558</v>
      </c>
      <c r="C193" s="394"/>
      <c r="D193" s="394"/>
    </row>
    <row r="194" spans="2:12" x14ac:dyDescent="0.3">
      <c r="B194" s="40" t="s">
        <v>550</v>
      </c>
      <c r="C194" s="40" t="s">
        <v>4</v>
      </c>
      <c r="D194" s="60" t="s">
        <v>559</v>
      </c>
      <c r="F194" s="36" t="s">
        <v>260</v>
      </c>
      <c r="G194" t="s">
        <v>211</v>
      </c>
      <c r="H194" s="67" t="s">
        <v>560</v>
      </c>
    </row>
    <row r="195" spans="2:12" x14ac:dyDescent="0.3">
      <c r="B195" t="s">
        <v>551</v>
      </c>
      <c r="C195" t="s">
        <v>102</v>
      </c>
      <c r="D195" s="38">
        <v>258.60000000000002</v>
      </c>
    </row>
    <row r="196" spans="2:12" x14ac:dyDescent="0.3">
      <c r="C196" t="s">
        <v>40</v>
      </c>
      <c r="D196" s="38">
        <v>1472.9</v>
      </c>
      <c r="F196" s="36" t="s">
        <v>3</v>
      </c>
      <c r="G196" s="36" t="s">
        <v>212</v>
      </c>
      <c r="H196" s="36" t="s">
        <v>4</v>
      </c>
      <c r="I196" t="s">
        <v>561</v>
      </c>
      <c r="J196" t="s">
        <v>562</v>
      </c>
      <c r="K196" t="s">
        <v>563</v>
      </c>
      <c r="L196" t="s">
        <v>564</v>
      </c>
    </row>
    <row r="197" spans="2:12" x14ac:dyDescent="0.3">
      <c r="C197" t="s">
        <v>565</v>
      </c>
      <c r="D197" s="38">
        <v>641.61</v>
      </c>
      <c r="F197" t="s">
        <v>317</v>
      </c>
      <c r="G197" t="s">
        <v>22</v>
      </c>
      <c r="H197" t="s">
        <v>318</v>
      </c>
      <c r="I197" s="77">
        <v>1</v>
      </c>
      <c r="J197" s="65">
        <v>63200</v>
      </c>
      <c r="K197" s="65">
        <v>0</v>
      </c>
      <c r="L197" s="66">
        <v>316</v>
      </c>
    </row>
    <row r="198" spans="2:12" x14ac:dyDescent="0.3">
      <c r="C198" t="s">
        <v>35</v>
      </c>
      <c r="D198" s="38">
        <v>71280</v>
      </c>
      <c r="F198" t="s">
        <v>265</v>
      </c>
      <c r="G198" t="s">
        <v>44</v>
      </c>
      <c r="H198" t="s">
        <v>47</v>
      </c>
      <c r="I198" s="77">
        <v>1</v>
      </c>
      <c r="J198" s="65">
        <v>51300</v>
      </c>
      <c r="K198" s="65">
        <v>1734</v>
      </c>
      <c r="L198" s="66">
        <v>270</v>
      </c>
    </row>
    <row r="199" spans="2:12" x14ac:dyDescent="0.3">
      <c r="C199" t="s">
        <v>24</v>
      </c>
      <c r="D199" s="38">
        <v>53238.25</v>
      </c>
      <c r="F199" t="s">
        <v>350</v>
      </c>
      <c r="G199" t="s">
        <v>31</v>
      </c>
      <c r="H199" t="s">
        <v>63</v>
      </c>
      <c r="I199" s="77">
        <v>1</v>
      </c>
      <c r="J199" s="65">
        <v>3360</v>
      </c>
      <c r="K199" s="65">
        <v>196.42</v>
      </c>
      <c r="L199" s="66">
        <v>16</v>
      </c>
    </row>
    <row r="200" spans="2:12" x14ac:dyDescent="0.3">
      <c r="C200" t="s">
        <v>54</v>
      </c>
      <c r="D200" s="38">
        <v>30091.68</v>
      </c>
      <c r="F200" t="s">
        <v>280</v>
      </c>
      <c r="G200" t="s">
        <v>44</v>
      </c>
      <c r="H200" t="s">
        <v>63</v>
      </c>
      <c r="I200" s="77">
        <v>1</v>
      </c>
      <c r="J200" s="65">
        <v>7200</v>
      </c>
      <c r="K200" s="65">
        <v>1964.2</v>
      </c>
      <c r="L200" s="66">
        <v>8</v>
      </c>
    </row>
    <row r="201" spans="2:12" x14ac:dyDescent="0.3">
      <c r="B201" t="s">
        <v>555</v>
      </c>
      <c r="C201" t="s">
        <v>40</v>
      </c>
      <c r="D201" s="38">
        <v>17948.36</v>
      </c>
      <c r="F201" t="s">
        <v>281</v>
      </c>
      <c r="G201" t="s">
        <v>44</v>
      </c>
      <c r="H201" t="s">
        <v>53</v>
      </c>
      <c r="I201" s="77">
        <v>1</v>
      </c>
      <c r="J201" s="65">
        <v>1600</v>
      </c>
      <c r="K201" s="65">
        <v>5242</v>
      </c>
      <c r="L201" s="66">
        <v>16</v>
      </c>
    </row>
    <row r="202" spans="2:12" x14ac:dyDescent="0.3">
      <c r="C202" t="s">
        <v>566</v>
      </c>
      <c r="D202" s="38">
        <v>356.4</v>
      </c>
      <c r="F202" t="s">
        <v>279</v>
      </c>
      <c r="G202" t="s">
        <v>44</v>
      </c>
      <c r="H202" t="s">
        <v>47</v>
      </c>
      <c r="I202" s="77">
        <v>1</v>
      </c>
      <c r="J202" s="65">
        <v>72000</v>
      </c>
      <c r="K202" s="65">
        <v>4215</v>
      </c>
      <c r="L202" s="66">
        <v>360</v>
      </c>
    </row>
    <row r="203" spans="2:12" x14ac:dyDescent="0.3">
      <c r="C203" t="s">
        <v>35</v>
      </c>
      <c r="D203" s="38">
        <v>38347.5</v>
      </c>
      <c r="F203" t="s">
        <v>283</v>
      </c>
      <c r="G203" t="s">
        <v>44</v>
      </c>
      <c r="H203" t="s">
        <v>284</v>
      </c>
      <c r="I203" s="77">
        <v>1</v>
      </c>
      <c r="J203" s="65">
        <v>3392</v>
      </c>
      <c r="K203" s="65">
        <v>356.4</v>
      </c>
      <c r="L203" s="66">
        <v>16</v>
      </c>
    </row>
    <row r="204" spans="2:12" x14ac:dyDescent="0.3">
      <c r="C204" t="s">
        <v>24</v>
      </c>
      <c r="D204" s="38">
        <v>3258</v>
      </c>
      <c r="F204" t="s">
        <v>328</v>
      </c>
      <c r="G204" t="s">
        <v>31</v>
      </c>
      <c r="H204" t="s">
        <v>329</v>
      </c>
      <c r="I204" s="77">
        <v>1</v>
      </c>
      <c r="J204" s="65">
        <v>46200</v>
      </c>
      <c r="K204" s="65">
        <v>1460.47</v>
      </c>
      <c r="L204" s="66">
        <v>220</v>
      </c>
    </row>
    <row r="205" spans="2:12" x14ac:dyDescent="0.3">
      <c r="C205" t="s">
        <v>54</v>
      </c>
      <c r="D205" s="38">
        <v>285.12</v>
      </c>
      <c r="F205" t="s">
        <v>275</v>
      </c>
      <c r="G205" t="s">
        <v>44</v>
      </c>
      <c r="H205" t="s">
        <v>54</v>
      </c>
      <c r="I205" s="77">
        <v>1</v>
      </c>
      <c r="J205" s="65">
        <v>23584</v>
      </c>
      <c r="K205" s="65">
        <v>142.56</v>
      </c>
      <c r="L205" s="66">
        <v>124</v>
      </c>
    </row>
    <row r="206" spans="2:12" x14ac:dyDescent="0.3">
      <c r="B206" t="s">
        <v>556</v>
      </c>
      <c r="C206" t="s">
        <v>69</v>
      </c>
      <c r="D206" s="38">
        <v>24800</v>
      </c>
      <c r="F206" t="s">
        <v>341</v>
      </c>
      <c r="G206" t="s">
        <v>31</v>
      </c>
      <c r="H206" t="s">
        <v>342</v>
      </c>
      <c r="I206" s="77">
        <v>1</v>
      </c>
      <c r="J206" s="65">
        <v>16200</v>
      </c>
      <c r="K206" s="65">
        <v>712.8</v>
      </c>
      <c r="L206" s="66">
        <v>80</v>
      </c>
    </row>
    <row r="207" spans="2:12" x14ac:dyDescent="0.3">
      <c r="C207" t="s">
        <v>40</v>
      </c>
      <c r="D207" s="38">
        <v>18000</v>
      </c>
      <c r="F207" t="s">
        <v>302</v>
      </c>
      <c r="G207" t="s">
        <v>22</v>
      </c>
      <c r="H207" t="s">
        <v>63</v>
      </c>
      <c r="I207" s="77">
        <v>1</v>
      </c>
      <c r="J207" s="65">
        <v>16000</v>
      </c>
      <c r="K207" s="65">
        <v>5880</v>
      </c>
      <c r="L207" s="66">
        <v>80</v>
      </c>
    </row>
    <row r="208" spans="2:12" x14ac:dyDescent="0.3">
      <c r="C208" t="s">
        <v>348</v>
      </c>
      <c r="D208" s="38">
        <v>689.04</v>
      </c>
      <c r="F208" t="s">
        <v>296</v>
      </c>
      <c r="G208" t="s">
        <v>22</v>
      </c>
      <c r="H208" t="s">
        <v>63</v>
      </c>
      <c r="I208" s="77">
        <v>1</v>
      </c>
      <c r="J208" s="65">
        <v>16000</v>
      </c>
      <c r="K208" s="65">
        <v>1558</v>
      </c>
      <c r="L208" s="66">
        <v>80</v>
      </c>
    </row>
    <row r="209" spans="2:12" x14ac:dyDescent="0.3">
      <c r="C209" t="s">
        <v>47</v>
      </c>
      <c r="D209" s="38">
        <v>48054.400000000001</v>
      </c>
      <c r="F209" t="s">
        <v>315</v>
      </c>
      <c r="G209" t="s">
        <v>22</v>
      </c>
      <c r="H209" t="s">
        <v>316</v>
      </c>
      <c r="I209" s="77">
        <v>1</v>
      </c>
      <c r="J209" s="65">
        <v>0</v>
      </c>
      <c r="K209" s="65">
        <v>66</v>
      </c>
      <c r="L209" s="66">
        <v>0</v>
      </c>
    </row>
    <row r="210" spans="2:12" x14ac:dyDescent="0.3">
      <c r="C210" t="s">
        <v>567</v>
      </c>
      <c r="D210" s="38">
        <v>3461.88</v>
      </c>
      <c r="F210" t="s">
        <v>272</v>
      </c>
      <c r="G210" t="s">
        <v>44</v>
      </c>
      <c r="H210" t="s">
        <v>53</v>
      </c>
      <c r="I210" s="77">
        <v>1</v>
      </c>
      <c r="J210" s="65">
        <v>1600</v>
      </c>
      <c r="K210" s="65">
        <v>6846</v>
      </c>
      <c r="L210" s="66">
        <v>16</v>
      </c>
    </row>
    <row r="211" spans="2:12" x14ac:dyDescent="0.3">
      <c r="C211" t="s">
        <v>35</v>
      </c>
      <c r="D211" s="38">
        <v>4576</v>
      </c>
      <c r="F211" t="s">
        <v>271</v>
      </c>
      <c r="G211" t="s">
        <v>44</v>
      </c>
      <c r="H211" t="s">
        <v>47</v>
      </c>
      <c r="I211" s="77">
        <v>1</v>
      </c>
      <c r="J211" s="65">
        <v>118908</v>
      </c>
      <c r="K211" s="65">
        <v>13048</v>
      </c>
      <c r="L211" s="66">
        <v>540</v>
      </c>
    </row>
    <row r="212" spans="2:12" x14ac:dyDescent="0.3">
      <c r="C212" t="s">
        <v>24</v>
      </c>
      <c r="D212" s="38">
        <v>8754</v>
      </c>
      <c r="F212" t="s">
        <v>266</v>
      </c>
      <c r="G212" t="s">
        <v>44</v>
      </c>
      <c r="H212" t="s">
        <v>53</v>
      </c>
      <c r="I212" s="77">
        <v>1</v>
      </c>
      <c r="J212" s="65">
        <v>1600</v>
      </c>
      <c r="K212" s="65">
        <v>2568</v>
      </c>
      <c r="L212" s="66">
        <v>16</v>
      </c>
    </row>
    <row r="213" spans="2:12" x14ac:dyDescent="0.3">
      <c r="C213" t="s">
        <v>54</v>
      </c>
      <c r="D213" s="38">
        <v>1710.72</v>
      </c>
      <c r="F213" t="s">
        <v>322</v>
      </c>
      <c r="G213" t="s">
        <v>22</v>
      </c>
      <c r="H213" t="s">
        <v>63</v>
      </c>
      <c r="I213" s="77">
        <v>1</v>
      </c>
      <c r="J213" s="65">
        <v>16000</v>
      </c>
      <c r="K213" s="65">
        <v>18330</v>
      </c>
      <c r="L213" s="66">
        <v>80</v>
      </c>
    </row>
    <row r="214" spans="2:12" x14ac:dyDescent="0.3">
      <c r="B214" s="40" t="s">
        <v>223</v>
      </c>
      <c r="C214" s="40"/>
      <c r="D214" s="59">
        <v>327224.46000000002</v>
      </c>
      <c r="F214" t="s">
        <v>351</v>
      </c>
      <c r="G214" t="s">
        <v>31</v>
      </c>
      <c r="H214" t="s">
        <v>352</v>
      </c>
      <c r="I214" s="77">
        <v>1</v>
      </c>
      <c r="J214" s="65">
        <v>5040</v>
      </c>
      <c r="K214" s="65">
        <v>1140.48</v>
      </c>
      <c r="L214" s="66">
        <v>24</v>
      </c>
    </row>
    <row r="215" spans="2:12" x14ac:dyDescent="0.3">
      <c r="F215" t="s">
        <v>268</v>
      </c>
      <c r="G215" t="s">
        <v>44</v>
      </c>
      <c r="H215" t="s">
        <v>53</v>
      </c>
      <c r="I215" s="77">
        <v>1</v>
      </c>
      <c r="J215" s="65">
        <v>1600</v>
      </c>
      <c r="K215" s="65">
        <v>3356</v>
      </c>
      <c r="L215" s="66">
        <v>16</v>
      </c>
    </row>
    <row r="216" spans="2:12" x14ac:dyDescent="0.3">
      <c r="F216" t="s">
        <v>267</v>
      </c>
      <c r="G216" t="s">
        <v>44</v>
      </c>
      <c r="H216" t="s">
        <v>47</v>
      </c>
      <c r="I216" s="77">
        <v>1</v>
      </c>
      <c r="J216" s="65">
        <v>81786</v>
      </c>
      <c r="K216" s="65">
        <v>7965</v>
      </c>
      <c r="L216" s="66">
        <v>430</v>
      </c>
    </row>
    <row r="217" spans="2:12" x14ac:dyDescent="0.3">
      <c r="F217" t="s">
        <v>261</v>
      </c>
      <c r="G217" t="s">
        <v>44</v>
      </c>
      <c r="H217" t="s">
        <v>63</v>
      </c>
      <c r="I217" s="77">
        <v>1</v>
      </c>
      <c r="J217" s="65">
        <v>33920</v>
      </c>
      <c r="K217" s="65">
        <v>3768</v>
      </c>
      <c r="L217" s="66">
        <v>160</v>
      </c>
    </row>
    <row r="218" spans="2:12" x14ac:dyDescent="0.3">
      <c r="F218" t="s">
        <v>269</v>
      </c>
      <c r="G218" t="s">
        <v>44</v>
      </c>
      <c r="H218" t="s">
        <v>270</v>
      </c>
      <c r="I218" s="77">
        <v>1</v>
      </c>
      <c r="J218" s="65">
        <v>0</v>
      </c>
      <c r="K218" s="65">
        <v>356.4</v>
      </c>
      <c r="L218" s="66">
        <v>0</v>
      </c>
    </row>
    <row r="219" spans="2:12" x14ac:dyDescent="0.3">
      <c r="F219" t="s">
        <v>295</v>
      </c>
      <c r="G219" t="s">
        <v>22</v>
      </c>
      <c r="H219" t="s">
        <v>47</v>
      </c>
      <c r="I219" s="77">
        <v>1</v>
      </c>
      <c r="J219" s="65">
        <v>0</v>
      </c>
      <c r="K219" s="65">
        <v>0</v>
      </c>
      <c r="L219" s="66">
        <v>0</v>
      </c>
    </row>
    <row r="220" spans="2:12" x14ac:dyDescent="0.3">
      <c r="F220" t="s">
        <v>264</v>
      </c>
      <c r="G220" t="s">
        <v>44</v>
      </c>
      <c r="H220" t="s">
        <v>69</v>
      </c>
      <c r="I220" s="77">
        <v>1</v>
      </c>
      <c r="J220" s="65">
        <v>26200</v>
      </c>
      <c r="K220" s="65">
        <v>3000</v>
      </c>
      <c r="L220" s="66">
        <v>80</v>
      </c>
    </row>
    <row r="221" spans="2:12" x14ac:dyDescent="0.3">
      <c r="F221" t="s">
        <v>343</v>
      </c>
      <c r="G221" t="s">
        <v>31</v>
      </c>
      <c r="H221" t="s">
        <v>53</v>
      </c>
      <c r="I221" s="77">
        <v>1</v>
      </c>
      <c r="J221" s="65">
        <v>1600</v>
      </c>
      <c r="K221" s="65">
        <v>4718.3</v>
      </c>
      <c r="L221" s="66">
        <v>8</v>
      </c>
    </row>
    <row r="222" spans="2:12" x14ac:dyDescent="0.3">
      <c r="F222" t="s">
        <v>277</v>
      </c>
      <c r="G222" t="s">
        <v>44</v>
      </c>
      <c r="H222" t="s">
        <v>63</v>
      </c>
      <c r="I222" s="77">
        <v>1</v>
      </c>
      <c r="J222" s="65">
        <v>8000</v>
      </c>
      <c r="K222" s="65">
        <v>1964</v>
      </c>
      <c r="L222" s="66">
        <v>40</v>
      </c>
    </row>
    <row r="223" spans="2:12" x14ac:dyDescent="0.3">
      <c r="F223" t="s">
        <v>278</v>
      </c>
      <c r="G223" t="s">
        <v>44</v>
      </c>
      <c r="H223" t="s">
        <v>53</v>
      </c>
      <c r="I223" s="77">
        <v>1</v>
      </c>
      <c r="J223" s="65">
        <v>1600</v>
      </c>
      <c r="K223" s="65">
        <v>3442</v>
      </c>
      <c r="L223" s="66">
        <v>16</v>
      </c>
    </row>
    <row r="224" spans="2:12" x14ac:dyDescent="0.3">
      <c r="F224" t="s">
        <v>276</v>
      </c>
      <c r="G224" t="s">
        <v>44</v>
      </c>
      <c r="H224" t="s">
        <v>47</v>
      </c>
      <c r="I224" s="77">
        <v>1</v>
      </c>
      <c r="J224" s="65">
        <v>44000</v>
      </c>
      <c r="K224" s="65">
        <v>1378</v>
      </c>
      <c r="L224" s="66">
        <v>220</v>
      </c>
    </row>
    <row r="225" spans="6:12" x14ac:dyDescent="0.3">
      <c r="F225" t="s">
        <v>223</v>
      </c>
      <c r="I225" s="77">
        <v>28</v>
      </c>
      <c r="J225" s="65">
        <v>661890</v>
      </c>
      <c r="K225" s="65">
        <v>95408.03</v>
      </c>
      <c r="L225" s="66">
        <v>3232</v>
      </c>
    </row>
  </sheetData>
  <mergeCells count="4">
    <mergeCell ref="F2:G2"/>
    <mergeCell ref="B193:D193"/>
    <mergeCell ref="I2:K2"/>
    <mergeCell ref="F192:H192"/>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L547"/>
  <sheetViews>
    <sheetView showGridLines="0" workbookViewId="0">
      <selection activeCell="H546" sqref="H546"/>
    </sheetView>
  </sheetViews>
  <sheetFormatPr defaultRowHeight="14.4" x14ac:dyDescent="0.3"/>
  <cols>
    <col min="2" max="2" width="17.88671875" bestFit="1" customWidth="1"/>
    <col min="3" max="3" width="13" bestFit="1" customWidth="1"/>
    <col min="4" max="4" width="6.5546875" bestFit="1" customWidth="1"/>
    <col min="7" max="7" width="18.33203125" bestFit="1" customWidth="1"/>
    <col min="8" max="8" width="19.6640625" bestFit="1" customWidth="1"/>
    <col min="9" max="10" width="13.44140625" bestFit="1" customWidth="1"/>
    <col min="11" max="12" width="15.109375" bestFit="1" customWidth="1"/>
  </cols>
  <sheetData>
    <row r="3" spans="2:12" x14ac:dyDescent="0.3">
      <c r="B3" s="416" t="s">
        <v>568</v>
      </c>
      <c r="C3" s="394"/>
      <c r="D3" s="394"/>
      <c r="G3" s="416" t="s">
        <v>569</v>
      </c>
      <c r="H3" s="394"/>
      <c r="I3" s="394"/>
      <c r="J3" s="43"/>
      <c r="K3" s="43"/>
      <c r="L3" s="43"/>
    </row>
    <row r="4" spans="2:12" x14ac:dyDescent="0.3">
      <c r="B4" s="368" t="s">
        <v>215</v>
      </c>
      <c r="C4" s="368" t="s">
        <v>570</v>
      </c>
      <c r="D4" s="368" t="s">
        <v>571</v>
      </c>
      <c r="G4" s="373" t="s">
        <v>553</v>
      </c>
      <c r="H4" s="373" t="s">
        <v>572</v>
      </c>
      <c r="I4" s="373"/>
      <c r="J4" s="373"/>
      <c r="K4" s="373"/>
      <c r="L4" s="373"/>
    </row>
    <row r="5" spans="2:12" x14ac:dyDescent="0.3">
      <c r="B5" s="358" t="s">
        <v>41</v>
      </c>
      <c r="C5" s="369">
        <v>285492.63</v>
      </c>
      <c r="D5" s="360">
        <v>52</v>
      </c>
      <c r="G5" s="373" t="s">
        <v>215</v>
      </c>
      <c r="H5" s="373" t="s">
        <v>41</v>
      </c>
      <c r="I5" s="373" t="s">
        <v>35</v>
      </c>
      <c r="J5" s="373" t="s">
        <v>30</v>
      </c>
      <c r="K5" s="373" t="s">
        <v>554</v>
      </c>
      <c r="L5" s="373" t="s">
        <v>223</v>
      </c>
    </row>
    <row r="6" spans="2:12" x14ac:dyDescent="0.3">
      <c r="B6" s="358" t="s">
        <v>35</v>
      </c>
      <c r="C6" s="369">
        <v>326490.61</v>
      </c>
      <c r="D6" s="360">
        <v>2000</v>
      </c>
      <c r="G6" s="355" t="s">
        <v>44</v>
      </c>
      <c r="H6" s="367">
        <v>41390.26</v>
      </c>
      <c r="I6" s="367"/>
      <c r="J6" s="367">
        <v>106923.91</v>
      </c>
      <c r="K6" s="367">
        <v>1015377.1265</v>
      </c>
      <c r="L6" s="367">
        <v>1163691.2964999999</v>
      </c>
    </row>
    <row r="7" spans="2:12" x14ac:dyDescent="0.3">
      <c r="B7" s="358" t="s">
        <v>30</v>
      </c>
      <c r="C7" s="369">
        <v>186664.98</v>
      </c>
      <c r="D7" s="360">
        <v>1453</v>
      </c>
      <c r="G7" s="355" t="s">
        <v>22</v>
      </c>
      <c r="H7" s="367">
        <v>87602.08</v>
      </c>
      <c r="I7" s="367">
        <v>4576</v>
      </c>
      <c r="J7" s="367">
        <v>52414.979999999989</v>
      </c>
      <c r="K7" s="367">
        <v>468044</v>
      </c>
      <c r="L7" s="367">
        <v>612637.06000000006</v>
      </c>
    </row>
    <row r="8" spans="2:12" x14ac:dyDescent="0.3">
      <c r="B8" s="358" t="s">
        <v>554</v>
      </c>
      <c r="C8" s="369">
        <v>1965697.5865</v>
      </c>
      <c r="D8" s="360">
        <v>11106.02</v>
      </c>
      <c r="G8" s="355" t="s">
        <v>31</v>
      </c>
      <c r="H8" s="367">
        <v>156500.29</v>
      </c>
      <c r="I8" s="367">
        <v>321914.61</v>
      </c>
      <c r="J8" s="367">
        <v>27326.09</v>
      </c>
      <c r="K8" s="367">
        <v>482276.46000000008</v>
      </c>
      <c r="L8" s="367">
        <v>988017.45000000019</v>
      </c>
    </row>
    <row r="9" spans="2:12" x14ac:dyDescent="0.3">
      <c r="B9" s="370" t="s">
        <v>223</v>
      </c>
      <c r="C9" s="371">
        <v>2764345.806499999</v>
      </c>
      <c r="D9" s="372">
        <v>14611.02</v>
      </c>
      <c r="G9" s="374" t="s">
        <v>223</v>
      </c>
      <c r="H9" s="375">
        <v>285492.63</v>
      </c>
      <c r="I9" s="375">
        <v>326490.61</v>
      </c>
      <c r="J9" s="375">
        <v>186664.98</v>
      </c>
      <c r="K9" s="375">
        <v>1965697.5865</v>
      </c>
      <c r="L9" s="375">
        <v>2764345.8064999999</v>
      </c>
    </row>
    <row r="12" spans="2:12" hidden="1" x14ac:dyDescent="0.3"/>
    <row r="13" spans="2:12" hidden="1" x14ac:dyDescent="0.3"/>
    <row r="14" spans="2:12" hidden="1" x14ac:dyDescent="0.3"/>
    <row r="15" spans="2:12" hidden="1" x14ac:dyDescent="0.3"/>
    <row r="16" spans="2:12"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row r="35" hidden="1" x14ac:dyDescent="0.3"/>
    <row r="36" hidden="1" x14ac:dyDescent="0.3"/>
    <row r="37" hidden="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spans="2:7" hidden="1" x14ac:dyDescent="0.3"/>
    <row r="498" spans="2:7" hidden="1" x14ac:dyDescent="0.3"/>
    <row r="499" spans="2:7" hidden="1" x14ac:dyDescent="0.3"/>
    <row r="500" spans="2:7" hidden="1" x14ac:dyDescent="0.3"/>
    <row r="501" spans="2:7" hidden="1" x14ac:dyDescent="0.3"/>
    <row r="502" spans="2:7" hidden="1" x14ac:dyDescent="0.3"/>
    <row r="503" spans="2:7" hidden="1" x14ac:dyDescent="0.3"/>
    <row r="504" spans="2:7" hidden="1" x14ac:dyDescent="0.3"/>
    <row r="505" spans="2:7" hidden="1" x14ac:dyDescent="0.3"/>
    <row r="506" spans="2:7" hidden="1" x14ac:dyDescent="0.3"/>
    <row r="507" spans="2:7" hidden="1" x14ac:dyDescent="0.3"/>
    <row r="508" spans="2:7" hidden="1" x14ac:dyDescent="0.3"/>
    <row r="509" spans="2:7" hidden="1" x14ac:dyDescent="0.3"/>
    <row r="510" spans="2:7" hidden="1" x14ac:dyDescent="0.3"/>
    <row r="512" spans="2:7" x14ac:dyDescent="0.3">
      <c r="B512" s="46" t="s">
        <v>573</v>
      </c>
      <c r="C512" s="45"/>
      <c r="D512" s="45"/>
      <c r="G512" s="46" t="s">
        <v>574</v>
      </c>
    </row>
    <row r="513" spans="2:9" x14ac:dyDescent="0.3">
      <c r="B513" s="356" t="s">
        <v>5</v>
      </c>
      <c r="C513" s="357" t="s">
        <v>30</v>
      </c>
      <c r="D513" s="44"/>
      <c r="G513" s="356" t="s">
        <v>2</v>
      </c>
      <c r="H513" s="357" t="s">
        <v>31</v>
      </c>
    </row>
    <row r="514" spans="2:9" x14ac:dyDescent="0.3">
      <c r="B514" s="44"/>
      <c r="C514" s="44"/>
      <c r="D514" s="44"/>
      <c r="G514" s="356" t="s">
        <v>168</v>
      </c>
      <c r="H514" s="357" t="s">
        <v>211</v>
      </c>
      <c r="I514" s="44"/>
    </row>
    <row r="515" spans="2:9" x14ac:dyDescent="0.3">
      <c r="B515" s="364" t="s">
        <v>215</v>
      </c>
      <c r="C515" s="364" t="s">
        <v>571</v>
      </c>
      <c r="D515" s="44"/>
      <c r="G515" s="44"/>
      <c r="H515" s="44"/>
      <c r="I515" s="44"/>
    </row>
    <row r="516" spans="2:9" x14ac:dyDescent="0.3">
      <c r="B516" s="358" t="s">
        <v>63</v>
      </c>
      <c r="C516" s="360">
        <v>750</v>
      </c>
      <c r="D516" s="44"/>
      <c r="G516" s="356" t="s">
        <v>215</v>
      </c>
      <c r="H516" s="357" t="s">
        <v>158</v>
      </c>
      <c r="I516" s="357" t="s">
        <v>216</v>
      </c>
    </row>
    <row r="517" spans="2:9" x14ac:dyDescent="0.3">
      <c r="B517" s="358" t="s">
        <v>575</v>
      </c>
      <c r="C517" s="360">
        <v>233</v>
      </c>
      <c r="D517" s="44"/>
      <c r="G517" s="363" t="s">
        <v>237</v>
      </c>
      <c r="H517" s="361">
        <v>0.14790624999999999</v>
      </c>
      <c r="I517" s="362">
        <v>8</v>
      </c>
    </row>
    <row r="518" spans="2:9" x14ac:dyDescent="0.3">
      <c r="B518" s="358" t="s">
        <v>47</v>
      </c>
      <c r="C518" s="360">
        <v>212</v>
      </c>
      <c r="D518" s="44"/>
      <c r="G518" s="363" t="s">
        <v>234</v>
      </c>
      <c r="H518" s="361">
        <v>0.358848</v>
      </c>
      <c r="I518" s="362">
        <v>7.5</v>
      </c>
    </row>
    <row r="519" spans="2:9" x14ac:dyDescent="0.3">
      <c r="B519" s="358" t="s">
        <v>102</v>
      </c>
      <c r="C519" s="360">
        <v>88</v>
      </c>
      <c r="D519" s="44"/>
      <c r="G519" s="363" t="s">
        <v>230</v>
      </c>
      <c r="H519" s="361">
        <v>0.91789714285714286</v>
      </c>
      <c r="I519" s="362">
        <v>7</v>
      </c>
    </row>
    <row r="520" spans="2:9" x14ac:dyDescent="0.3">
      <c r="B520" s="358" t="s">
        <v>54</v>
      </c>
      <c r="C520" s="360">
        <v>42</v>
      </c>
      <c r="D520" s="44"/>
      <c r="G520" s="363" t="s">
        <v>226</v>
      </c>
      <c r="H520" s="361">
        <v>0.37133538461538462</v>
      </c>
      <c r="I520" s="362">
        <v>6.5</v>
      </c>
    </row>
    <row r="521" spans="2:9" x14ac:dyDescent="0.3">
      <c r="B521" s="358" t="s">
        <v>576</v>
      </c>
      <c r="C521" s="360">
        <v>40</v>
      </c>
      <c r="D521" s="44"/>
      <c r="G521" s="363" t="s">
        <v>220</v>
      </c>
      <c r="H521" s="361">
        <v>0.44970333333333329</v>
      </c>
      <c r="I521" s="362">
        <v>6</v>
      </c>
    </row>
    <row r="522" spans="2:9" x14ac:dyDescent="0.3">
      <c r="B522" s="358" t="s">
        <v>89</v>
      </c>
      <c r="C522" s="360">
        <v>16</v>
      </c>
      <c r="D522" s="44"/>
      <c r="G522" s="358" t="s">
        <v>223</v>
      </c>
      <c r="H522" s="359">
        <v>2.2456901108058611</v>
      </c>
      <c r="I522" s="360">
        <v>35</v>
      </c>
    </row>
    <row r="523" spans="2:9" x14ac:dyDescent="0.3">
      <c r="B523" s="358" t="s">
        <v>577</v>
      </c>
      <c r="C523" s="360">
        <v>15</v>
      </c>
      <c r="D523" s="44"/>
    </row>
    <row r="524" spans="2:9" x14ac:dyDescent="0.3">
      <c r="B524" s="358" t="s">
        <v>578</v>
      </c>
      <c r="C524" s="360">
        <v>8</v>
      </c>
      <c r="D524" s="44"/>
    </row>
    <row r="525" spans="2:9" x14ac:dyDescent="0.3">
      <c r="B525" s="358" t="s">
        <v>145</v>
      </c>
      <c r="C525" s="360">
        <v>5</v>
      </c>
      <c r="D525" s="44"/>
    </row>
    <row r="526" spans="2:9" x14ac:dyDescent="0.3">
      <c r="B526" s="358" t="s">
        <v>566</v>
      </c>
      <c r="C526" s="360">
        <v>5</v>
      </c>
      <c r="D526" s="44"/>
    </row>
    <row r="527" spans="2:9" x14ac:dyDescent="0.3">
      <c r="B527" s="358" t="s">
        <v>579</v>
      </c>
      <c r="C527" s="360">
        <v>4</v>
      </c>
      <c r="D527" s="44"/>
    </row>
    <row r="528" spans="2:9" x14ac:dyDescent="0.3">
      <c r="B528" s="358" t="s">
        <v>52</v>
      </c>
      <c r="C528" s="360">
        <v>4</v>
      </c>
      <c r="D528" s="44"/>
    </row>
    <row r="529" spans="2:9" x14ac:dyDescent="0.3">
      <c r="B529" s="358" t="s">
        <v>348</v>
      </c>
      <c r="C529" s="360">
        <v>4</v>
      </c>
      <c r="D529" s="44"/>
    </row>
    <row r="530" spans="2:9" x14ac:dyDescent="0.3">
      <c r="B530" s="358" t="s">
        <v>580</v>
      </c>
      <c r="C530" s="360">
        <v>3</v>
      </c>
      <c r="D530" s="44"/>
    </row>
    <row r="531" spans="2:9" x14ac:dyDescent="0.3">
      <c r="B531" s="358" t="s">
        <v>581</v>
      </c>
      <c r="C531" s="360">
        <v>3</v>
      </c>
      <c r="D531" s="44"/>
    </row>
    <row r="532" spans="2:9" x14ac:dyDescent="0.3">
      <c r="B532" s="358" t="s">
        <v>71</v>
      </c>
      <c r="C532" s="360">
        <v>2</v>
      </c>
      <c r="D532" s="44"/>
    </row>
    <row r="533" spans="2:9" x14ac:dyDescent="0.3">
      <c r="B533" s="358" t="s">
        <v>567</v>
      </c>
      <c r="C533" s="360">
        <v>2</v>
      </c>
      <c r="D533" s="44"/>
    </row>
    <row r="534" spans="2:9" x14ac:dyDescent="0.3">
      <c r="B534" s="358" t="s">
        <v>69</v>
      </c>
      <c r="C534" s="360">
        <v>2</v>
      </c>
      <c r="D534" s="44"/>
      <c r="G534" s="36" t="s">
        <v>168</v>
      </c>
      <c r="H534" t="s">
        <v>211</v>
      </c>
    </row>
    <row r="535" spans="2:9" x14ac:dyDescent="0.3">
      <c r="B535" s="358" t="s">
        <v>582</v>
      </c>
      <c r="C535" s="360">
        <v>2</v>
      </c>
      <c r="D535" s="44"/>
      <c r="G535" s="36" t="s">
        <v>2</v>
      </c>
      <c r="H535" t="s">
        <v>213</v>
      </c>
    </row>
    <row r="536" spans="2:9" x14ac:dyDescent="0.3">
      <c r="B536" s="358" t="s">
        <v>583</v>
      </c>
      <c r="C536" s="360">
        <v>2</v>
      </c>
      <c r="D536" s="44"/>
    </row>
    <row r="537" spans="2:9" x14ac:dyDescent="0.3">
      <c r="B537" s="358" t="s">
        <v>584</v>
      </c>
      <c r="C537" s="360">
        <v>2</v>
      </c>
      <c r="D537" s="44"/>
      <c r="G537" s="36" t="s">
        <v>215</v>
      </c>
      <c r="H537" t="s">
        <v>158</v>
      </c>
      <c r="I537" t="s">
        <v>216</v>
      </c>
    </row>
    <row r="538" spans="2:9" x14ac:dyDescent="0.3">
      <c r="B538" s="358" t="s">
        <v>585</v>
      </c>
      <c r="C538" s="360">
        <v>1</v>
      </c>
      <c r="D538" s="44"/>
      <c r="G538" s="37" t="s">
        <v>220</v>
      </c>
      <c r="H538" s="239">
        <v>0.6733253846153846</v>
      </c>
      <c r="I538" s="236">
        <v>78</v>
      </c>
    </row>
    <row r="539" spans="2:9" x14ac:dyDescent="0.3">
      <c r="B539" s="358" t="s">
        <v>586</v>
      </c>
      <c r="C539" s="360">
        <v>1</v>
      </c>
      <c r="D539" s="44"/>
      <c r="G539" s="37" t="s">
        <v>226</v>
      </c>
      <c r="H539" s="239">
        <v>2.7055294339622642</v>
      </c>
      <c r="I539" s="236">
        <v>79.5</v>
      </c>
    </row>
    <row r="540" spans="2:9" x14ac:dyDescent="0.3">
      <c r="B540" s="358" t="s">
        <v>587</v>
      </c>
      <c r="C540" s="360">
        <v>1</v>
      </c>
      <c r="D540" s="44"/>
      <c r="G540" s="37" t="s">
        <v>230</v>
      </c>
      <c r="H540" s="239">
        <v>0.85241407407407399</v>
      </c>
      <c r="I540" s="236">
        <v>81</v>
      </c>
    </row>
    <row r="541" spans="2:9" x14ac:dyDescent="0.3">
      <c r="B541" s="358" t="s">
        <v>588</v>
      </c>
      <c r="C541" s="360">
        <v>1</v>
      </c>
      <c r="D541" s="44"/>
      <c r="G541" s="37" t="s">
        <v>234</v>
      </c>
      <c r="H541" s="239">
        <v>0.56714945454545451</v>
      </c>
      <c r="I541" s="236">
        <v>82.5</v>
      </c>
    </row>
    <row r="542" spans="2:9" x14ac:dyDescent="0.3">
      <c r="B542" s="358" t="s">
        <v>345</v>
      </c>
      <c r="C542" s="360">
        <v>1</v>
      </c>
      <c r="D542" s="44"/>
      <c r="G542" s="37" t="s">
        <v>237</v>
      </c>
      <c r="H542" s="239">
        <v>0.27155794117647059</v>
      </c>
      <c r="I542" s="236">
        <v>136</v>
      </c>
    </row>
    <row r="543" spans="2:9" x14ac:dyDescent="0.3">
      <c r="B543" s="358" t="s">
        <v>589</v>
      </c>
      <c r="C543" s="360">
        <v>1</v>
      </c>
      <c r="D543" s="44"/>
      <c r="G543" s="37" t="s">
        <v>223</v>
      </c>
      <c r="H543" s="239">
        <v>5.0699762883736481</v>
      </c>
      <c r="I543" s="236">
        <v>457</v>
      </c>
    </row>
    <row r="544" spans="2:9" x14ac:dyDescent="0.3">
      <c r="B544" s="358" t="s">
        <v>590</v>
      </c>
      <c r="C544" s="360">
        <v>1</v>
      </c>
      <c r="D544" s="44"/>
    </row>
    <row r="545" spans="2:4" x14ac:dyDescent="0.3">
      <c r="B545" s="358" t="s">
        <v>591</v>
      </c>
      <c r="C545" s="360">
        <v>1</v>
      </c>
      <c r="D545" s="44"/>
    </row>
    <row r="546" spans="2:4" x14ac:dyDescent="0.3">
      <c r="B546" s="358" t="s">
        <v>144</v>
      </c>
      <c r="C546" s="360">
        <v>1</v>
      </c>
      <c r="D546" s="44"/>
    </row>
    <row r="547" spans="2:4" x14ac:dyDescent="0.3">
      <c r="B547" s="366" t="s">
        <v>223</v>
      </c>
      <c r="C547" s="365">
        <v>1453</v>
      </c>
      <c r="D547" s="44"/>
    </row>
  </sheetData>
  <mergeCells count="2">
    <mergeCell ref="B3:D3"/>
    <mergeCell ref="G3:I3"/>
  </mergeCells>
  <pageMargins left="0.511811024" right="0.511811024" top="0.78740157499999996" bottom="0.78740157499999996" header="0.31496062000000002" footer="0.31496062000000002"/>
  <drawing r:id="rId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77"/>
  <sheetViews>
    <sheetView showGridLines="0" topLeftCell="A224" workbookViewId="0">
      <selection activeCell="D317" sqref="D317"/>
    </sheetView>
  </sheetViews>
  <sheetFormatPr defaultRowHeight="14.4" x14ac:dyDescent="0.3"/>
  <cols>
    <col min="1" max="1" width="13.5546875" style="31" customWidth="1"/>
    <col min="2" max="2" width="15.33203125" bestFit="1" customWidth="1"/>
    <col min="3" max="3" width="20.33203125" bestFit="1" customWidth="1"/>
    <col min="4" max="4" width="32.5546875" bestFit="1" customWidth="1"/>
    <col min="5" max="5" width="29.33203125" style="32" customWidth="1"/>
    <col min="6" max="6" width="29.5546875" style="32" customWidth="1"/>
    <col min="7" max="7" width="17.6640625" customWidth="1"/>
    <col min="8" max="8" width="30.6640625" customWidth="1"/>
    <col min="9" max="9" width="20.109375" customWidth="1"/>
    <col min="10" max="11" width="22.5546875" customWidth="1"/>
    <col min="12" max="12" width="29.109375" customWidth="1"/>
    <col min="13" max="13" width="23.5546875" customWidth="1"/>
    <col min="14" max="14" width="24.109375" customWidth="1"/>
    <col min="15" max="15" width="18.5546875" customWidth="1"/>
    <col min="16" max="17" width="21.109375" customWidth="1"/>
    <col min="18" max="18" width="18.33203125" customWidth="1"/>
    <col min="19" max="19" width="18.109375" bestFit="1" customWidth="1"/>
    <col min="20" max="20" width="32.109375" bestFit="1" customWidth="1"/>
    <col min="21" max="21" width="13.44140625" bestFit="1" customWidth="1"/>
  </cols>
  <sheetData>
    <row r="1" spans="1:20" x14ac:dyDescent="0.3">
      <c r="A1" s="3" t="s">
        <v>0</v>
      </c>
      <c r="B1" s="4" t="s">
        <v>1</v>
      </c>
      <c r="C1" s="4" t="s">
        <v>2</v>
      </c>
      <c r="D1" s="4" t="s">
        <v>3</v>
      </c>
      <c r="E1" s="4" t="s">
        <v>4</v>
      </c>
      <c r="F1" s="4" t="s">
        <v>5</v>
      </c>
      <c r="G1" s="4" t="s">
        <v>6</v>
      </c>
      <c r="H1" s="5" t="s">
        <v>7</v>
      </c>
      <c r="I1" s="5" t="s">
        <v>8</v>
      </c>
      <c r="J1" s="5" t="s">
        <v>10</v>
      </c>
      <c r="K1" s="6" t="s">
        <v>11</v>
      </c>
      <c r="L1" s="5" t="s">
        <v>12</v>
      </c>
      <c r="M1" s="7" t="s">
        <v>13</v>
      </c>
      <c r="N1" s="7" t="s">
        <v>14</v>
      </c>
      <c r="O1" s="4" t="s">
        <v>15</v>
      </c>
      <c r="P1" s="8" t="s">
        <v>16</v>
      </c>
      <c r="Q1" s="4" t="s">
        <v>17</v>
      </c>
      <c r="R1" s="4" t="s">
        <v>18</v>
      </c>
      <c r="S1" s="4" t="s">
        <v>20</v>
      </c>
      <c r="T1" s="9" t="s">
        <v>21</v>
      </c>
    </row>
    <row r="2" spans="1:20" ht="16.2" customHeight="1" x14ac:dyDescent="0.3">
      <c r="A2" s="10">
        <v>45663</v>
      </c>
      <c r="B2" s="11">
        <v>117043</v>
      </c>
      <c r="C2" s="11" t="s">
        <v>44</v>
      </c>
      <c r="D2" s="11" t="s">
        <v>57</v>
      </c>
      <c r="E2" s="11" t="s">
        <v>584</v>
      </c>
      <c r="F2" s="11" t="s">
        <v>30</v>
      </c>
      <c r="G2" s="12">
        <v>1</v>
      </c>
      <c r="H2" s="13">
        <v>356.4</v>
      </c>
      <c r="I2" s="14">
        <f>G2*H2</f>
        <v>356.4</v>
      </c>
      <c r="J2" s="15">
        <v>1</v>
      </c>
      <c r="K2" s="15">
        <f t="shared" ref="K2:K22" si="0">J2*0.25</f>
        <v>0.25</v>
      </c>
      <c r="L2" s="14" t="s">
        <v>46</v>
      </c>
      <c r="M2" s="14">
        <f t="shared" ref="M2:M33" si="1">J2*I2</f>
        <v>356.4</v>
      </c>
      <c r="N2" s="14">
        <f t="shared" ref="N2:N27" si="2">I2*K2</f>
        <v>89.1</v>
      </c>
      <c r="O2" s="11" t="s">
        <v>27</v>
      </c>
      <c r="P2" s="11" t="s">
        <v>27</v>
      </c>
      <c r="Q2" s="11"/>
      <c r="R2" s="11">
        <v>1</v>
      </c>
      <c r="S2" s="11" t="s">
        <v>28</v>
      </c>
      <c r="T2" s="16" t="s">
        <v>44</v>
      </c>
    </row>
    <row r="3" spans="1:20" ht="16.2" customHeight="1" x14ac:dyDescent="0.3">
      <c r="A3" s="10">
        <v>45663</v>
      </c>
      <c r="B3" s="11">
        <v>117002</v>
      </c>
      <c r="C3" s="11" t="s">
        <v>44</v>
      </c>
      <c r="D3" s="11" t="s">
        <v>592</v>
      </c>
      <c r="E3" s="11" t="s">
        <v>47</v>
      </c>
      <c r="F3" s="11" t="s">
        <v>554</v>
      </c>
      <c r="G3" s="12">
        <v>224</v>
      </c>
      <c r="H3" s="13">
        <v>172.88</v>
      </c>
      <c r="I3" s="14">
        <f t="shared" ref="I3:I9" si="3">(G3*H3)</f>
        <v>38725.119999999995</v>
      </c>
      <c r="J3" s="15">
        <v>0.05</v>
      </c>
      <c r="K3" s="15">
        <f t="shared" si="0"/>
        <v>1.2500000000000001E-2</v>
      </c>
      <c r="L3" s="14" t="s">
        <v>46</v>
      </c>
      <c r="M3" s="14">
        <f t="shared" si="1"/>
        <v>1936.2559999999999</v>
      </c>
      <c r="N3" s="14">
        <f t="shared" si="2"/>
        <v>484.06399999999996</v>
      </c>
      <c r="O3" s="11" t="s">
        <v>27</v>
      </c>
      <c r="P3" s="11" t="s">
        <v>27</v>
      </c>
      <c r="Q3" s="11"/>
      <c r="R3" s="11">
        <v>10</v>
      </c>
      <c r="S3" s="11" t="s">
        <v>28</v>
      </c>
      <c r="T3" s="16" t="s">
        <v>44</v>
      </c>
    </row>
    <row r="4" spans="1:20" ht="16.2" customHeight="1" x14ac:dyDescent="0.3">
      <c r="A4" s="10">
        <v>45663</v>
      </c>
      <c r="B4" s="11">
        <v>117002</v>
      </c>
      <c r="C4" s="11" t="s">
        <v>44</v>
      </c>
      <c r="D4" s="11" t="s">
        <v>592</v>
      </c>
      <c r="E4" s="11" t="s">
        <v>63</v>
      </c>
      <c r="F4" s="11" t="s">
        <v>554</v>
      </c>
      <c r="G4" s="12">
        <v>50</v>
      </c>
      <c r="H4" s="13">
        <v>172.88</v>
      </c>
      <c r="I4" s="14">
        <f t="shared" si="3"/>
        <v>8644</v>
      </c>
      <c r="J4" s="15">
        <v>0.05</v>
      </c>
      <c r="K4" s="15">
        <f t="shared" si="0"/>
        <v>1.2500000000000001E-2</v>
      </c>
      <c r="L4" s="14" t="s">
        <v>46</v>
      </c>
      <c r="M4" s="14">
        <f t="shared" si="1"/>
        <v>432.20000000000005</v>
      </c>
      <c r="N4" s="14">
        <f t="shared" si="2"/>
        <v>108.05000000000001</v>
      </c>
      <c r="O4" s="11" t="s">
        <v>27</v>
      </c>
      <c r="P4" s="11" t="s">
        <v>27</v>
      </c>
      <c r="Q4" s="11"/>
      <c r="R4" s="11">
        <v>10</v>
      </c>
      <c r="S4" s="11" t="s">
        <v>28</v>
      </c>
      <c r="T4" s="16" t="s">
        <v>44</v>
      </c>
    </row>
    <row r="5" spans="1:20" ht="16.2" customHeight="1" x14ac:dyDescent="0.3">
      <c r="A5" s="10">
        <v>45663</v>
      </c>
      <c r="B5" s="11">
        <v>117002</v>
      </c>
      <c r="C5" s="11" t="s">
        <v>44</v>
      </c>
      <c r="D5" s="11" t="s">
        <v>592</v>
      </c>
      <c r="E5" s="11" t="s">
        <v>47</v>
      </c>
      <c r="F5" s="11" t="s">
        <v>30</v>
      </c>
      <c r="G5" s="12">
        <v>3</v>
      </c>
      <c r="H5" s="13">
        <v>275.62</v>
      </c>
      <c r="I5" s="14">
        <f t="shared" si="3"/>
        <v>826.86</v>
      </c>
      <c r="J5" s="15">
        <v>1</v>
      </c>
      <c r="K5" s="15">
        <f t="shared" si="0"/>
        <v>0.25</v>
      </c>
      <c r="L5" s="14" t="s">
        <v>46</v>
      </c>
      <c r="M5" s="14">
        <f t="shared" si="1"/>
        <v>826.86</v>
      </c>
      <c r="N5" s="14">
        <f t="shared" si="2"/>
        <v>206.715</v>
      </c>
      <c r="O5" s="11" t="s">
        <v>27</v>
      </c>
      <c r="P5" s="11" t="s">
        <v>27</v>
      </c>
      <c r="Q5" s="11"/>
      <c r="R5" s="11">
        <v>1</v>
      </c>
      <c r="S5" s="11" t="s">
        <v>28</v>
      </c>
      <c r="T5" s="16" t="s">
        <v>44</v>
      </c>
    </row>
    <row r="6" spans="1:20" ht="16.2" customHeight="1" x14ac:dyDescent="0.3">
      <c r="A6" s="10">
        <v>45663</v>
      </c>
      <c r="B6" s="11">
        <v>117002</v>
      </c>
      <c r="C6" s="11" t="s">
        <v>44</v>
      </c>
      <c r="D6" s="11" t="s">
        <v>592</v>
      </c>
      <c r="E6" s="11" t="s">
        <v>63</v>
      </c>
      <c r="F6" s="11" t="s">
        <v>30</v>
      </c>
      <c r="G6" s="12">
        <v>2</v>
      </c>
      <c r="H6" s="13">
        <v>78.2</v>
      </c>
      <c r="I6" s="14">
        <f t="shared" si="3"/>
        <v>156.4</v>
      </c>
      <c r="J6" s="15">
        <v>1</v>
      </c>
      <c r="K6" s="15">
        <f t="shared" si="0"/>
        <v>0.25</v>
      </c>
      <c r="L6" s="14" t="s">
        <v>46</v>
      </c>
      <c r="M6" s="14">
        <f t="shared" si="1"/>
        <v>156.4</v>
      </c>
      <c r="N6" s="14">
        <f t="shared" si="2"/>
        <v>39.1</v>
      </c>
      <c r="O6" s="11" t="s">
        <v>27</v>
      </c>
      <c r="P6" s="11" t="s">
        <v>27</v>
      </c>
      <c r="Q6" s="11"/>
      <c r="R6" s="11">
        <v>1</v>
      </c>
      <c r="S6" s="11" t="s">
        <v>28</v>
      </c>
      <c r="T6" s="16" t="s">
        <v>44</v>
      </c>
    </row>
    <row r="7" spans="1:20" ht="16.2" customHeight="1" x14ac:dyDescent="0.3">
      <c r="A7" s="10">
        <v>45663</v>
      </c>
      <c r="B7" s="11">
        <v>117007</v>
      </c>
      <c r="C7" s="11" t="s">
        <v>44</v>
      </c>
      <c r="D7" s="11" t="s">
        <v>592</v>
      </c>
      <c r="E7" s="11" t="s">
        <v>102</v>
      </c>
      <c r="F7" s="11" t="s">
        <v>41</v>
      </c>
      <c r="G7" s="12">
        <v>1</v>
      </c>
      <c r="H7" s="13">
        <v>1600</v>
      </c>
      <c r="I7" s="14">
        <f t="shared" si="3"/>
        <v>1600</v>
      </c>
      <c r="J7" s="15">
        <v>7.0000000000000007E-2</v>
      </c>
      <c r="K7" s="15">
        <f t="shared" si="0"/>
        <v>1.7500000000000002E-2</v>
      </c>
      <c r="L7" s="14" t="s">
        <v>46</v>
      </c>
      <c r="M7" s="14">
        <f t="shared" si="1"/>
        <v>112.00000000000001</v>
      </c>
      <c r="N7" s="14">
        <f t="shared" si="2"/>
        <v>28.000000000000004</v>
      </c>
      <c r="O7" s="11" t="s">
        <v>27</v>
      </c>
      <c r="P7" s="11" t="s">
        <v>27</v>
      </c>
      <c r="Q7" s="11"/>
      <c r="R7" s="11">
        <v>4</v>
      </c>
      <c r="S7" s="11" t="s">
        <v>28</v>
      </c>
      <c r="T7" s="16" t="s">
        <v>44</v>
      </c>
    </row>
    <row r="8" spans="1:20" ht="16.2" customHeight="1" x14ac:dyDescent="0.3">
      <c r="A8" s="10">
        <v>45663</v>
      </c>
      <c r="B8" s="11">
        <v>117007</v>
      </c>
      <c r="C8" s="11" t="s">
        <v>44</v>
      </c>
      <c r="D8" s="11" t="s">
        <v>592</v>
      </c>
      <c r="E8" s="11" t="s">
        <v>102</v>
      </c>
      <c r="F8" s="11" t="s">
        <v>30</v>
      </c>
      <c r="G8" s="12">
        <v>1</v>
      </c>
      <c r="H8" s="13">
        <v>1324.26</v>
      </c>
      <c r="I8" s="14">
        <f t="shared" si="3"/>
        <v>1324.26</v>
      </c>
      <c r="J8" s="15">
        <v>1</v>
      </c>
      <c r="K8" s="15">
        <f t="shared" si="0"/>
        <v>0.25</v>
      </c>
      <c r="L8" s="14" t="s">
        <v>46</v>
      </c>
      <c r="M8" s="14">
        <f t="shared" si="1"/>
        <v>1324.26</v>
      </c>
      <c r="N8" s="14">
        <f t="shared" si="2"/>
        <v>331.065</v>
      </c>
      <c r="O8" s="11" t="s">
        <v>27</v>
      </c>
      <c r="P8" s="11" t="s">
        <v>27</v>
      </c>
      <c r="Q8" s="11"/>
      <c r="R8" s="11">
        <v>1</v>
      </c>
      <c r="S8" s="11" t="s">
        <v>28</v>
      </c>
      <c r="T8" s="16" t="s">
        <v>44</v>
      </c>
    </row>
    <row r="9" spans="1:20" ht="16.2" customHeight="1" x14ac:dyDescent="0.3">
      <c r="A9" s="10">
        <v>45663</v>
      </c>
      <c r="B9" s="11">
        <v>117007</v>
      </c>
      <c r="C9" s="11" t="s">
        <v>44</v>
      </c>
      <c r="D9" s="11" t="s">
        <v>592</v>
      </c>
      <c r="E9" s="11" t="s">
        <v>102</v>
      </c>
      <c r="F9" s="11" t="s">
        <v>30</v>
      </c>
      <c r="G9" s="12">
        <v>3</v>
      </c>
      <c r="H9" s="13">
        <v>84</v>
      </c>
      <c r="I9" s="14">
        <f t="shared" si="3"/>
        <v>252</v>
      </c>
      <c r="J9" s="15">
        <v>1</v>
      </c>
      <c r="K9" s="15">
        <f t="shared" si="0"/>
        <v>0.25</v>
      </c>
      <c r="L9" s="14" t="s">
        <v>46</v>
      </c>
      <c r="M9" s="14">
        <f t="shared" si="1"/>
        <v>252</v>
      </c>
      <c r="N9" s="14">
        <f t="shared" si="2"/>
        <v>63</v>
      </c>
      <c r="O9" s="11" t="s">
        <v>27</v>
      </c>
      <c r="P9" s="11" t="s">
        <v>27</v>
      </c>
      <c r="Q9" s="11"/>
      <c r="R9" s="11">
        <v>1</v>
      </c>
      <c r="S9" s="11" t="s">
        <v>28</v>
      </c>
      <c r="T9" s="16" t="s">
        <v>44</v>
      </c>
    </row>
    <row r="10" spans="1:20" ht="17.25" customHeight="1" x14ac:dyDescent="0.3">
      <c r="A10" s="10">
        <v>45663</v>
      </c>
      <c r="B10" s="11">
        <v>110971</v>
      </c>
      <c r="C10" s="11" t="s">
        <v>44</v>
      </c>
      <c r="D10" s="11" t="s">
        <v>593</v>
      </c>
      <c r="E10" s="11" t="s">
        <v>47</v>
      </c>
      <c r="F10" s="11" t="s">
        <v>554</v>
      </c>
      <c r="G10" s="12">
        <v>324</v>
      </c>
      <c r="H10" s="13">
        <v>180</v>
      </c>
      <c r="I10" s="14">
        <f>G10*171.02</f>
        <v>55410.48</v>
      </c>
      <c r="J10" s="15">
        <v>7.0000000000000007E-2</v>
      </c>
      <c r="K10" s="15">
        <f t="shared" si="0"/>
        <v>1.7500000000000002E-2</v>
      </c>
      <c r="L10" s="14" t="s">
        <v>46</v>
      </c>
      <c r="M10" s="14">
        <f t="shared" si="1"/>
        <v>3878.7336000000005</v>
      </c>
      <c r="N10" s="14">
        <f t="shared" si="2"/>
        <v>969.68340000000012</v>
      </c>
      <c r="O10" s="11" t="s">
        <v>27</v>
      </c>
      <c r="P10" s="11" t="s">
        <v>27</v>
      </c>
      <c r="Q10" s="11"/>
      <c r="R10" s="11">
        <v>10</v>
      </c>
      <c r="S10" s="11" t="s">
        <v>28</v>
      </c>
      <c r="T10" s="16" t="s">
        <v>594</v>
      </c>
    </row>
    <row r="11" spans="1:20" ht="17.25" customHeight="1" x14ac:dyDescent="0.3">
      <c r="A11" s="10">
        <v>45663</v>
      </c>
      <c r="B11" s="11">
        <v>110971</v>
      </c>
      <c r="C11" s="11" t="s">
        <v>44</v>
      </c>
      <c r="D11" s="11" t="s">
        <v>593</v>
      </c>
      <c r="E11" s="11" t="s">
        <v>54</v>
      </c>
      <c r="F11" s="11" t="s">
        <v>554</v>
      </c>
      <c r="G11" s="12">
        <v>90</v>
      </c>
      <c r="H11" s="13">
        <v>180</v>
      </c>
      <c r="I11" s="14">
        <f>G11*171.02</f>
        <v>15391.800000000001</v>
      </c>
      <c r="J11" s="15">
        <v>7.0000000000000007E-2</v>
      </c>
      <c r="K11" s="15">
        <f t="shared" si="0"/>
        <v>1.7500000000000002E-2</v>
      </c>
      <c r="L11" s="14" t="s">
        <v>46</v>
      </c>
      <c r="M11" s="14">
        <f t="shared" si="1"/>
        <v>1077.4260000000002</v>
      </c>
      <c r="N11" s="14">
        <f t="shared" si="2"/>
        <v>269.35650000000004</v>
      </c>
      <c r="O11" s="11" t="s">
        <v>27</v>
      </c>
      <c r="P11" s="11" t="s">
        <v>27</v>
      </c>
      <c r="Q11" s="11"/>
      <c r="R11" s="11">
        <v>10</v>
      </c>
      <c r="S11" s="11" t="s">
        <v>28</v>
      </c>
      <c r="T11" s="16" t="s">
        <v>594</v>
      </c>
    </row>
    <row r="12" spans="1:20" ht="16.95" customHeight="1" x14ac:dyDescent="0.3">
      <c r="A12" s="10">
        <v>45663</v>
      </c>
      <c r="B12" s="11">
        <v>110971</v>
      </c>
      <c r="C12" s="11" t="s">
        <v>44</v>
      </c>
      <c r="D12" s="11" t="s">
        <v>593</v>
      </c>
      <c r="E12" s="11" t="s">
        <v>578</v>
      </c>
      <c r="F12" s="11" t="s">
        <v>554</v>
      </c>
      <c r="G12" s="12">
        <v>36</v>
      </c>
      <c r="H12" s="13">
        <v>180</v>
      </c>
      <c r="I12" s="14">
        <f>G12*171.02</f>
        <v>6156.72</v>
      </c>
      <c r="J12" s="15">
        <v>7.0000000000000007E-2</v>
      </c>
      <c r="K12" s="15">
        <f t="shared" si="0"/>
        <v>1.7500000000000002E-2</v>
      </c>
      <c r="L12" s="14" t="s">
        <v>46</v>
      </c>
      <c r="M12" s="14">
        <f t="shared" si="1"/>
        <v>430.97040000000004</v>
      </c>
      <c r="N12" s="14">
        <f t="shared" si="2"/>
        <v>107.74260000000001</v>
      </c>
      <c r="O12" s="11" t="s">
        <v>27</v>
      </c>
      <c r="P12" s="11" t="s">
        <v>27</v>
      </c>
      <c r="Q12" s="11"/>
      <c r="R12" s="11">
        <v>10</v>
      </c>
      <c r="S12" s="11" t="s">
        <v>28</v>
      </c>
      <c r="T12" s="16" t="s">
        <v>594</v>
      </c>
    </row>
    <row r="13" spans="1:20" ht="16.5" customHeight="1" x14ac:dyDescent="0.3">
      <c r="A13" s="10">
        <v>45663</v>
      </c>
      <c r="B13" s="11">
        <v>110971</v>
      </c>
      <c r="C13" s="11" t="s">
        <v>44</v>
      </c>
      <c r="D13" s="11" t="s">
        <v>593</v>
      </c>
      <c r="E13" s="11" t="s">
        <v>47</v>
      </c>
      <c r="F13" s="11" t="s">
        <v>30</v>
      </c>
      <c r="G13" s="12">
        <v>11</v>
      </c>
      <c r="H13" s="13">
        <v>275.62</v>
      </c>
      <c r="I13" s="14">
        <f>G13*H13</f>
        <v>3031.82</v>
      </c>
      <c r="J13" s="15">
        <v>1</v>
      </c>
      <c r="K13" s="15">
        <f t="shared" si="0"/>
        <v>0.25</v>
      </c>
      <c r="L13" s="14" t="s">
        <v>46</v>
      </c>
      <c r="M13" s="14">
        <f t="shared" si="1"/>
        <v>3031.82</v>
      </c>
      <c r="N13" s="14">
        <f t="shared" si="2"/>
        <v>757.95500000000004</v>
      </c>
      <c r="O13" s="11" t="s">
        <v>27</v>
      </c>
      <c r="P13" s="11" t="s">
        <v>27</v>
      </c>
      <c r="Q13" s="11"/>
      <c r="R13" s="11">
        <v>1</v>
      </c>
      <c r="S13" s="11" t="s">
        <v>28</v>
      </c>
      <c r="T13" s="16" t="s">
        <v>594</v>
      </c>
    </row>
    <row r="14" spans="1:20" x14ac:dyDescent="0.3">
      <c r="A14" s="10">
        <v>45663</v>
      </c>
      <c r="B14" s="11">
        <v>110971</v>
      </c>
      <c r="C14" s="11" t="s">
        <v>44</v>
      </c>
      <c r="D14" s="11" t="s">
        <v>593</v>
      </c>
      <c r="E14" s="11" t="s">
        <v>54</v>
      </c>
      <c r="F14" s="11" t="s">
        <v>30</v>
      </c>
      <c r="G14" s="12">
        <v>2</v>
      </c>
      <c r="H14" s="13">
        <v>142.56</v>
      </c>
      <c r="I14" s="14">
        <f>G14*H14</f>
        <v>285.12</v>
      </c>
      <c r="J14" s="15">
        <v>1</v>
      </c>
      <c r="K14" s="15">
        <f t="shared" si="0"/>
        <v>0.25</v>
      </c>
      <c r="L14" s="14" t="s">
        <v>46</v>
      </c>
      <c r="M14" s="14">
        <f t="shared" si="1"/>
        <v>285.12</v>
      </c>
      <c r="N14" s="14">
        <f t="shared" si="2"/>
        <v>71.28</v>
      </c>
      <c r="O14" s="11" t="s">
        <v>27</v>
      </c>
      <c r="P14" s="11" t="s">
        <v>27</v>
      </c>
      <c r="Q14" s="11"/>
      <c r="R14" s="11">
        <v>1</v>
      </c>
      <c r="S14" s="11" t="s">
        <v>28</v>
      </c>
      <c r="T14" s="16" t="s">
        <v>594</v>
      </c>
    </row>
    <row r="15" spans="1:20" x14ac:dyDescent="0.3">
      <c r="A15" s="10">
        <v>45663</v>
      </c>
      <c r="B15" s="11">
        <v>110971</v>
      </c>
      <c r="C15" s="11" t="s">
        <v>44</v>
      </c>
      <c r="D15" s="11" t="s">
        <v>593</v>
      </c>
      <c r="E15" s="11" t="s">
        <v>579</v>
      </c>
      <c r="F15" s="11" t="s">
        <v>30</v>
      </c>
      <c r="G15" s="12">
        <v>3</v>
      </c>
      <c r="H15" s="13">
        <v>145.80000000000001</v>
      </c>
      <c r="I15" s="14">
        <f>G15*H15</f>
        <v>437.40000000000003</v>
      </c>
      <c r="J15" s="15">
        <v>1</v>
      </c>
      <c r="K15" s="15">
        <f t="shared" si="0"/>
        <v>0.25</v>
      </c>
      <c r="L15" s="14" t="s">
        <v>46</v>
      </c>
      <c r="M15" s="14">
        <f t="shared" si="1"/>
        <v>437.40000000000003</v>
      </c>
      <c r="N15" s="14">
        <f t="shared" si="2"/>
        <v>109.35000000000001</v>
      </c>
      <c r="O15" s="11" t="s">
        <v>27</v>
      </c>
      <c r="P15" s="11" t="s">
        <v>27</v>
      </c>
      <c r="Q15" s="11"/>
      <c r="R15" s="11">
        <v>1</v>
      </c>
      <c r="S15" s="11" t="s">
        <v>28</v>
      </c>
      <c r="T15" s="16" t="s">
        <v>594</v>
      </c>
    </row>
    <row r="16" spans="1:20" x14ac:dyDescent="0.3">
      <c r="A16" s="10">
        <v>45663</v>
      </c>
      <c r="B16" s="11">
        <v>110971</v>
      </c>
      <c r="C16" s="11" t="s">
        <v>44</v>
      </c>
      <c r="D16" s="11" t="s">
        <v>593</v>
      </c>
      <c r="E16" s="11" t="s">
        <v>63</v>
      </c>
      <c r="F16" s="11" t="s">
        <v>554</v>
      </c>
      <c r="G16" s="12">
        <v>40</v>
      </c>
      <c r="H16" s="13">
        <v>180</v>
      </c>
      <c r="I16" s="14">
        <f>G16*171.02</f>
        <v>6840.8</v>
      </c>
      <c r="J16" s="15">
        <v>7.0000000000000007E-2</v>
      </c>
      <c r="K16" s="15">
        <f t="shared" si="0"/>
        <v>1.7500000000000002E-2</v>
      </c>
      <c r="L16" s="14" t="s">
        <v>46</v>
      </c>
      <c r="M16" s="14">
        <f t="shared" si="1"/>
        <v>478.85600000000005</v>
      </c>
      <c r="N16" s="14">
        <f t="shared" si="2"/>
        <v>119.71400000000001</v>
      </c>
      <c r="O16" s="11" t="s">
        <v>27</v>
      </c>
      <c r="P16" s="11" t="s">
        <v>27</v>
      </c>
      <c r="Q16" s="11"/>
      <c r="R16" s="11">
        <v>10</v>
      </c>
      <c r="S16" s="11" t="s">
        <v>28</v>
      </c>
      <c r="T16" s="16" t="s">
        <v>594</v>
      </c>
    </row>
    <row r="17" spans="1:20" x14ac:dyDescent="0.3">
      <c r="A17" s="10">
        <v>45663</v>
      </c>
      <c r="B17" s="11">
        <v>110971</v>
      </c>
      <c r="C17" s="11" t="s">
        <v>44</v>
      </c>
      <c r="D17" s="11" t="s">
        <v>593</v>
      </c>
      <c r="E17" s="11" t="s">
        <v>63</v>
      </c>
      <c r="F17" s="11" t="s">
        <v>30</v>
      </c>
      <c r="G17" s="12">
        <v>17</v>
      </c>
      <c r="H17" s="13">
        <v>82.9</v>
      </c>
      <c r="I17" s="14">
        <f t="shared" ref="I17:I48" si="4">G17*H17</f>
        <v>1409.3000000000002</v>
      </c>
      <c r="J17" s="15">
        <v>1</v>
      </c>
      <c r="K17" s="15">
        <f t="shared" si="0"/>
        <v>0.25</v>
      </c>
      <c r="L17" s="14" t="s">
        <v>46</v>
      </c>
      <c r="M17" s="14">
        <f t="shared" si="1"/>
        <v>1409.3000000000002</v>
      </c>
      <c r="N17" s="14">
        <f t="shared" si="2"/>
        <v>352.32500000000005</v>
      </c>
      <c r="O17" s="11" t="s">
        <v>27</v>
      </c>
      <c r="P17" s="11" t="s">
        <v>27</v>
      </c>
      <c r="Q17" s="11"/>
      <c r="R17" s="11">
        <v>1</v>
      </c>
      <c r="S17" s="11" t="s">
        <v>28</v>
      </c>
      <c r="T17" s="16" t="s">
        <v>594</v>
      </c>
    </row>
    <row r="18" spans="1:20" x14ac:dyDescent="0.3">
      <c r="A18" s="10">
        <v>45663</v>
      </c>
      <c r="B18" s="11">
        <v>116976</v>
      </c>
      <c r="C18" s="11" t="s">
        <v>44</v>
      </c>
      <c r="D18" s="11" t="s">
        <v>595</v>
      </c>
      <c r="E18" s="11" t="s">
        <v>47</v>
      </c>
      <c r="F18" s="11" t="s">
        <v>554</v>
      </c>
      <c r="G18" s="12">
        <v>224</v>
      </c>
      <c r="H18" s="13">
        <v>171</v>
      </c>
      <c r="I18" s="14">
        <f t="shared" si="4"/>
        <v>38304</v>
      </c>
      <c r="J18" s="15">
        <v>0.05</v>
      </c>
      <c r="K18" s="15">
        <f t="shared" si="0"/>
        <v>1.2500000000000001E-2</v>
      </c>
      <c r="L18" s="14" t="s">
        <v>46</v>
      </c>
      <c r="M18" s="14">
        <f t="shared" si="1"/>
        <v>1915.2</v>
      </c>
      <c r="N18" s="14">
        <f t="shared" si="2"/>
        <v>478.8</v>
      </c>
      <c r="O18" s="11" t="s">
        <v>27</v>
      </c>
      <c r="P18" s="11" t="s">
        <v>27</v>
      </c>
      <c r="Q18" s="11"/>
      <c r="R18" s="11">
        <v>8</v>
      </c>
      <c r="S18" s="11" t="s">
        <v>28</v>
      </c>
      <c r="T18" s="16" t="s">
        <v>44</v>
      </c>
    </row>
    <row r="19" spans="1:20" x14ac:dyDescent="0.3">
      <c r="A19" s="10">
        <v>45663</v>
      </c>
      <c r="B19" s="11">
        <v>116976</v>
      </c>
      <c r="C19" s="11" t="s">
        <v>44</v>
      </c>
      <c r="D19" s="11" t="s">
        <v>595</v>
      </c>
      <c r="E19" s="11" t="s">
        <v>63</v>
      </c>
      <c r="F19" s="11" t="s">
        <v>554</v>
      </c>
      <c r="G19" s="12">
        <v>50</v>
      </c>
      <c r="H19" s="13">
        <v>171</v>
      </c>
      <c r="I19" s="14">
        <f t="shared" si="4"/>
        <v>8550</v>
      </c>
      <c r="J19" s="15">
        <v>0.05</v>
      </c>
      <c r="K19" s="15">
        <f t="shared" si="0"/>
        <v>1.2500000000000001E-2</v>
      </c>
      <c r="L19" s="14" t="s">
        <v>46</v>
      </c>
      <c r="M19" s="14">
        <f t="shared" si="1"/>
        <v>427.5</v>
      </c>
      <c r="N19" s="14">
        <f t="shared" si="2"/>
        <v>106.875</v>
      </c>
      <c r="O19" s="11" t="s">
        <v>27</v>
      </c>
      <c r="P19" s="11" t="s">
        <v>27</v>
      </c>
      <c r="Q19" s="11"/>
      <c r="R19" s="11">
        <v>8</v>
      </c>
      <c r="S19" s="11" t="s">
        <v>28</v>
      </c>
      <c r="T19" s="16" t="s">
        <v>44</v>
      </c>
    </row>
    <row r="20" spans="1:20" x14ac:dyDescent="0.3">
      <c r="A20" s="10">
        <v>45663</v>
      </c>
      <c r="B20" s="11">
        <v>116976</v>
      </c>
      <c r="C20" s="11" t="s">
        <v>44</v>
      </c>
      <c r="D20" s="11" t="s">
        <v>595</v>
      </c>
      <c r="E20" s="11" t="s">
        <v>47</v>
      </c>
      <c r="F20" s="11" t="s">
        <v>30</v>
      </c>
      <c r="G20" s="12">
        <v>6</v>
      </c>
      <c r="H20" s="13">
        <v>275.62</v>
      </c>
      <c r="I20" s="14">
        <f t="shared" si="4"/>
        <v>1653.72</v>
      </c>
      <c r="J20" s="15">
        <v>1</v>
      </c>
      <c r="K20" s="15">
        <f t="shared" si="0"/>
        <v>0.25</v>
      </c>
      <c r="L20" s="14" t="s">
        <v>46</v>
      </c>
      <c r="M20" s="14">
        <f t="shared" si="1"/>
        <v>1653.72</v>
      </c>
      <c r="N20" s="14">
        <f t="shared" si="2"/>
        <v>413.43</v>
      </c>
      <c r="O20" s="11" t="s">
        <v>27</v>
      </c>
      <c r="P20" s="11" t="s">
        <v>27</v>
      </c>
      <c r="Q20" s="11"/>
      <c r="R20" s="11">
        <v>1</v>
      </c>
      <c r="S20" s="11" t="s">
        <v>28</v>
      </c>
      <c r="T20" s="16" t="s">
        <v>44</v>
      </c>
    </row>
    <row r="21" spans="1:20" x14ac:dyDescent="0.3">
      <c r="A21" s="10">
        <v>45663</v>
      </c>
      <c r="B21" s="11">
        <v>116976</v>
      </c>
      <c r="C21" s="11" t="s">
        <v>44</v>
      </c>
      <c r="D21" s="11" t="s">
        <v>595</v>
      </c>
      <c r="E21" s="11" t="s">
        <v>89</v>
      </c>
      <c r="F21" s="11" t="s">
        <v>30</v>
      </c>
      <c r="G21" s="12">
        <v>1</v>
      </c>
      <c r="H21" s="13">
        <v>356.4</v>
      </c>
      <c r="I21" s="14">
        <f t="shared" si="4"/>
        <v>356.4</v>
      </c>
      <c r="J21" s="15">
        <v>1</v>
      </c>
      <c r="K21" s="15">
        <f t="shared" si="0"/>
        <v>0.25</v>
      </c>
      <c r="L21" s="14" t="s">
        <v>46</v>
      </c>
      <c r="M21" s="14">
        <f t="shared" si="1"/>
        <v>356.4</v>
      </c>
      <c r="N21" s="14">
        <f t="shared" si="2"/>
        <v>89.1</v>
      </c>
      <c r="O21" s="11" t="s">
        <v>27</v>
      </c>
      <c r="P21" s="11" t="s">
        <v>27</v>
      </c>
      <c r="Q21" s="11"/>
      <c r="R21" s="11">
        <v>1</v>
      </c>
      <c r="S21" s="11" t="s">
        <v>28</v>
      </c>
      <c r="T21" s="16" t="s">
        <v>44</v>
      </c>
    </row>
    <row r="22" spans="1:20" x14ac:dyDescent="0.3">
      <c r="A22" s="10">
        <v>45663</v>
      </c>
      <c r="B22" s="11">
        <v>116976</v>
      </c>
      <c r="C22" s="11" t="s">
        <v>44</v>
      </c>
      <c r="D22" s="11" t="s">
        <v>595</v>
      </c>
      <c r="E22" s="11" t="s">
        <v>63</v>
      </c>
      <c r="F22" s="11" t="s">
        <v>30</v>
      </c>
      <c r="G22" s="12">
        <v>15</v>
      </c>
      <c r="H22" s="13">
        <v>98.2</v>
      </c>
      <c r="I22" s="14">
        <f t="shared" si="4"/>
        <v>1473</v>
      </c>
      <c r="J22" s="15">
        <v>1</v>
      </c>
      <c r="K22" s="15">
        <f t="shared" si="0"/>
        <v>0.25</v>
      </c>
      <c r="L22" s="14" t="s">
        <v>46</v>
      </c>
      <c r="M22" s="14">
        <f t="shared" si="1"/>
        <v>1473</v>
      </c>
      <c r="N22" s="14">
        <f t="shared" si="2"/>
        <v>368.25</v>
      </c>
      <c r="O22" s="11" t="s">
        <v>27</v>
      </c>
      <c r="P22" s="11" t="s">
        <v>27</v>
      </c>
      <c r="Q22" s="11"/>
      <c r="R22" s="11">
        <v>1</v>
      </c>
      <c r="S22" s="11" t="s">
        <v>28</v>
      </c>
      <c r="T22" s="16" t="s">
        <v>44</v>
      </c>
    </row>
    <row r="23" spans="1:20" x14ac:dyDescent="0.3">
      <c r="A23" s="10">
        <v>45663</v>
      </c>
      <c r="B23" s="11">
        <v>116739</v>
      </c>
      <c r="C23" s="11" t="s">
        <v>22</v>
      </c>
      <c r="D23" s="11" t="s">
        <v>596</v>
      </c>
      <c r="E23" s="11" t="s">
        <v>24</v>
      </c>
      <c r="F23" s="11" t="s">
        <v>554</v>
      </c>
      <c r="G23" s="12">
        <v>16</v>
      </c>
      <c r="H23" s="13">
        <v>187.5</v>
      </c>
      <c r="I23" s="14">
        <f t="shared" si="4"/>
        <v>3000</v>
      </c>
      <c r="J23" s="15">
        <v>7.0000000000000007E-2</v>
      </c>
      <c r="K23" s="15">
        <v>0</v>
      </c>
      <c r="L23" s="14" t="s">
        <v>26</v>
      </c>
      <c r="M23" s="14">
        <f t="shared" si="1"/>
        <v>210.00000000000003</v>
      </c>
      <c r="N23" s="14">
        <f t="shared" si="2"/>
        <v>0</v>
      </c>
      <c r="O23" s="11" t="s">
        <v>597</v>
      </c>
      <c r="P23" s="11" t="s">
        <v>597</v>
      </c>
      <c r="Q23" s="11"/>
      <c r="R23" s="11">
        <v>3</v>
      </c>
      <c r="S23" s="11" t="s">
        <v>597</v>
      </c>
      <c r="T23" s="16" t="s">
        <v>22</v>
      </c>
    </row>
    <row r="24" spans="1:20" x14ac:dyDescent="0.3">
      <c r="A24" s="10">
        <v>45663</v>
      </c>
      <c r="B24" s="11">
        <v>116549</v>
      </c>
      <c r="C24" s="11" t="s">
        <v>31</v>
      </c>
      <c r="D24" s="11" t="s">
        <v>108</v>
      </c>
      <c r="E24" s="11" t="s">
        <v>24</v>
      </c>
      <c r="F24" s="11" t="s">
        <v>554</v>
      </c>
      <c r="G24" s="12">
        <v>20</v>
      </c>
      <c r="H24" s="13">
        <v>212</v>
      </c>
      <c r="I24" s="14">
        <f t="shared" si="4"/>
        <v>4240</v>
      </c>
      <c r="J24" s="15">
        <v>7.0000000000000007E-2</v>
      </c>
      <c r="K24" s="15">
        <f>J24*0.25</f>
        <v>1.7500000000000002E-2</v>
      </c>
      <c r="L24" s="14" t="s">
        <v>26</v>
      </c>
      <c r="M24" s="14">
        <f t="shared" si="1"/>
        <v>296.8</v>
      </c>
      <c r="N24" s="14">
        <f t="shared" si="2"/>
        <v>74.2</v>
      </c>
      <c r="O24" s="11" t="s">
        <v>597</v>
      </c>
      <c r="P24" s="11" t="s">
        <v>597</v>
      </c>
      <c r="Q24" s="11"/>
      <c r="R24" s="11">
        <v>6</v>
      </c>
      <c r="S24" s="11" t="s">
        <v>597</v>
      </c>
      <c r="T24" s="16" t="s">
        <v>31</v>
      </c>
    </row>
    <row r="25" spans="1:20" x14ac:dyDescent="0.3">
      <c r="A25" s="10">
        <v>45663</v>
      </c>
      <c r="B25" s="11">
        <v>117278</v>
      </c>
      <c r="C25" s="11" t="s">
        <v>31</v>
      </c>
      <c r="D25" s="11" t="s">
        <v>598</v>
      </c>
      <c r="E25" s="11" t="s">
        <v>24</v>
      </c>
      <c r="F25" s="11" t="s">
        <v>554</v>
      </c>
      <c r="G25" s="12">
        <v>2</v>
      </c>
      <c r="H25" s="13">
        <v>212</v>
      </c>
      <c r="I25" s="14">
        <f t="shared" si="4"/>
        <v>424</v>
      </c>
      <c r="J25" s="15">
        <v>7.0000000000000007E-2</v>
      </c>
      <c r="K25" s="15">
        <f>J25*0.25</f>
        <v>1.7500000000000002E-2</v>
      </c>
      <c r="L25" s="14" t="s">
        <v>26</v>
      </c>
      <c r="M25" s="14">
        <f t="shared" si="1"/>
        <v>29.680000000000003</v>
      </c>
      <c r="N25" s="14">
        <f t="shared" si="2"/>
        <v>7.4200000000000008</v>
      </c>
      <c r="O25" s="11" t="s">
        <v>597</v>
      </c>
      <c r="P25" s="11" t="s">
        <v>597</v>
      </c>
      <c r="Q25" s="11"/>
      <c r="R25" s="11">
        <v>1</v>
      </c>
      <c r="S25" s="11" t="s">
        <v>597</v>
      </c>
      <c r="T25" s="16" t="s">
        <v>31</v>
      </c>
    </row>
    <row r="26" spans="1:20" x14ac:dyDescent="0.3">
      <c r="A26" s="10">
        <v>45664</v>
      </c>
      <c r="B26" s="11">
        <v>106541</v>
      </c>
      <c r="C26" s="11" t="s">
        <v>22</v>
      </c>
      <c r="D26" s="11" t="s">
        <v>65</v>
      </c>
      <c r="E26" s="11" t="s">
        <v>24</v>
      </c>
      <c r="F26" s="11" t="s">
        <v>554</v>
      </c>
      <c r="G26" s="12">
        <v>44</v>
      </c>
      <c r="H26" s="13">
        <v>140</v>
      </c>
      <c r="I26" s="14">
        <f t="shared" si="4"/>
        <v>6160</v>
      </c>
      <c r="J26" s="15">
        <v>3.5000000000000003E-2</v>
      </c>
      <c r="K26" s="15">
        <v>0</v>
      </c>
      <c r="L26" s="14" t="s">
        <v>26</v>
      </c>
      <c r="M26" s="14">
        <f t="shared" si="1"/>
        <v>215.60000000000002</v>
      </c>
      <c r="N26" s="14">
        <f t="shared" si="2"/>
        <v>0</v>
      </c>
      <c r="O26" s="11" t="s">
        <v>597</v>
      </c>
      <c r="P26" s="11" t="s">
        <v>597</v>
      </c>
      <c r="Q26" s="11"/>
      <c r="R26" s="11">
        <v>1</v>
      </c>
      <c r="S26" s="11" t="s">
        <v>597</v>
      </c>
      <c r="T26" s="16" t="s">
        <v>22</v>
      </c>
    </row>
    <row r="27" spans="1:20" x14ac:dyDescent="0.3">
      <c r="A27" s="10">
        <v>45664</v>
      </c>
      <c r="B27" s="11">
        <v>115644</v>
      </c>
      <c r="C27" s="11" t="s">
        <v>31</v>
      </c>
      <c r="D27" s="11" t="s">
        <v>141</v>
      </c>
      <c r="E27" s="11" t="s">
        <v>35</v>
      </c>
      <c r="F27" s="11" t="s">
        <v>35</v>
      </c>
      <c r="G27" s="12">
        <v>3</v>
      </c>
      <c r="H27" s="13">
        <v>176</v>
      </c>
      <c r="I27" s="14">
        <f t="shared" si="4"/>
        <v>528</v>
      </c>
      <c r="J27" s="15">
        <v>0.01</v>
      </c>
      <c r="K27" s="15">
        <f>J27*0.25</f>
        <v>2.5000000000000001E-3</v>
      </c>
      <c r="L27" s="14" t="s">
        <v>26</v>
      </c>
      <c r="M27" s="14">
        <f t="shared" si="1"/>
        <v>5.28</v>
      </c>
      <c r="N27" s="14">
        <f t="shared" si="2"/>
        <v>1.32</v>
      </c>
      <c r="O27" s="11" t="s">
        <v>597</v>
      </c>
      <c r="P27" s="11" t="s">
        <v>597</v>
      </c>
      <c r="Q27" s="11"/>
      <c r="R27" s="11">
        <v>1</v>
      </c>
      <c r="S27" s="11" t="s">
        <v>597</v>
      </c>
      <c r="T27" s="16" t="s">
        <v>31</v>
      </c>
    </row>
    <row r="28" spans="1:20" x14ac:dyDescent="0.3">
      <c r="A28" s="10">
        <v>45664</v>
      </c>
      <c r="B28" s="11" t="s">
        <v>599</v>
      </c>
      <c r="C28" s="11" t="s">
        <v>22</v>
      </c>
      <c r="D28" s="11" t="s">
        <v>600</v>
      </c>
      <c r="E28" s="11" t="s">
        <v>40</v>
      </c>
      <c r="F28" s="11" t="s">
        <v>41</v>
      </c>
      <c r="G28" s="12">
        <v>1</v>
      </c>
      <c r="H28" s="13">
        <v>862.08</v>
      </c>
      <c r="I28" s="14">
        <f t="shared" si="4"/>
        <v>862.08</v>
      </c>
      <c r="J28" s="15">
        <v>7.0000000000000007E-2</v>
      </c>
      <c r="K28" s="15">
        <v>0</v>
      </c>
      <c r="L28" s="14" t="s">
        <v>26</v>
      </c>
      <c r="M28" s="14">
        <f t="shared" si="1"/>
        <v>60.345600000000012</v>
      </c>
      <c r="N28" s="14">
        <v>0</v>
      </c>
      <c r="O28" s="11" t="s">
        <v>597</v>
      </c>
      <c r="P28" s="11" t="s">
        <v>597</v>
      </c>
      <c r="Q28" s="11"/>
      <c r="R28" s="11">
        <v>4</v>
      </c>
      <c r="S28" s="11" t="s">
        <v>597</v>
      </c>
      <c r="T28" s="16" t="s">
        <v>22</v>
      </c>
    </row>
    <row r="29" spans="1:20" x14ac:dyDescent="0.3">
      <c r="A29" s="10">
        <v>45664</v>
      </c>
      <c r="B29" s="11" t="s">
        <v>599</v>
      </c>
      <c r="C29" s="11" t="s">
        <v>22</v>
      </c>
      <c r="D29" s="11" t="s">
        <v>600</v>
      </c>
      <c r="E29" s="11" t="s">
        <v>24</v>
      </c>
      <c r="F29" s="11" t="s">
        <v>554</v>
      </c>
      <c r="G29" s="12">
        <v>20</v>
      </c>
      <c r="H29" s="13">
        <v>200</v>
      </c>
      <c r="I29" s="14">
        <f t="shared" si="4"/>
        <v>4000</v>
      </c>
      <c r="J29" s="15">
        <v>7.0000000000000007E-2</v>
      </c>
      <c r="K29" s="15">
        <v>0</v>
      </c>
      <c r="L29" s="14" t="s">
        <v>26</v>
      </c>
      <c r="M29" s="14">
        <f t="shared" si="1"/>
        <v>280</v>
      </c>
      <c r="N29" s="14">
        <f t="shared" ref="N29:N60" si="5">I29*K29</f>
        <v>0</v>
      </c>
      <c r="O29" s="11" t="s">
        <v>597</v>
      </c>
      <c r="P29" s="11" t="s">
        <v>597</v>
      </c>
      <c r="Q29" s="11"/>
      <c r="R29" s="11">
        <v>4</v>
      </c>
      <c r="S29" s="11" t="s">
        <v>597</v>
      </c>
      <c r="T29" s="16" t="s">
        <v>22</v>
      </c>
    </row>
    <row r="30" spans="1:20" x14ac:dyDescent="0.3">
      <c r="A30" s="10">
        <v>45664</v>
      </c>
      <c r="B30" s="11" t="s">
        <v>599</v>
      </c>
      <c r="C30" s="11" t="s">
        <v>22</v>
      </c>
      <c r="D30" s="11" t="s">
        <v>600</v>
      </c>
      <c r="E30" s="11" t="s">
        <v>48</v>
      </c>
      <c r="F30" s="11" t="s">
        <v>30</v>
      </c>
      <c r="G30" s="12">
        <v>1</v>
      </c>
      <c r="H30" s="13">
        <v>356.4</v>
      </c>
      <c r="I30" s="14">
        <f t="shared" si="4"/>
        <v>356.4</v>
      </c>
      <c r="J30" s="15">
        <v>1</v>
      </c>
      <c r="K30" s="15">
        <v>0</v>
      </c>
      <c r="L30" s="14" t="s">
        <v>26</v>
      </c>
      <c r="M30" s="14">
        <f t="shared" si="1"/>
        <v>356.4</v>
      </c>
      <c r="N30" s="14">
        <f t="shared" si="5"/>
        <v>0</v>
      </c>
      <c r="O30" s="11" t="s">
        <v>597</v>
      </c>
      <c r="P30" s="11" t="s">
        <v>597</v>
      </c>
      <c r="Q30" s="11"/>
      <c r="R30" s="11">
        <v>1</v>
      </c>
      <c r="S30" s="11" t="s">
        <v>597</v>
      </c>
      <c r="T30" s="16" t="s">
        <v>22</v>
      </c>
    </row>
    <row r="31" spans="1:20" x14ac:dyDescent="0.3">
      <c r="A31" s="10">
        <v>45664</v>
      </c>
      <c r="B31" s="11">
        <v>114449</v>
      </c>
      <c r="C31" s="11" t="s">
        <v>31</v>
      </c>
      <c r="D31" s="11" t="s">
        <v>601</v>
      </c>
      <c r="E31" s="11" t="s">
        <v>35</v>
      </c>
      <c r="F31" s="11" t="s">
        <v>35</v>
      </c>
      <c r="G31" s="12">
        <v>3</v>
      </c>
      <c r="H31" s="13">
        <v>176</v>
      </c>
      <c r="I31" s="14">
        <f t="shared" si="4"/>
        <v>528</v>
      </c>
      <c r="J31" s="15">
        <v>0.01</v>
      </c>
      <c r="K31" s="15">
        <f t="shared" ref="K31:K49" si="6">J31*0.25</f>
        <v>2.5000000000000001E-3</v>
      </c>
      <c r="L31" s="14" t="s">
        <v>26</v>
      </c>
      <c r="M31" s="14">
        <f t="shared" si="1"/>
        <v>5.28</v>
      </c>
      <c r="N31" s="14">
        <f t="shared" si="5"/>
        <v>1.32</v>
      </c>
      <c r="O31" s="11" t="s">
        <v>597</v>
      </c>
      <c r="P31" s="11" t="s">
        <v>597</v>
      </c>
      <c r="Q31" s="11"/>
      <c r="R31" s="11">
        <v>1</v>
      </c>
      <c r="S31" s="11" t="s">
        <v>597</v>
      </c>
      <c r="T31" s="16" t="s">
        <v>31</v>
      </c>
    </row>
    <row r="32" spans="1:20" x14ac:dyDescent="0.3">
      <c r="A32" s="10">
        <v>45664</v>
      </c>
      <c r="B32" s="11">
        <v>114449</v>
      </c>
      <c r="C32" s="11" t="s">
        <v>31</v>
      </c>
      <c r="D32" s="11" t="s">
        <v>602</v>
      </c>
      <c r="E32" s="11" t="s">
        <v>24</v>
      </c>
      <c r="F32" s="11" t="s">
        <v>554</v>
      </c>
      <c r="G32" s="12">
        <v>21</v>
      </c>
      <c r="H32" s="13">
        <v>215</v>
      </c>
      <c r="I32" s="14">
        <f t="shared" si="4"/>
        <v>4515</v>
      </c>
      <c r="J32" s="15">
        <v>7.0000000000000007E-2</v>
      </c>
      <c r="K32" s="15">
        <f t="shared" si="6"/>
        <v>1.7500000000000002E-2</v>
      </c>
      <c r="L32" s="14" t="s">
        <v>26</v>
      </c>
      <c r="M32" s="14">
        <f t="shared" si="1"/>
        <v>316.05</v>
      </c>
      <c r="N32" s="14">
        <f t="shared" si="5"/>
        <v>79.012500000000003</v>
      </c>
      <c r="O32" s="11" t="s">
        <v>597</v>
      </c>
      <c r="P32" s="11" t="s">
        <v>597</v>
      </c>
      <c r="Q32" s="11"/>
      <c r="R32" s="11">
        <v>6</v>
      </c>
      <c r="S32" s="11" t="s">
        <v>597</v>
      </c>
      <c r="T32" s="16" t="s">
        <v>31</v>
      </c>
    </row>
    <row r="33" spans="1:20" x14ac:dyDescent="0.3">
      <c r="A33" s="10">
        <v>45665</v>
      </c>
      <c r="B33" s="11">
        <v>116626</v>
      </c>
      <c r="C33" s="11" t="s">
        <v>31</v>
      </c>
      <c r="D33" s="11" t="s">
        <v>603</v>
      </c>
      <c r="E33" s="11" t="s">
        <v>35</v>
      </c>
      <c r="F33" s="11" t="s">
        <v>35</v>
      </c>
      <c r="G33" s="12">
        <v>3</v>
      </c>
      <c r="H33" s="13">
        <v>176</v>
      </c>
      <c r="I33" s="14">
        <f t="shared" si="4"/>
        <v>528</v>
      </c>
      <c r="J33" s="15">
        <v>0.01</v>
      </c>
      <c r="K33" s="15">
        <f t="shared" si="6"/>
        <v>2.5000000000000001E-3</v>
      </c>
      <c r="L33" s="14" t="s">
        <v>26</v>
      </c>
      <c r="M33" s="14">
        <f t="shared" si="1"/>
        <v>5.28</v>
      </c>
      <c r="N33" s="14">
        <f t="shared" si="5"/>
        <v>1.32</v>
      </c>
      <c r="O33" s="11" t="s">
        <v>597</v>
      </c>
      <c r="P33" s="11" t="s">
        <v>597</v>
      </c>
      <c r="Q33" s="11"/>
      <c r="R33" s="11">
        <v>1</v>
      </c>
      <c r="S33" s="11" t="s">
        <v>597</v>
      </c>
      <c r="T33" s="16" t="s">
        <v>31</v>
      </c>
    </row>
    <row r="34" spans="1:20" x14ac:dyDescent="0.3">
      <c r="A34" s="10">
        <v>45666</v>
      </c>
      <c r="B34" s="11">
        <v>117045</v>
      </c>
      <c r="C34" s="11" t="s">
        <v>31</v>
      </c>
      <c r="D34" s="11" t="s">
        <v>604</v>
      </c>
      <c r="E34" s="11" t="s">
        <v>35</v>
      </c>
      <c r="F34" s="11" t="s">
        <v>35</v>
      </c>
      <c r="G34" s="12">
        <v>4</v>
      </c>
      <c r="H34" s="13">
        <v>149.6</v>
      </c>
      <c r="I34" s="14">
        <f t="shared" si="4"/>
        <v>598.4</v>
      </c>
      <c r="J34" s="15">
        <v>6.8999999999999999E-3</v>
      </c>
      <c r="K34" s="15">
        <f t="shared" si="6"/>
        <v>1.725E-3</v>
      </c>
      <c r="L34" s="14" t="s">
        <v>26</v>
      </c>
      <c r="M34" s="14">
        <f t="shared" ref="M34:M65" si="7">J34*I34</f>
        <v>4.1289600000000002</v>
      </c>
      <c r="N34" s="14">
        <f t="shared" si="5"/>
        <v>1.03224</v>
      </c>
      <c r="O34" s="11" t="s">
        <v>597</v>
      </c>
      <c r="P34" s="11" t="s">
        <v>597</v>
      </c>
      <c r="Q34" s="11"/>
      <c r="R34" s="11">
        <v>1</v>
      </c>
      <c r="S34" s="11" t="s">
        <v>597</v>
      </c>
      <c r="T34" s="16" t="s">
        <v>31</v>
      </c>
    </row>
    <row r="35" spans="1:20" x14ac:dyDescent="0.3">
      <c r="A35" s="10">
        <v>45667</v>
      </c>
      <c r="B35" s="11">
        <v>108233</v>
      </c>
      <c r="C35" s="11" t="s">
        <v>31</v>
      </c>
      <c r="D35" s="11" t="s">
        <v>605</v>
      </c>
      <c r="E35" s="11" t="s">
        <v>24</v>
      </c>
      <c r="F35" s="11" t="s">
        <v>554</v>
      </c>
      <c r="G35" s="12">
        <v>3</v>
      </c>
      <c r="H35" s="13">
        <v>210</v>
      </c>
      <c r="I35" s="14">
        <f t="shared" si="4"/>
        <v>630</v>
      </c>
      <c r="J35" s="15">
        <v>7.0000000000000007E-2</v>
      </c>
      <c r="K35" s="15">
        <f t="shared" si="6"/>
        <v>1.7500000000000002E-2</v>
      </c>
      <c r="L35" s="14" t="s">
        <v>26</v>
      </c>
      <c r="M35" s="14">
        <f t="shared" si="7"/>
        <v>44.1</v>
      </c>
      <c r="N35" s="14">
        <f t="shared" si="5"/>
        <v>11.025</v>
      </c>
      <c r="O35" s="11" t="s">
        <v>597</v>
      </c>
      <c r="P35" s="11" t="s">
        <v>597</v>
      </c>
      <c r="Q35" s="11"/>
      <c r="R35" s="11">
        <v>3</v>
      </c>
      <c r="S35" s="11" t="s">
        <v>597</v>
      </c>
      <c r="T35" s="16" t="s">
        <v>31</v>
      </c>
    </row>
    <row r="36" spans="1:20" x14ac:dyDescent="0.3">
      <c r="A36" s="10">
        <v>45667</v>
      </c>
      <c r="B36" s="11">
        <v>117556</v>
      </c>
      <c r="C36" s="11" t="s">
        <v>31</v>
      </c>
      <c r="D36" s="11" t="s">
        <v>596</v>
      </c>
      <c r="E36" s="11" t="s">
        <v>24</v>
      </c>
      <c r="F36" s="11" t="s">
        <v>554</v>
      </c>
      <c r="G36" s="12">
        <v>8</v>
      </c>
      <c r="H36" s="13">
        <v>210</v>
      </c>
      <c r="I36" s="14">
        <f t="shared" si="4"/>
        <v>1680</v>
      </c>
      <c r="J36" s="15">
        <v>7.0000000000000007E-2</v>
      </c>
      <c r="K36" s="15">
        <f t="shared" si="6"/>
        <v>1.7500000000000002E-2</v>
      </c>
      <c r="L36" s="14" t="s">
        <v>26</v>
      </c>
      <c r="M36" s="14">
        <f t="shared" si="7"/>
        <v>117.60000000000001</v>
      </c>
      <c r="N36" s="14">
        <f t="shared" si="5"/>
        <v>29.400000000000002</v>
      </c>
      <c r="O36" s="11" t="s">
        <v>597</v>
      </c>
      <c r="P36" s="11" t="s">
        <v>597</v>
      </c>
      <c r="Q36" s="11"/>
      <c r="R36" s="11">
        <v>6</v>
      </c>
      <c r="S36" s="11" t="s">
        <v>597</v>
      </c>
      <c r="T36" s="16" t="s">
        <v>31</v>
      </c>
    </row>
    <row r="37" spans="1:20" x14ac:dyDescent="0.3">
      <c r="A37" s="10">
        <v>45667</v>
      </c>
      <c r="B37" s="11">
        <v>113593</v>
      </c>
      <c r="C37" s="11" t="s">
        <v>31</v>
      </c>
      <c r="D37" s="11" t="s">
        <v>127</v>
      </c>
      <c r="E37" s="11" t="s">
        <v>35</v>
      </c>
      <c r="F37" s="11" t="s">
        <v>35</v>
      </c>
      <c r="G37" s="12">
        <v>144</v>
      </c>
      <c r="H37" s="13">
        <v>176</v>
      </c>
      <c r="I37" s="14">
        <f t="shared" si="4"/>
        <v>25344</v>
      </c>
      <c r="J37" s="15">
        <v>0.01</v>
      </c>
      <c r="K37" s="15">
        <f t="shared" si="6"/>
        <v>2.5000000000000001E-3</v>
      </c>
      <c r="L37" s="14" t="s">
        <v>26</v>
      </c>
      <c r="M37" s="14">
        <f t="shared" si="7"/>
        <v>253.44</v>
      </c>
      <c r="N37" s="14">
        <f t="shared" si="5"/>
        <v>63.36</v>
      </c>
      <c r="O37" s="11" t="s">
        <v>597</v>
      </c>
      <c r="P37" s="11" t="s">
        <v>597</v>
      </c>
      <c r="Q37" s="11"/>
      <c r="R37" s="11">
        <v>5</v>
      </c>
      <c r="S37" s="11" t="s">
        <v>597</v>
      </c>
      <c r="T37" s="16" t="s">
        <v>31</v>
      </c>
    </row>
    <row r="38" spans="1:20" x14ac:dyDescent="0.3">
      <c r="A38" s="10">
        <v>45670</v>
      </c>
      <c r="B38" s="11" t="s">
        <v>606</v>
      </c>
      <c r="C38" s="11" t="s">
        <v>44</v>
      </c>
      <c r="D38" s="11" t="s">
        <v>607</v>
      </c>
      <c r="E38" s="11" t="s">
        <v>47</v>
      </c>
      <c r="F38" s="11" t="s">
        <v>554</v>
      </c>
      <c r="G38" s="12">
        <v>228</v>
      </c>
      <c r="H38" s="13">
        <v>171.19</v>
      </c>
      <c r="I38" s="14">
        <f t="shared" si="4"/>
        <v>39031.32</v>
      </c>
      <c r="J38" s="15">
        <v>0.05</v>
      </c>
      <c r="K38" s="15">
        <f t="shared" si="6"/>
        <v>1.2500000000000001E-2</v>
      </c>
      <c r="L38" s="14" t="s">
        <v>46</v>
      </c>
      <c r="M38" s="14">
        <f t="shared" si="7"/>
        <v>1951.566</v>
      </c>
      <c r="N38" s="14">
        <f t="shared" si="5"/>
        <v>487.89150000000001</v>
      </c>
      <c r="O38" s="11" t="s">
        <v>27</v>
      </c>
      <c r="P38" s="11" t="s">
        <v>27</v>
      </c>
      <c r="Q38" s="11"/>
      <c r="R38" s="11">
        <v>10</v>
      </c>
      <c r="S38" s="11" t="s">
        <v>28</v>
      </c>
      <c r="T38" s="16" t="s">
        <v>44</v>
      </c>
    </row>
    <row r="39" spans="1:20" x14ac:dyDescent="0.3">
      <c r="A39" s="10">
        <v>45670</v>
      </c>
      <c r="B39" s="11" t="s">
        <v>606</v>
      </c>
      <c r="C39" s="11" t="s">
        <v>44</v>
      </c>
      <c r="D39" s="11" t="s">
        <v>607</v>
      </c>
      <c r="E39" s="11" t="s">
        <v>63</v>
      </c>
      <c r="F39" s="11" t="s">
        <v>554</v>
      </c>
      <c r="G39" s="12">
        <v>40</v>
      </c>
      <c r="H39" s="13">
        <v>171.19</v>
      </c>
      <c r="I39" s="14">
        <f t="shared" si="4"/>
        <v>6847.6</v>
      </c>
      <c r="J39" s="15">
        <v>0.05</v>
      </c>
      <c r="K39" s="15">
        <f t="shared" si="6"/>
        <v>1.2500000000000001E-2</v>
      </c>
      <c r="L39" s="14" t="s">
        <v>46</v>
      </c>
      <c r="M39" s="14">
        <f t="shared" si="7"/>
        <v>342.38000000000005</v>
      </c>
      <c r="N39" s="14">
        <f t="shared" si="5"/>
        <v>85.595000000000013</v>
      </c>
      <c r="O39" s="11" t="s">
        <v>27</v>
      </c>
      <c r="P39" s="11" t="s">
        <v>27</v>
      </c>
      <c r="Q39" s="11"/>
      <c r="R39" s="11">
        <v>10</v>
      </c>
      <c r="S39" s="11" t="s">
        <v>28</v>
      </c>
      <c r="T39" s="16" t="s">
        <v>44</v>
      </c>
    </row>
    <row r="40" spans="1:20" x14ac:dyDescent="0.3">
      <c r="A40" s="10">
        <v>45670</v>
      </c>
      <c r="B40" s="11" t="s">
        <v>606</v>
      </c>
      <c r="C40" s="11" t="s">
        <v>44</v>
      </c>
      <c r="D40" s="11" t="s">
        <v>607</v>
      </c>
      <c r="E40" s="11" t="s">
        <v>102</v>
      </c>
      <c r="F40" s="11" t="s">
        <v>41</v>
      </c>
      <c r="G40" s="12">
        <v>1</v>
      </c>
      <c r="H40" s="13">
        <v>1600</v>
      </c>
      <c r="I40" s="14">
        <f t="shared" si="4"/>
        <v>1600</v>
      </c>
      <c r="J40" s="15">
        <v>7.0000000000000007E-2</v>
      </c>
      <c r="K40" s="15">
        <f t="shared" si="6"/>
        <v>1.7500000000000002E-2</v>
      </c>
      <c r="L40" s="14" t="s">
        <v>46</v>
      </c>
      <c r="M40" s="14">
        <f t="shared" si="7"/>
        <v>112.00000000000001</v>
      </c>
      <c r="N40" s="14">
        <f t="shared" si="5"/>
        <v>28.000000000000004</v>
      </c>
      <c r="O40" s="11" t="s">
        <v>27</v>
      </c>
      <c r="P40" s="11" t="s">
        <v>27</v>
      </c>
      <c r="Q40" s="11"/>
      <c r="R40" s="11">
        <v>10</v>
      </c>
      <c r="S40" s="11" t="s">
        <v>28</v>
      </c>
      <c r="T40" s="16" t="s">
        <v>44</v>
      </c>
    </row>
    <row r="41" spans="1:20" x14ac:dyDescent="0.3">
      <c r="A41" s="10">
        <v>45670</v>
      </c>
      <c r="B41" s="11" t="s">
        <v>606</v>
      </c>
      <c r="C41" s="11" t="s">
        <v>44</v>
      </c>
      <c r="D41" s="11" t="s">
        <v>607</v>
      </c>
      <c r="E41" s="11" t="s">
        <v>47</v>
      </c>
      <c r="F41" s="11" t="s">
        <v>30</v>
      </c>
      <c r="G41" s="12">
        <v>8</v>
      </c>
      <c r="H41" s="13">
        <v>248.08</v>
      </c>
      <c r="I41" s="14">
        <f t="shared" si="4"/>
        <v>1984.64</v>
      </c>
      <c r="J41" s="15">
        <v>1</v>
      </c>
      <c r="K41" s="15">
        <f t="shared" si="6"/>
        <v>0.25</v>
      </c>
      <c r="L41" s="14" t="s">
        <v>46</v>
      </c>
      <c r="M41" s="14">
        <f t="shared" si="7"/>
        <v>1984.64</v>
      </c>
      <c r="N41" s="14">
        <f t="shared" si="5"/>
        <v>496.16</v>
      </c>
      <c r="O41" s="11" t="s">
        <v>27</v>
      </c>
      <c r="P41" s="11" t="s">
        <v>27</v>
      </c>
      <c r="Q41" s="11"/>
      <c r="R41" s="11">
        <v>1</v>
      </c>
      <c r="S41" s="11" t="s">
        <v>28</v>
      </c>
      <c r="T41" s="16" t="s">
        <v>44</v>
      </c>
    </row>
    <row r="42" spans="1:20" x14ac:dyDescent="0.3">
      <c r="A42" s="10">
        <v>45670</v>
      </c>
      <c r="B42" s="11" t="s">
        <v>606</v>
      </c>
      <c r="C42" s="11" t="s">
        <v>44</v>
      </c>
      <c r="D42" s="11" t="s">
        <v>607</v>
      </c>
      <c r="E42" s="11" t="s">
        <v>48</v>
      </c>
      <c r="F42" s="11" t="s">
        <v>30</v>
      </c>
      <c r="G42" s="12">
        <v>1</v>
      </c>
      <c r="H42" s="13">
        <v>240</v>
      </c>
      <c r="I42" s="14">
        <f t="shared" si="4"/>
        <v>240</v>
      </c>
      <c r="J42" s="15">
        <v>1</v>
      </c>
      <c r="K42" s="15">
        <f t="shared" si="6"/>
        <v>0.25</v>
      </c>
      <c r="L42" s="14" t="s">
        <v>46</v>
      </c>
      <c r="M42" s="14">
        <f t="shared" si="7"/>
        <v>240</v>
      </c>
      <c r="N42" s="14">
        <f t="shared" si="5"/>
        <v>60</v>
      </c>
      <c r="O42" s="11" t="s">
        <v>27</v>
      </c>
      <c r="P42" s="11" t="s">
        <v>27</v>
      </c>
      <c r="Q42" s="11"/>
      <c r="R42" s="11">
        <v>1</v>
      </c>
      <c r="S42" s="11" t="s">
        <v>28</v>
      </c>
      <c r="T42" s="16" t="s">
        <v>44</v>
      </c>
    </row>
    <row r="43" spans="1:20" x14ac:dyDescent="0.3">
      <c r="A43" s="10">
        <v>45670</v>
      </c>
      <c r="B43" s="11" t="s">
        <v>606</v>
      </c>
      <c r="C43" s="11" t="s">
        <v>44</v>
      </c>
      <c r="D43" s="11" t="s">
        <v>607</v>
      </c>
      <c r="E43" s="11" t="s">
        <v>63</v>
      </c>
      <c r="F43" s="11" t="s">
        <v>30</v>
      </c>
      <c r="G43" s="12">
        <v>50</v>
      </c>
      <c r="H43" s="13">
        <v>81.14</v>
      </c>
      <c r="I43" s="14">
        <f t="shared" si="4"/>
        <v>4057</v>
      </c>
      <c r="J43" s="15">
        <v>1</v>
      </c>
      <c r="K43" s="15">
        <f t="shared" si="6"/>
        <v>0.25</v>
      </c>
      <c r="L43" s="14" t="s">
        <v>46</v>
      </c>
      <c r="M43" s="14">
        <f t="shared" si="7"/>
        <v>4057</v>
      </c>
      <c r="N43" s="14">
        <f t="shared" si="5"/>
        <v>1014.25</v>
      </c>
      <c r="O43" s="11" t="s">
        <v>27</v>
      </c>
      <c r="P43" s="11" t="s">
        <v>27</v>
      </c>
      <c r="Q43" s="11"/>
      <c r="R43" s="11">
        <v>1</v>
      </c>
      <c r="S43" s="11" t="s">
        <v>28</v>
      </c>
      <c r="T43" s="16" t="s">
        <v>44</v>
      </c>
    </row>
    <row r="44" spans="1:20" x14ac:dyDescent="0.3">
      <c r="A44" s="10">
        <v>45670</v>
      </c>
      <c r="B44" s="11" t="s">
        <v>606</v>
      </c>
      <c r="C44" s="11" t="s">
        <v>44</v>
      </c>
      <c r="D44" s="11" t="s">
        <v>607</v>
      </c>
      <c r="E44" s="11" t="s">
        <v>102</v>
      </c>
      <c r="F44" s="11" t="s">
        <v>30</v>
      </c>
      <c r="G44" s="12">
        <v>1</v>
      </c>
      <c r="H44" s="13">
        <v>1628.22</v>
      </c>
      <c r="I44" s="14">
        <f t="shared" si="4"/>
        <v>1628.22</v>
      </c>
      <c r="J44" s="15">
        <v>1</v>
      </c>
      <c r="K44" s="15">
        <f t="shared" si="6"/>
        <v>0.25</v>
      </c>
      <c r="L44" s="14" t="s">
        <v>46</v>
      </c>
      <c r="M44" s="14">
        <f t="shared" si="7"/>
        <v>1628.22</v>
      </c>
      <c r="N44" s="14">
        <f t="shared" si="5"/>
        <v>407.05500000000001</v>
      </c>
      <c r="O44" s="11" t="s">
        <v>27</v>
      </c>
      <c r="P44" s="11" t="s">
        <v>27</v>
      </c>
      <c r="Q44" s="11"/>
      <c r="R44" s="11">
        <v>1</v>
      </c>
      <c r="S44" s="11" t="s">
        <v>28</v>
      </c>
      <c r="T44" s="16" t="s">
        <v>44</v>
      </c>
    </row>
    <row r="45" spans="1:20" x14ac:dyDescent="0.3">
      <c r="A45" s="10">
        <v>45670</v>
      </c>
      <c r="B45" s="11" t="s">
        <v>606</v>
      </c>
      <c r="C45" s="11" t="s">
        <v>44</v>
      </c>
      <c r="D45" s="11" t="s">
        <v>607</v>
      </c>
      <c r="E45" s="11" t="s">
        <v>102</v>
      </c>
      <c r="F45" s="11" t="s">
        <v>30</v>
      </c>
      <c r="G45" s="12">
        <v>10</v>
      </c>
      <c r="H45" s="13">
        <v>80.900000000000006</v>
      </c>
      <c r="I45" s="14">
        <f t="shared" si="4"/>
        <v>809</v>
      </c>
      <c r="J45" s="15">
        <v>1</v>
      </c>
      <c r="K45" s="15">
        <f t="shared" si="6"/>
        <v>0.25</v>
      </c>
      <c r="L45" s="14" t="s">
        <v>46</v>
      </c>
      <c r="M45" s="14">
        <f t="shared" si="7"/>
        <v>809</v>
      </c>
      <c r="N45" s="14">
        <f t="shared" si="5"/>
        <v>202.25</v>
      </c>
      <c r="O45" s="11" t="s">
        <v>27</v>
      </c>
      <c r="P45" s="11" t="s">
        <v>27</v>
      </c>
      <c r="Q45" s="11"/>
      <c r="R45" s="11">
        <v>1</v>
      </c>
      <c r="S45" s="11" t="s">
        <v>28</v>
      </c>
      <c r="T45" s="16" t="s">
        <v>44</v>
      </c>
    </row>
    <row r="46" spans="1:20" x14ac:dyDescent="0.3">
      <c r="A46" s="10">
        <v>45671</v>
      </c>
      <c r="B46" s="11">
        <v>113212</v>
      </c>
      <c r="C46" s="11" t="s">
        <v>31</v>
      </c>
      <c r="D46" s="11" t="s">
        <v>608</v>
      </c>
      <c r="E46" s="11" t="s">
        <v>35</v>
      </c>
      <c r="F46" s="11" t="s">
        <v>35</v>
      </c>
      <c r="G46" s="12">
        <v>12</v>
      </c>
      <c r="H46" s="13">
        <v>176</v>
      </c>
      <c r="I46" s="14">
        <f t="shared" si="4"/>
        <v>2112</v>
      </c>
      <c r="J46" s="15">
        <v>0.01</v>
      </c>
      <c r="K46" s="15">
        <f t="shared" si="6"/>
        <v>2.5000000000000001E-3</v>
      </c>
      <c r="L46" s="14" t="s">
        <v>26</v>
      </c>
      <c r="M46" s="14">
        <f t="shared" si="7"/>
        <v>21.12</v>
      </c>
      <c r="N46" s="14">
        <f t="shared" si="5"/>
        <v>5.28</v>
      </c>
      <c r="O46" s="11" t="s">
        <v>597</v>
      </c>
      <c r="P46" s="11" t="s">
        <v>597</v>
      </c>
      <c r="Q46" s="11"/>
      <c r="R46" s="11">
        <v>3</v>
      </c>
      <c r="S46" s="11" t="s">
        <v>597</v>
      </c>
      <c r="T46" s="16" t="s">
        <v>31</v>
      </c>
    </row>
    <row r="47" spans="1:20" x14ac:dyDescent="0.3">
      <c r="A47" s="10">
        <v>45672</v>
      </c>
      <c r="B47" s="11">
        <v>117788</v>
      </c>
      <c r="C47" s="11" t="s">
        <v>31</v>
      </c>
      <c r="D47" s="11" t="s">
        <v>609</v>
      </c>
      <c r="E47" s="11" t="s">
        <v>24</v>
      </c>
      <c r="F47" s="11" t="s">
        <v>554</v>
      </c>
      <c r="G47" s="12">
        <v>16</v>
      </c>
      <c r="H47" s="13">
        <v>210</v>
      </c>
      <c r="I47" s="14">
        <f t="shared" si="4"/>
        <v>3360</v>
      </c>
      <c r="J47" s="15">
        <v>7.0000000000000007E-2</v>
      </c>
      <c r="K47" s="15">
        <f t="shared" si="6"/>
        <v>1.7500000000000002E-2</v>
      </c>
      <c r="L47" s="14" t="s">
        <v>26</v>
      </c>
      <c r="M47" s="14">
        <f t="shared" si="7"/>
        <v>235.20000000000002</v>
      </c>
      <c r="N47" s="14">
        <f t="shared" si="5"/>
        <v>58.800000000000004</v>
      </c>
      <c r="O47" s="11" t="s">
        <v>597</v>
      </c>
      <c r="P47" s="11" t="s">
        <v>597</v>
      </c>
      <c r="Q47" s="11"/>
      <c r="R47" s="11">
        <v>6</v>
      </c>
      <c r="S47" s="11" t="s">
        <v>597</v>
      </c>
      <c r="T47" s="16" t="s">
        <v>31</v>
      </c>
    </row>
    <row r="48" spans="1:20" x14ac:dyDescent="0.3">
      <c r="A48" s="10">
        <v>45672</v>
      </c>
      <c r="B48" s="11">
        <v>117775</v>
      </c>
      <c r="C48" s="11" t="s">
        <v>31</v>
      </c>
      <c r="D48" s="11" t="s">
        <v>136</v>
      </c>
      <c r="E48" s="11" t="s">
        <v>24</v>
      </c>
      <c r="F48" s="11" t="s">
        <v>554</v>
      </c>
      <c r="G48" s="12">
        <v>4</v>
      </c>
      <c r="H48" s="13">
        <v>210</v>
      </c>
      <c r="I48" s="14">
        <f t="shared" si="4"/>
        <v>840</v>
      </c>
      <c r="J48" s="15">
        <v>7.0000000000000007E-2</v>
      </c>
      <c r="K48" s="15">
        <f t="shared" si="6"/>
        <v>1.7500000000000002E-2</v>
      </c>
      <c r="L48" s="14" t="s">
        <v>26</v>
      </c>
      <c r="M48" s="14">
        <f t="shared" si="7"/>
        <v>58.800000000000004</v>
      </c>
      <c r="N48" s="14">
        <f t="shared" si="5"/>
        <v>14.700000000000001</v>
      </c>
      <c r="O48" s="11" t="s">
        <v>597</v>
      </c>
      <c r="P48" s="11" t="s">
        <v>597</v>
      </c>
      <c r="Q48" s="11"/>
      <c r="R48" s="11">
        <v>6</v>
      </c>
      <c r="S48" s="11" t="s">
        <v>597</v>
      </c>
      <c r="T48" s="16" t="s">
        <v>31</v>
      </c>
    </row>
    <row r="49" spans="1:20" x14ac:dyDescent="0.3">
      <c r="A49" s="10">
        <v>45672</v>
      </c>
      <c r="B49" s="11">
        <v>117316</v>
      </c>
      <c r="C49" s="11" t="s">
        <v>31</v>
      </c>
      <c r="D49" s="11" t="s">
        <v>114</v>
      </c>
      <c r="E49" s="11" t="s">
        <v>54</v>
      </c>
      <c r="F49" s="11" t="s">
        <v>30</v>
      </c>
      <c r="G49" s="12">
        <v>2</v>
      </c>
      <c r="H49" s="13">
        <v>142.56</v>
      </c>
      <c r="I49" s="14">
        <f t="shared" ref="I49:I80" si="8">G49*H49</f>
        <v>285.12</v>
      </c>
      <c r="J49" s="15">
        <v>1</v>
      </c>
      <c r="K49" s="15">
        <f t="shared" si="6"/>
        <v>0.25</v>
      </c>
      <c r="L49" s="14" t="s">
        <v>26</v>
      </c>
      <c r="M49" s="14">
        <f t="shared" si="7"/>
        <v>285.12</v>
      </c>
      <c r="N49" s="14">
        <f t="shared" si="5"/>
        <v>71.28</v>
      </c>
      <c r="O49" s="11" t="s">
        <v>597</v>
      </c>
      <c r="P49" s="11" t="s">
        <v>597</v>
      </c>
      <c r="Q49" s="11"/>
      <c r="R49" s="11">
        <v>1</v>
      </c>
      <c r="S49" s="11" t="s">
        <v>597</v>
      </c>
      <c r="T49" s="16" t="s">
        <v>31</v>
      </c>
    </row>
    <row r="50" spans="1:20" x14ac:dyDescent="0.3">
      <c r="A50" s="10">
        <v>45673</v>
      </c>
      <c r="B50" s="11">
        <v>116965</v>
      </c>
      <c r="C50" s="11" t="s">
        <v>22</v>
      </c>
      <c r="D50" s="11" t="s">
        <v>610</v>
      </c>
      <c r="E50" s="11" t="s">
        <v>35</v>
      </c>
      <c r="F50" s="11" t="s">
        <v>35</v>
      </c>
      <c r="G50" s="12">
        <v>11</v>
      </c>
      <c r="H50" s="13">
        <v>176</v>
      </c>
      <c r="I50" s="14">
        <f t="shared" si="8"/>
        <v>1936</v>
      </c>
      <c r="J50" s="15">
        <v>0.01</v>
      </c>
      <c r="K50" s="17">
        <v>0</v>
      </c>
      <c r="L50" s="14" t="s">
        <v>26</v>
      </c>
      <c r="M50" s="14">
        <f t="shared" si="7"/>
        <v>19.36</v>
      </c>
      <c r="N50" s="14">
        <f t="shared" si="5"/>
        <v>0</v>
      </c>
      <c r="O50" s="11" t="s">
        <v>597</v>
      </c>
      <c r="P50" s="11" t="s">
        <v>597</v>
      </c>
      <c r="Q50" s="11"/>
      <c r="R50" s="11">
        <v>3</v>
      </c>
      <c r="S50" s="11" t="s">
        <v>597</v>
      </c>
      <c r="T50" s="16" t="s">
        <v>22</v>
      </c>
    </row>
    <row r="51" spans="1:20" x14ac:dyDescent="0.3">
      <c r="A51" s="10">
        <v>45674</v>
      </c>
      <c r="B51" s="11">
        <v>117899</v>
      </c>
      <c r="C51" s="11" t="s">
        <v>31</v>
      </c>
      <c r="D51" s="11" t="s">
        <v>611</v>
      </c>
      <c r="E51" s="11" t="s">
        <v>589</v>
      </c>
      <c r="F51" s="11" t="s">
        <v>41</v>
      </c>
      <c r="G51" s="12">
        <v>1</v>
      </c>
      <c r="H51" s="13">
        <v>12960</v>
      </c>
      <c r="I51" s="14">
        <f t="shared" si="8"/>
        <v>12960</v>
      </c>
      <c r="J51" s="15">
        <v>2.0400000000000001E-2</v>
      </c>
      <c r="K51" s="15">
        <f t="shared" ref="K51:K68" si="9">J51*0.25</f>
        <v>5.1000000000000004E-3</v>
      </c>
      <c r="L51" s="14" t="s">
        <v>26</v>
      </c>
      <c r="M51" s="14">
        <f t="shared" si="7"/>
        <v>264.38400000000001</v>
      </c>
      <c r="N51" s="14">
        <f t="shared" si="5"/>
        <v>66.096000000000004</v>
      </c>
      <c r="O51" s="11" t="s">
        <v>27</v>
      </c>
      <c r="P51" s="11" t="s">
        <v>27</v>
      </c>
      <c r="Q51" s="11"/>
      <c r="R51" s="11">
        <v>10</v>
      </c>
      <c r="S51" s="11" t="s">
        <v>28</v>
      </c>
      <c r="T51" s="16" t="s">
        <v>31</v>
      </c>
    </row>
    <row r="52" spans="1:20" x14ac:dyDescent="0.3">
      <c r="A52" s="10">
        <v>45674</v>
      </c>
      <c r="B52" s="11">
        <v>117899</v>
      </c>
      <c r="C52" s="11" t="s">
        <v>31</v>
      </c>
      <c r="D52" s="11" t="s">
        <v>114</v>
      </c>
      <c r="E52" s="11" t="s">
        <v>589</v>
      </c>
      <c r="F52" s="11" t="s">
        <v>30</v>
      </c>
      <c r="G52" s="12">
        <v>1</v>
      </c>
      <c r="H52" s="13">
        <v>641.52</v>
      </c>
      <c r="I52" s="14">
        <f t="shared" si="8"/>
        <v>641.52</v>
      </c>
      <c r="J52" s="15">
        <v>1</v>
      </c>
      <c r="K52" s="15">
        <f t="shared" si="9"/>
        <v>0.25</v>
      </c>
      <c r="L52" s="14" t="s">
        <v>26</v>
      </c>
      <c r="M52" s="14">
        <f t="shared" si="7"/>
        <v>641.52</v>
      </c>
      <c r="N52" s="14">
        <f t="shared" si="5"/>
        <v>160.38</v>
      </c>
      <c r="O52" s="11" t="s">
        <v>27</v>
      </c>
      <c r="P52" s="11" t="s">
        <v>27</v>
      </c>
      <c r="Q52" s="11"/>
      <c r="R52" s="11">
        <v>1</v>
      </c>
      <c r="S52" s="11" t="s">
        <v>28</v>
      </c>
      <c r="T52" s="16" t="s">
        <v>31</v>
      </c>
    </row>
    <row r="53" spans="1:20" x14ac:dyDescent="0.3">
      <c r="A53" s="10">
        <v>45681</v>
      </c>
      <c r="B53" s="11">
        <v>118061</v>
      </c>
      <c r="C53" s="11" t="s">
        <v>44</v>
      </c>
      <c r="D53" s="11" t="s">
        <v>140</v>
      </c>
      <c r="E53" s="11" t="s">
        <v>47</v>
      </c>
      <c r="F53" s="11" t="s">
        <v>554</v>
      </c>
      <c r="G53" s="12">
        <v>427</v>
      </c>
      <c r="H53" s="13">
        <v>180.04499999999999</v>
      </c>
      <c r="I53" s="14">
        <f t="shared" si="8"/>
        <v>76879.214999999997</v>
      </c>
      <c r="J53" s="15">
        <v>7.0000000000000007E-2</v>
      </c>
      <c r="K53" s="15">
        <f t="shared" si="9"/>
        <v>1.7500000000000002E-2</v>
      </c>
      <c r="L53" s="14" t="s">
        <v>46</v>
      </c>
      <c r="M53" s="14">
        <f t="shared" si="7"/>
        <v>5381.5450500000006</v>
      </c>
      <c r="N53" s="14">
        <f t="shared" si="5"/>
        <v>1345.3862625000002</v>
      </c>
      <c r="O53" s="11" t="s">
        <v>27</v>
      </c>
      <c r="P53" s="11" t="s">
        <v>27</v>
      </c>
      <c r="Q53" s="11"/>
      <c r="R53" s="11">
        <v>6</v>
      </c>
      <c r="S53" s="11" t="s">
        <v>28</v>
      </c>
      <c r="T53" s="16" t="s">
        <v>44</v>
      </c>
    </row>
    <row r="54" spans="1:20" x14ac:dyDescent="0.3">
      <c r="A54" s="10">
        <v>45681</v>
      </c>
      <c r="B54" s="11">
        <v>118061</v>
      </c>
      <c r="C54" s="11" t="s">
        <v>44</v>
      </c>
      <c r="D54" s="11" t="s">
        <v>140</v>
      </c>
      <c r="E54" s="11" t="s">
        <v>47</v>
      </c>
      <c r="F54" s="11" t="s">
        <v>30</v>
      </c>
      <c r="G54" s="12">
        <v>12</v>
      </c>
      <c r="H54" s="13">
        <v>275.62</v>
      </c>
      <c r="I54" s="14">
        <f t="shared" si="8"/>
        <v>3307.44</v>
      </c>
      <c r="J54" s="15">
        <v>1</v>
      </c>
      <c r="K54" s="15">
        <f t="shared" si="9"/>
        <v>0.25</v>
      </c>
      <c r="L54" s="14" t="s">
        <v>46</v>
      </c>
      <c r="M54" s="14">
        <f t="shared" si="7"/>
        <v>3307.44</v>
      </c>
      <c r="N54" s="14">
        <f t="shared" si="5"/>
        <v>826.86</v>
      </c>
      <c r="O54" s="11" t="s">
        <v>27</v>
      </c>
      <c r="P54" s="11" t="s">
        <v>27</v>
      </c>
      <c r="Q54" s="11"/>
      <c r="R54" s="11">
        <v>1</v>
      </c>
      <c r="S54" s="11" t="s">
        <v>28</v>
      </c>
      <c r="T54" s="16" t="s">
        <v>44</v>
      </c>
    </row>
    <row r="55" spans="1:20" x14ac:dyDescent="0.3">
      <c r="A55" s="10">
        <v>45681</v>
      </c>
      <c r="B55" s="11">
        <v>118061</v>
      </c>
      <c r="C55" s="11" t="s">
        <v>44</v>
      </c>
      <c r="D55" s="11" t="s">
        <v>140</v>
      </c>
      <c r="E55" s="11" t="s">
        <v>89</v>
      </c>
      <c r="F55" s="11" t="s">
        <v>30</v>
      </c>
      <c r="G55" s="12">
        <v>1</v>
      </c>
      <c r="H55" s="13">
        <v>356.4</v>
      </c>
      <c r="I55" s="14">
        <f t="shared" si="8"/>
        <v>356.4</v>
      </c>
      <c r="J55" s="15">
        <v>1</v>
      </c>
      <c r="K55" s="15">
        <f t="shared" si="9"/>
        <v>0.25</v>
      </c>
      <c r="L55" s="14" t="s">
        <v>46</v>
      </c>
      <c r="M55" s="14">
        <f t="shared" si="7"/>
        <v>356.4</v>
      </c>
      <c r="N55" s="14">
        <f t="shared" si="5"/>
        <v>89.1</v>
      </c>
      <c r="O55" s="11" t="s">
        <v>27</v>
      </c>
      <c r="P55" s="11" t="s">
        <v>27</v>
      </c>
      <c r="Q55" s="11"/>
      <c r="R55" s="11">
        <v>1</v>
      </c>
      <c r="S55" s="11" t="s">
        <v>28</v>
      </c>
      <c r="T55" s="16" t="s">
        <v>44</v>
      </c>
    </row>
    <row r="56" spans="1:20" x14ac:dyDescent="0.3">
      <c r="A56" s="10">
        <v>45681</v>
      </c>
      <c r="B56" s="11">
        <v>118061</v>
      </c>
      <c r="C56" s="11" t="s">
        <v>44</v>
      </c>
      <c r="D56" s="11" t="s">
        <v>140</v>
      </c>
      <c r="E56" s="11" t="s">
        <v>63</v>
      </c>
      <c r="F56" s="11" t="s">
        <v>554</v>
      </c>
      <c r="G56" s="12">
        <v>44</v>
      </c>
      <c r="H56" s="13">
        <v>180.04</v>
      </c>
      <c r="I56" s="14">
        <f t="shared" si="8"/>
        <v>7921.7599999999993</v>
      </c>
      <c r="J56" s="15">
        <v>7.0000000000000007E-2</v>
      </c>
      <c r="K56" s="15">
        <f t="shared" si="9"/>
        <v>1.7500000000000002E-2</v>
      </c>
      <c r="L56" s="14" t="s">
        <v>46</v>
      </c>
      <c r="M56" s="14">
        <f t="shared" si="7"/>
        <v>554.52319999999997</v>
      </c>
      <c r="N56" s="14">
        <f t="shared" si="5"/>
        <v>138.63079999999999</v>
      </c>
      <c r="O56" s="11" t="s">
        <v>27</v>
      </c>
      <c r="P56" s="11" t="s">
        <v>27</v>
      </c>
      <c r="Q56" s="11"/>
      <c r="R56" s="11">
        <v>6</v>
      </c>
      <c r="S56" s="11" t="s">
        <v>28</v>
      </c>
      <c r="T56" s="16" t="s">
        <v>44</v>
      </c>
    </row>
    <row r="57" spans="1:20" x14ac:dyDescent="0.3">
      <c r="A57" s="10">
        <v>45681</v>
      </c>
      <c r="B57" s="11">
        <v>118061</v>
      </c>
      <c r="C57" s="11" t="s">
        <v>44</v>
      </c>
      <c r="D57" s="11" t="s">
        <v>140</v>
      </c>
      <c r="E57" s="11" t="s">
        <v>63</v>
      </c>
      <c r="F57" s="11" t="s">
        <v>30</v>
      </c>
      <c r="G57" s="12">
        <v>30</v>
      </c>
      <c r="H57" s="13">
        <v>88.2</v>
      </c>
      <c r="I57" s="14">
        <f t="shared" si="8"/>
        <v>2646</v>
      </c>
      <c r="J57" s="15">
        <v>1</v>
      </c>
      <c r="K57" s="15">
        <f t="shared" si="9"/>
        <v>0.25</v>
      </c>
      <c r="L57" s="14" t="s">
        <v>46</v>
      </c>
      <c r="M57" s="14">
        <f t="shared" si="7"/>
        <v>2646</v>
      </c>
      <c r="N57" s="14">
        <f t="shared" si="5"/>
        <v>661.5</v>
      </c>
      <c r="O57" s="11" t="s">
        <v>27</v>
      </c>
      <c r="P57" s="11" t="s">
        <v>27</v>
      </c>
      <c r="Q57" s="11"/>
      <c r="R57" s="11">
        <v>1</v>
      </c>
      <c r="S57" s="11" t="s">
        <v>28</v>
      </c>
      <c r="T57" s="16" t="s">
        <v>44</v>
      </c>
    </row>
    <row r="58" spans="1:20" x14ac:dyDescent="0.3">
      <c r="A58" s="10">
        <v>45681</v>
      </c>
      <c r="B58" s="11">
        <v>117780</v>
      </c>
      <c r="C58" s="11" t="s">
        <v>31</v>
      </c>
      <c r="D58" s="11" t="s">
        <v>612</v>
      </c>
      <c r="E58" s="11" t="s">
        <v>35</v>
      </c>
      <c r="F58" s="11" t="s">
        <v>35</v>
      </c>
      <c r="G58" s="12">
        <v>7</v>
      </c>
      <c r="H58" s="13">
        <v>176</v>
      </c>
      <c r="I58" s="14">
        <f t="shared" si="8"/>
        <v>1232</v>
      </c>
      <c r="J58" s="15">
        <v>0.01</v>
      </c>
      <c r="K58" s="15">
        <f t="shared" si="9"/>
        <v>2.5000000000000001E-3</v>
      </c>
      <c r="L58" s="14" t="s">
        <v>26</v>
      </c>
      <c r="M58" s="14">
        <f t="shared" si="7"/>
        <v>12.32</v>
      </c>
      <c r="N58" s="14">
        <f t="shared" si="5"/>
        <v>3.08</v>
      </c>
      <c r="O58" s="11" t="s">
        <v>597</v>
      </c>
      <c r="P58" s="11" t="s">
        <v>597</v>
      </c>
      <c r="Q58" s="11"/>
      <c r="R58" s="11">
        <v>3</v>
      </c>
      <c r="S58" s="11" t="s">
        <v>597</v>
      </c>
      <c r="T58" s="16" t="s">
        <v>31</v>
      </c>
    </row>
    <row r="59" spans="1:20" x14ac:dyDescent="0.3">
      <c r="A59" s="10">
        <v>45681</v>
      </c>
      <c r="B59" s="11">
        <v>117808</v>
      </c>
      <c r="C59" s="11" t="s">
        <v>31</v>
      </c>
      <c r="D59" s="11" t="s">
        <v>124</v>
      </c>
      <c r="E59" s="11" t="s">
        <v>24</v>
      </c>
      <c r="F59" s="11" t="s">
        <v>554</v>
      </c>
      <c r="G59" s="12">
        <v>4</v>
      </c>
      <c r="H59" s="13">
        <v>178.5</v>
      </c>
      <c r="I59" s="14">
        <f t="shared" si="8"/>
        <v>714</v>
      </c>
      <c r="J59" s="15">
        <v>6.6699999999999995E-2</v>
      </c>
      <c r="K59" s="15">
        <f t="shared" si="9"/>
        <v>1.6674999999999999E-2</v>
      </c>
      <c r="L59" s="14" t="s">
        <v>26</v>
      </c>
      <c r="M59" s="14">
        <f t="shared" si="7"/>
        <v>47.623799999999996</v>
      </c>
      <c r="N59" s="14">
        <f t="shared" si="5"/>
        <v>11.905949999999999</v>
      </c>
      <c r="O59" s="11" t="s">
        <v>597</v>
      </c>
      <c r="P59" s="11" t="s">
        <v>597</v>
      </c>
      <c r="Q59" s="11"/>
      <c r="R59" s="11">
        <v>1</v>
      </c>
      <c r="S59" s="11" t="s">
        <v>597</v>
      </c>
      <c r="T59" s="16" t="s">
        <v>31</v>
      </c>
    </row>
    <row r="60" spans="1:20" x14ac:dyDescent="0.3">
      <c r="A60" s="10">
        <v>45685</v>
      </c>
      <c r="B60" s="11">
        <v>116514</v>
      </c>
      <c r="C60" s="11" t="s">
        <v>31</v>
      </c>
      <c r="D60" s="11" t="s">
        <v>94</v>
      </c>
      <c r="E60" s="11" t="s">
        <v>35</v>
      </c>
      <c r="F60" s="11" t="s">
        <v>35</v>
      </c>
      <c r="G60" s="12">
        <v>4</v>
      </c>
      <c r="H60" s="13">
        <v>158.4</v>
      </c>
      <c r="I60" s="14">
        <f t="shared" si="8"/>
        <v>633.6</v>
      </c>
      <c r="J60" s="15">
        <v>0.01</v>
      </c>
      <c r="K60" s="15">
        <f t="shared" si="9"/>
        <v>2.5000000000000001E-3</v>
      </c>
      <c r="L60" s="14" t="s">
        <v>26</v>
      </c>
      <c r="M60" s="14">
        <f t="shared" si="7"/>
        <v>6.3360000000000003</v>
      </c>
      <c r="N60" s="14">
        <f t="shared" si="5"/>
        <v>1.5840000000000001</v>
      </c>
      <c r="O60" s="11" t="s">
        <v>597</v>
      </c>
      <c r="P60" s="11" t="s">
        <v>597</v>
      </c>
      <c r="Q60" s="11"/>
      <c r="R60" s="11">
        <v>3</v>
      </c>
      <c r="S60" s="11" t="s">
        <v>597</v>
      </c>
      <c r="T60" s="16" t="s">
        <v>31</v>
      </c>
    </row>
    <row r="61" spans="1:20" x14ac:dyDescent="0.3">
      <c r="A61" s="10">
        <v>45686</v>
      </c>
      <c r="B61" s="11">
        <v>118426</v>
      </c>
      <c r="C61" s="11" t="s">
        <v>44</v>
      </c>
      <c r="D61" s="11" t="s">
        <v>595</v>
      </c>
      <c r="E61" s="11" t="s">
        <v>102</v>
      </c>
      <c r="F61" s="11" t="s">
        <v>41</v>
      </c>
      <c r="G61" s="12">
        <v>1</v>
      </c>
      <c r="H61" s="13">
        <v>1600</v>
      </c>
      <c r="I61" s="14">
        <f t="shared" si="8"/>
        <v>1600</v>
      </c>
      <c r="J61" s="15">
        <v>7.0000000000000007E-2</v>
      </c>
      <c r="K61" s="15">
        <f t="shared" si="9"/>
        <v>1.7500000000000002E-2</v>
      </c>
      <c r="L61" s="14" t="s">
        <v>46</v>
      </c>
      <c r="M61" s="14">
        <f t="shared" si="7"/>
        <v>112.00000000000001</v>
      </c>
      <c r="N61" s="14">
        <f t="shared" ref="N61:N92" si="10">I61*K61</f>
        <v>28.000000000000004</v>
      </c>
      <c r="O61" s="11" t="s">
        <v>27</v>
      </c>
      <c r="P61" s="11" t="s">
        <v>27</v>
      </c>
      <c r="Q61" s="11"/>
      <c r="R61" s="11">
        <v>8</v>
      </c>
      <c r="S61" s="11" t="s">
        <v>28</v>
      </c>
      <c r="T61" s="16" t="s">
        <v>44</v>
      </c>
    </row>
    <row r="62" spans="1:20" x14ac:dyDescent="0.3">
      <c r="A62" s="10">
        <v>45686</v>
      </c>
      <c r="B62" s="11">
        <v>118426</v>
      </c>
      <c r="C62" s="11" t="s">
        <v>44</v>
      </c>
      <c r="D62" s="11" t="s">
        <v>595</v>
      </c>
      <c r="E62" s="11" t="s">
        <v>102</v>
      </c>
      <c r="F62" s="11" t="s">
        <v>30</v>
      </c>
      <c r="G62" s="12">
        <v>1</v>
      </c>
      <c r="H62" s="13">
        <v>1643.4</v>
      </c>
      <c r="I62" s="14">
        <f t="shared" si="8"/>
        <v>1643.4</v>
      </c>
      <c r="J62" s="15">
        <v>1</v>
      </c>
      <c r="K62" s="15">
        <f t="shared" si="9"/>
        <v>0.25</v>
      </c>
      <c r="L62" s="14" t="s">
        <v>46</v>
      </c>
      <c r="M62" s="14">
        <f t="shared" si="7"/>
        <v>1643.4</v>
      </c>
      <c r="N62" s="14">
        <f t="shared" si="10"/>
        <v>410.85</v>
      </c>
      <c r="O62" s="11" t="s">
        <v>27</v>
      </c>
      <c r="P62" s="11" t="s">
        <v>27</v>
      </c>
      <c r="Q62" s="11"/>
      <c r="R62" s="11">
        <v>1</v>
      </c>
      <c r="S62" s="11" t="s">
        <v>28</v>
      </c>
      <c r="T62" s="16" t="s">
        <v>44</v>
      </c>
    </row>
    <row r="63" spans="1:20" x14ac:dyDescent="0.3">
      <c r="A63" s="10">
        <v>45686</v>
      </c>
      <c r="B63" s="11">
        <v>118426</v>
      </c>
      <c r="C63" s="11" t="s">
        <v>44</v>
      </c>
      <c r="D63" s="11" t="s">
        <v>595</v>
      </c>
      <c r="E63" s="11" t="s">
        <v>102</v>
      </c>
      <c r="F63" s="11" t="s">
        <v>30</v>
      </c>
      <c r="G63" s="12">
        <v>6</v>
      </c>
      <c r="H63" s="13">
        <v>100.8</v>
      </c>
      <c r="I63" s="14">
        <f t="shared" si="8"/>
        <v>604.79999999999995</v>
      </c>
      <c r="J63" s="15">
        <v>1</v>
      </c>
      <c r="K63" s="15">
        <f t="shared" si="9"/>
        <v>0.25</v>
      </c>
      <c r="L63" s="14" t="s">
        <v>46</v>
      </c>
      <c r="M63" s="14">
        <f t="shared" si="7"/>
        <v>604.79999999999995</v>
      </c>
      <c r="N63" s="14">
        <f t="shared" si="10"/>
        <v>151.19999999999999</v>
      </c>
      <c r="O63" s="11" t="s">
        <v>27</v>
      </c>
      <c r="P63" s="11" t="s">
        <v>27</v>
      </c>
      <c r="Q63" s="11"/>
      <c r="R63" s="11">
        <v>1</v>
      </c>
      <c r="S63" s="11" t="s">
        <v>28</v>
      </c>
      <c r="T63" s="16" t="s">
        <v>44</v>
      </c>
    </row>
    <row r="64" spans="1:20" x14ac:dyDescent="0.3">
      <c r="A64" s="10">
        <v>45686</v>
      </c>
      <c r="B64" s="11">
        <v>117373</v>
      </c>
      <c r="C64" s="11" t="s">
        <v>31</v>
      </c>
      <c r="D64" s="11" t="s">
        <v>116</v>
      </c>
      <c r="E64" s="11" t="s">
        <v>35</v>
      </c>
      <c r="F64" s="11" t="s">
        <v>35</v>
      </c>
      <c r="G64" s="12">
        <v>4</v>
      </c>
      <c r="H64" s="13">
        <v>159.5</v>
      </c>
      <c r="I64" s="14">
        <f t="shared" si="8"/>
        <v>638</v>
      </c>
      <c r="J64" s="15">
        <v>6.8999999999999999E-3</v>
      </c>
      <c r="K64" s="15">
        <f t="shared" si="9"/>
        <v>1.725E-3</v>
      </c>
      <c r="L64" s="14" t="s">
        <v>26</v>
      </c>
      <c r="M64" s="14">
        <f t="shared" si="7"/>
        <v>4.4021999999999997</v>
      </c>
      <c r="N64" s="14">
        <f t="shared" si="10"/>
        <v>1.1005499999999999</v>
      </c>
      <c r="O64" s="11" t="s">
        <v>597</v>
      </c>
      <c r="P64" s="11" t="s">
        <v>597</v>
      </c>
      <c r="Q64" s="11"/>
      <c r="R64" s="11">
        <v>1</v>
      </c>
      <c r="S64" s="11" t="s">
        <v>597</v>
      </c>
      <c r="T64" s="16" t="s">
        <v>31</v>
      </c>
    </row>
    <row r="65" spans="1:20" x14ac:dyDescent="0.3">
      <c r="A65" s="10">
        <v>45686</v>
      </c>
      <c r="B65" s="11">
        <v>117278</v>
      </c>
      <c r="C65" s="11" t="s">
        <v>31</v>
      </c>
      <c r="D65" s="11" t="s">
        <v>598</v>
      </c>
      <c r="E65" s="11" t="s">
        <v>24</v>
      </c>
      <c r="F65" s="11" t="s">
        <v>554</v>
      </c>
      <c r="G65" s="12">
        <v>3</v>
      </c>
      <c r="H65" s="13">
        <v>212</v>
      </c>
      <c r="I65" s="14">
        <f t="shared" si="8"/>
        <v>636</v>
      </c>
      <c r="J65" s="15">
        <v>7.0000000000000007E-2</v>
      </c>
      <c r="K65" s="15">
        <f t="shared" si="9"/>
        <v>1.7500000000000002E-2</v>
      </c>
      <c r="L65" s="14" t="s">
        <v>26</v>
      </c>
      <c r="M65" s="14">
        <f t="shared" si="7"/>
        <v>44.52</v>
      </c>
      <c r="N65" s="14">
        <f t="shared" si="10"/>
        <v>11.13</v>
      </c>
      <c r="O65" s="11" t="s">
        <v>597</v>
      </c>
      <c r="P65" s="11" t="s">
        <v>597</v>
      </c>
      <c r="Q65" s="11"/>
      <c r="R65" s="11">
        <v>1</v>
      </c>
      <c r="S65" s="11" t="s">
        <v>597</v>
      </c>
      <c r="T65" s="16" t="s">
        <v>31</v>
      </c>
    </row>
    <row r="66" spans="1:20" x14ac:dyDescent="0.3">
      <c r="A66" s="18">
        <v>45686</v>
      </c>
      <c r="B66" s="11">
        <v>118341</v>
      </c>
      <c r="C66" s="11" t="s">
        <v>31</v>
      </c>
      <c r="D66" s="11" t="s">
        <v>127</v>
      </c>
      <c r="E66" s="11" t="s">
        <v>24</v>
      </c>
      <c r="F66" s="11" t="s">
        <v>554</v>
      </c>
      <c r="G66" s="12">
        <v>16</v>
      </c>
      <c r="H66" s="13">
        <v>210</v>
      </c>
      <c r="I66" s="14">
        <f t="shared" si="8"/>
        <v>3360</v>
      </c>
      <c r="J66" s="15">
        <v>7.0000000000000007E-2</v>
      </c>
      <c r="K66" s="15">
        <f t="shared" si="9"/>
        <v>1.7500000000000002E-2</v>
      </c>
      <c r="L66" s="14" t="s">
        <v>26</v>
      </c>
      <c r="M66" s="14">
        <f t="shared" ref="M66:M96" si="11">J66*I66</f>
        <v>235.20000000000002</v>
      </c>
      <c r="N66" s="14">
        <f t="shared" si="10"/>
        <v>58.800000000000004</v>
      </c>
      <c r="O66" s="11" t="s">
        <v>597</v>
      </c>
      <c r="P66" s="11" t="s">
        <v>597</v>
      </c>
      <c r="Q66" s="11"/>
      <c r="R66" s="11">
        <v>6</v>
      </c>
      <c r="S66" s="11" t="s">
        <v>597</v>
      </c>
      <c r="T66" s="16" t="s">
        <v>31</v>
      </c>
    </row>
    <row r="67" spans="1:20" x14ac:dyDescent="0.3">
      <c r="A67" s="10">
        <v>45691</v>
      </c>
      <c r="B67" s="11">
        <v>118419</v>
      </c>
      <c r="C67" s="11" t="s">
        <v>31</v>
      </c>
      <c r="D67" s="11" t="s">
        <v>613</v>
      </c>
      <c r="E67" s="11" t="s">
        <v>89</v>
      </c>
      <c r="F67" s="11" t="s">
        <v>554</v>
      </c>
      <c r="G67" s="12">
        <v>16</v>
      </c>
      <c r="H67" s="13">
        <v>210</v>
      </c>
      <c r="I67" s="14">
        <f t="shared" si="8"/>
        <v>3360</v>
      </c>
      <c r="J67" s="15">
        <v>7.0000000000000007E-2</v>
      </c>
      <c r="K67" s="15">
        <f t="shared" si="9"/>
        <v>1.7500000000000002E-2</v>
      </c>
      <c r="L67" s="14" t="s">
        <v>26</v>
      </c>
      <c r="M67" s="14">
        <f t="shared" si="11"/>
        <v>235.20000000000002</v>
      </c>
      <c r="N67" s="14">
        <f t="shared" si="10"/>
        <v>58.800000000000004</v>
      </c>
      <c r="O67" s="11" t="s">
        <v>27</v>
      </c>
      <c r="P67" s="11" t="s">
        <v>27</v>
      </c>
      <c r="Q67" s="11"/>
      <c r="R67" s="11">
        <v>6</v>
      </c>
      <c r="S67" s="11" t="s">
        <v>28</v>
      </c>
      <c r="T67" s="16" t="s">
        <v>31</v>
      </c>
    </row>
    <row r="68" spans="1:20" x14ac:dyDescent="0.3">
      <c r="A68" s="10">
        <v>45691</v>
      </c>
      <c r="B68" s="11">
        <v>118419</v>
      </c>
      <c r="C68" s="11" t="s">
        <v>31</v>
      </c>
      <c r="D68" s="11" t="s">
        <v>613</v>
      </c>
      <c r="E68" s="11" t="s">
        <v>89</v>
      </c>
      <c r="F68" s="11" t="s">
        <v>30</v>
      </c>
      <c r="G68" s="12">
        <v>1</v>
      </c>
      <c r="H68" s="13">
        <v>356.4</v>
      </c>
      <c r="I68" s="14">
        <f t="shared" si="8"/>
        <v>356.4</v>
      </c>
      <c r="J68" s="15">
        <v>1</v>
      </c>
      <c r="K68" s="15">
        <f t="shared" si="9"/>
        <v>0.25</v>
      </c>
      <c r="L68" s="14" t="s">
        <v>26</v>
      </c>
      <c r="M68" s="14">
        <f t="shared" si="11"/>
        <v>356.4</v>
      </c>
      <c r="N68" s="14">
        <f t="shared" si="10"/>
        <v>89.1</v>
      </c>
      <c r="O68" s="11" t="s">
        <v>27</v>
      </c>
      <c r="P68" s="11" t="s">
        <v>27</v>
      </c>
      <c r="Q68" s="11"/>
      <c r="R68" s="11">
        <v>1</v>
      </c>
      <c r="S68" s="11" t="s">
        <v>28</v>
      </c>
      <c r="T68" s="16" t="s">
        <v>31</v>
      </c>
    </row>
    <row r="69" spans="1:20" x14ac:dyDescent="0.3">
      <c r="A69" s="10">
        <v>45697</v>
      </c>
      <c r="B69" s="11">
        <v>116965</v>
      </c>
      <c r="C69" s="11" t="s">
        <v>22</v>
      </c>
      <c r="D69" s="11" t="s">
        <v>610</v>
      </c>
      <c r="E69" s="11" t="s">
        <v>35</v>
      </c>
      <c r="F69" s="11" t="s">
        <v>35</v>
      </c>
      <c r="G69" s="12">
        <v>9</v>
      </c>
      <c r="H69" s="13">
        <v>176</v>
      </c>
      <c r="I69" s="14">
        <f t="shared" si="8"/>
        <v>1584</v>
      </c>
      <c r="J69" s="15">
        <v>0.01</v>
      </c>
      <c r="K69" s="15">
        <v>0</v>
      </c>
      <c r="L69" s="14" t="s">
        <v>26</v>
      </c>
      <c r="M69" s="14">
        <f t="shared" si="11"/>
        <v>15.84</v>
      </c>
      <c r="N69" s="14">
        <f t="shared" si="10"/>
        <v>0</v>
      </c>
      <c r="O69" s="11" t="s">
        <v>597</v>
      </c>
      <c r="P69" s="11" t="s">
        <v>597</v>
      </c>
      <c r="Q69" s="11"/>
      <c r="R69" s="11">
        <v>3</v>
      </c>
      <c r="S69" s="11" t="s">
        <v>597</v>
      </c>
      <c r="T69" s="16" t="s">
        <v>22</v>
      </c>
    </row>
    <row r="70" spans="1:20" x14ac:dyDescent="0.3">
      <c r="A70" s="10">
        <v>45697</v>
      </c>
      <c r="B70" s="11">
        <v>118707</v>
      </c>
      <c r="C70" s="11" t="s">
        <v>31</v>
      </c>
      <c r="D70" s="11" t="s">
        <v>610</v>
      </c>
      <c r="E70" s="11" t="s">
        <v>35</v>
      </c>
      <c r="F70" s="11" t="s">
        <v>35</v>
      </c>
      <c r="G70" s="12">
        <v>45</v>
      </c>
      <c r="H70" s="13">
        <v>176</v>
      </c>
      <c r="I70" s="14">
        <f t="shared" si="8"/>
        <v>7920</v>
      </c>
      <c r="J70" s="15">
        <v>0.01</v>
      </c>
      <c r="K70" s="15">
        <f>J70*0.25</f>
        <v>2.5000000000000001E-3</v>
      </c>
      <c r="L70" s="14" t="s">
        <v>26</v>
      </c>
      <c r="M70" s="14">
        <f t="shared" si="11"/>
        <v>79.2</v>
      </c>
      <c r="N70" s="14">
        <f t="shared" si="10"/>
        <v>19.8</v>
      </c>
      <c r="O70" s="11" t="s">
        <v>597</v>
      </c>
      <c r="P70" s="11" t="s">
        <v>597</v>
      </c>
      <c r="Q70" s="11"/>
      <c r="R70" s="11">
        <v>3</v>
      </c>
      <c r="S70" s="11" t="s">
        <v>597</v>
      </c>
      <c r="T70" s="16" t="s">
        <v>31</v>
      </c>
    </row>
    <row r="71" spans="1:20" x14ac:dyDescent="0.3">
      <c r="A71" s="10">
        <v>45697</v>
      </c>
      <c r="B71" s="11">
        <v>106541</v>
      </c>
      <c r="C71" s="11" t="s">
        <v>22</v>
      </c>
      <c r="D71" s="11" t="s">
        <v>65</v>
      </c>
      <c r="E71" s="11" t="s">
        <v>24</v>
      </c>
      <c r="F71" s="11" t="s">
        <v>554</v>
      </c>
      <c r="G71" s="12">
        <v>34.5</v>
      </c>
      <c r="H71" s="13">
        <v>140</v>
      </c>
      <c r="I71" s="14">
        <f t="shared" si="8"/>
        <v>4830</v>
      </c>
      <c r="J71" s="15">
        <v>3.5000000000000003E-2</v>
      </c>
      <c r="K71" s="15">
        <v>0</v>
      </c>
      <c r="L71" s="14" t="s">
        <v>26</v>
      </c>
      <c r="M71" s="14">
        <f t="shared" si="11"/>
        <v>169.05</v>
      </c>
      <c r="N71" s="14">
        <f t="shared" si="10"/>
        <v>0</v>
      </c>
      <c r="O71" s="11" t="s">
        <v>597</v>
      </c>
      <c r="P71" s="11" t="s">
        <v>597</v>
      </c>
      <c r="Q71" s="11"/>
      <c r="R71" s="11">
        <v>1</v>
      </c>
      <c r="S71" s="11" t="s">
        <v>597</v>
      </c>
      <c r="T71" s="16" t="s">
        <v>22</v>
      </c>
    </row>
    <row r="72" spans="1:20" x14ac:dyDescent="0.3">
      <c r="A72" s="10">
        <v>45697</v>
      </c>
      <c r="B72" s="11">
        <v>118955</v>
      </c>
      <c r="C72" s="11" t="s">
        <v>31</v>
      </c>
      <c r="D72" s="11" t="s">
        <v>614</v>
      </c>
      <c r="E72" s="11" t="s">
        <v>40</v>
      </c>
      <c r="F72" s="11" t="s">
        <v>41</v>
      </c>
      <c r="G72" s="12">
        <v>1</v>
      </c>
      <c r="H72" s="13">
        <v>8311.9699999999993</v>
      </c>
      <c r="I72" s="14">
        <f t="shared" si="8"/>
        <v>8311.9699999999993</v>
      </c>
      <c r="J72" s="15">
        <v>7.0000000000000007E-2</v>
      </c>
      <c r="K72" s="15">
        <f t="shared" ref="K72:K77" si="12">J72*0.25</f>
        <v>1.7500000000000002E-2</v>
      </c>
      <c r="L72" s="14" t="s">
        <v>26</v>
      </c>
      <c r="M72" s="14">
        <f t="shared" si="11"/>
        <v>581.83789999999999</v>
      </c>
      <c r="N72" s="14">
        <f t="shared" si="10"/>
        <v>145.459475</v>
      </c>
      <c r="O72" s="11" t="s">
        <v>27</v>
      </c>
      <c r="P72" s="11" t="s">
        <v>27</v>
      </c>
      <c r="Q72" s="11"/>
      <c r="R72" s="11">
        <v>6</v>
      </c>
      <c r="S72" s="11" t="s">
        <v>28</v>
      </c>
      <c r="T72" s="16" t="s">
        <v>31</v>
      </c>
    </row>
    <row r="73" spans="1:20" x14ac:dyDescent="0.3">
      <c r="A73" s="10">
        <v>45697</v>
      </c>
      <c r="B73" s="11">
        <v>118955</v>
      </c>
      <c r="C73" s="11" t="s">
        <v>31</v>
      </c>
      <c r="D73" s="11" t="s">
        <v>614</v>
      </c>
      <c r="E73" s="11" t="s">
        <v>47</v>
      </c>
      <c r="F73" s="11" t="s">
        <v>30</v>
      </c>
      <c r="G73" s="12">
        <v>1</v>
      </c>
      <c r="H73" s="13">
        <v>361.39</v>
      </c>
      <c r="I73" s="14">
        <f t="shared" si="8"/>
        <v>361.39</v>
      </c>
      <c r="J73" s="15">
        <v>1</v>
      </c>
      <c r="K73" s="15">
        <f t="shared" si="12"/>
        <v>0.25</v>
      </c>
      <c r="L73" s="14" t="s">
        <v>26</v>
      </c>
      <c r="M73" s="14">
        <f t="shared" si="11"/>
        <v>361.39</v>
      </c>
      <c r="N73" s="14">
        <f t="shared" si="10"/>
        <v>90.347499999999997</v>
      </c>
      <c r="O73" s="11" t="s">
        <v>597</v>
      </c>
      <c r="P73" s="11" t="s">
        <v>597</v>
      </c>
      <c r="Q73" s="11"/>
      <c r="R73" s="11">
        <v>1</v>
      </c>
      <c r="S73" s="11" t="s">
        <v>597</v>
      </c>
      <c r="T73" s="16" t="s">
        <v>31</v>
      </c>
    </row>
    <row r="74" spans="1:20" x14ac:dyDescent="0.3">
      <c r="A74" s="10">
        <v>45697</v>
      </c>
      <c r="B74" s="11">
        <v>106330</v>
      </c>
      <c r="C74" s="11" t="s">
        <v>31</v>
      </c>
      <c r="D74" s="11" t="s">
        <v>127</v>
      </c>
      <c r="E74" s="11" t="s">
        <v>35</v>
      </c>
      <c r="F74" s="11" t="s">
        <v>35</v>
      </c>
      <c r="G74" s="12">
        <v>80</v>
      </c>
      <c r="H74" s="13">
        <v>176</v>
      </c>
      <c r="I74" s="14">
        <f t="shared" si="8"/>
        <v>14080</v>
      </c>
      <c r="J74" s="15">
        <v>0.01</v>
      </c>
      <c r="K74" s="15">
        <f t="shared" si="12"/>
        <v>2.5000000000000001E-3</v>
      </c>
      <c r="L74" s="14" t="s">
        <v>26</v>
      </c>
      <c r="M74" s="14">
        <f t="shared" si="11"/>
        <v>140.80000000000001</v>
      </c>
      <c r="N74" s="14">
        <f t="shared" si="10"/>
        <v>35.200000000000003</v>
      </c>
      <c r="O74" s="11" t="s">
        <v>597</v>
      </c>
      <c r="P74" s="11" t="s">
        <v>597</v>
      </c>
      <c r="Q74" s="11"/>
      <c r="R74" s="11">
        <v>6</v>
      </c>
      <c r="S74" s="11" t="s">
        <v>597</v>
      </c>
      <c r="T74" s="16" t="s">
        <v>31</v>
      </c>
    </row>
    <row r="75" spans="1:20" x14ac:dyDescent="0.3">
      <c r="A75" s="10">
        <v>45697</v>
      </c>
      <c r="B75" s="11">
        <v>117002</v>
      </c>
      <c r="C75" s="11" t="s">
        <v>44</v>
      </c>
      <c r="D75" s="11" t="s">
        <v>592</v>
      </c>
      <c r="E75" s="11" t="s">
        <v>40</v>
      </c>
      <c r="F75" s="11" t="s">
        <v>41</v>
      </c>
      <c r="G75" s="12">
        <v>1</v>
      </c>
      <c r="H75" s="13">
        <v>1487.26</v>
      </c>
      <c r="I75" s="14">
        <f t="shared" si="8"/>
        <v>1487.26</v>
      </c>
      <c r="J75" s="15">
        <v>7.0000000000000007E-2</v>
      </c>
      <c r="K75" s="15">
        <f t="shared" si="12"/>
        <v>1.7500000000000002E-2</v>
      </c>
      <c r="L75" s="14" t="s">
        <v>46</v>
      </c>
      <c r="M75" s="14">
        <f t="shared" si="11"/>
        <v>104.10820000000001</v>
      </c>
      <c r="N75" s="14">
        <f t="shared" si="10"/>
        <v>26.027050000000003</v>
      </c>
      <c r="O75" s="11" t="s">
        <v>27</v>
      </c>
      <c r="P75" s="11" t="s">
        <v>27</v>
      </c>
      <c r="Q75" s="11"/>
      <c r="R75" s="11">
        <v>6</v>
      </c>
      <c r="S75" s="11" t="s">
        <v>28</v>
      </c>
      <c r="T75" s="16" t="s">
        <v>44</v>
      </c>
    </row>
    <row r="76" spans="1:20" x14ac:dyDescent="0.3">
      <c r="A76" s="10">
        <v>45698</v>
      </c>
      <c r="B76" s="11">
        <v>119051</v>
      </c>
      <c r="C76" s="11" t="s">
        <v>31</v>
      </c>
      <c r="D76" s="11" t="s">
        <v>615</v>
      </c>
      <c r="E76" s="11" t="s">
        <v>54</v>
      </c>
      <c r="F76" s="11" t="s">
        <v>554</v>
      </c>
      <c r="G76" s="12">
        <v>180</v>
      </c>
      <c r="H76" s="13">
        <v>180.2</v>
      </c>
      <c r="I76" s="14">
        <f t="shared" si="8"/>
        <v>32435.999999999996</v>
      </c>
      <c r="J76" s="15">
        <v>7.0000000000000007E-2</v>
      </c>
      <c r="K76" s="15">
        <f t="shared" si="12"/>
        <v>1.7500000000000002E-2</v>
      </c>
      <c r="L76" s="14" t="s">
        <v>26</v>
      </c>
      <c r="M76" s="14">
        <f t="shared" si="11"/>
        <v>2270.52</v>
      </c>
      <c r="N76" s="14">
        <f t="shared" si="10"/>
        <v>567.63</v>
      </c>
      <c r="O76" s="11" t="s">
        <v>27</v>
      </c>
      <c r="P76" s="11" t="s">
        <v>27</v>
      </c>
      <c r="Q76" s="11"/>
      <c r="R76" s="11">
        <v>12</v>
      </c>
      <c r="S76" s="11" t="s">
        <v>28</v>
      </c>
      <c r="T76" s="16" t="s">
        <v>31</v>
      </c>
    </row>
    <row r="77" spans="1:20" x14ac:dyDescent="0.3">
      <c r="A77" s="10">
        <v>45698</v>
      </c>
      <c r="B77" s="11">
        <v>119051</v>
      </c>
      <c r="C77" s="11" t="s">
        <v>31</v>
      </c>
      <c r="D77" s="11" t="s">
        <v>615</v>
      </c>
      <c r="E77" s="11" t="s">
        <v>54</v>
      </c>
      <c r="F77" s="11" t="s">
        <v>30</v>
      </c>
      <c r="G77" s="12">
        <v>4</v>
      </c>
      <c r="H77" s="13">
        <v>142.56</v>
      </c>
      <c r="I77" s="14">
        <f t="shared" si="8"/>
        <v>570.24</v>
      </c>
      <c r="J77" s="15">
        <v>1</v>
      </c>
      <c r="K77" s="15">
        <f t="shared" si="12"/>
        <v>0.25</v>
      </c>
      <c r="L77" s="14" t="s">
        <v>26</v>
      </c>
      <c r="M77" s="14">
        <f t="shared" si="11"/>
        <v>570.24</v>
      </c>
      <c r="N77" s="14">
        <f t="shared" si="10"/>
        <v>142.56</v>
      </c>
      <c r="O77" s="11" t="s">
        <v>27</v>
      </c>
      <c r="P77" s="11" t="s">
        <v>27</v>
      </c>
      <c r="Q77" s="11"/>
      <c r="R77" s="11">
        <v>1</v>
      </c>
      <c r="S77" s="11" t="s">
        <v>28</v>
      </c>
      <c r="T77" s="16" t="s">
        <v>31</v>
      </c>
    </row>
    <row r="78" spans="1:20" x14ac:dyDescent="0.3">
      <c r="A78" s="10">
        <v>45698</v>
      </c>
      <c r="B78" s="11">
        <v>119062</v>
      </c>
      <c r="C78" s="11" t="s">
        <v>22</v>
      </c>
      <c r="D78" s="11" t="s">
        <v>49</v>
      </c>
      <c r="E78" s="11" t="s">
        <v>586</v>
      </c>
      <c r="F78" s="11" t="s">
        <v>30</v>
      </c>
      <c r="G78" s="12">
        <v>1</v>
      </c>
      <c r="H78" s="13">
        <v>178.2</v>
      </c>
      <c r="I78" s="14">
        <f t="shared" si="8"/>
        <v>178.2</v>
      </c>
      <c r="J78" s="15">
        <v>1</v>
      </c>
      <c r="K78" s="15">
        <v>0</v>
      </c>
      <c r="L78" s="14" t="s">
        <v>26</v>
      </c>
      <c r="M78" s="14">
        <f t="shared" si="11"/>
        <v>178.2</v>
      </c>
      <c r="N78" s="14">
        <f t="shared" si="10"/>
        <v>0</v>
      </c>
      <c r="O78" s="11" t="s">
        <v>27</v>
      </c>
      <c r="P78" s="11" t="s">
        <v>27</v>
      </c>
      <c r="Q78" s="11"/>
      <c r="R78" s="11">
        <v>1</v>
      </c>
      <c r="S78" s="11" t="s">
        <v>28</v>
      </c>
      <c r="T78" s="16" t="s">
        <v>22</v>
      </c>
    </row>
    <row r="79" spans="1:20" x14ac:dyDescent="0.3">
      <c r="A79" s="10">
        <v>45698</v>
      </c>
      <c r="B79" s="11">
        <v>119062</v>
      </c>
      <c r="C79" s="11" t="s">
        <v>22</v>
      </c>
      <c r="D79" s="11" t="s">
        <v>49</v>
      </c>
      <c r="E79" s="11" t="s">
        <v>102</v>
      </c>
      <c r="F79" s="11" t="s">
        <v>30</v>
      </c>
      <c r="G79" s="12">
        <v>1</v>
      </c>
      <c r="H79" s="13">
        <v>128</v>
      </c>
      <c r="I79" s="14">
        <f t="shared" si="8"/>
        <v>128</v>
      </c>
      <c r="J79" s="15">
        <v>1</v>
      </c>
      <c r="K79" s="15">
        <v>0</v>
      </c>
      <c r="L79" s="14" t="s">
        <v>26</v>
      </c>
      <c r="M79" s="14">
        <f t="shared" si="11"/>
        <v>128</v>
      </c>
      <c r="N79" s="14">
        <f t="shared" si="10"/>
        <v>0</v>
      </c>
      <c r="O79" s="11" t="s">
        <v>597</v>
      </c>
      <c r="P79" s="11" t="s">
        <v>597</v>
      </c>
      <c r="Q79" s="11"/>
      <c r="R79" s="11">
        <v>1</v>
      </c>
      <c r="S79" s="11" t="s">
        <v>28</v>
      </c>
      <c r="T79" s="16" t="s">
        <v>22</v>
      </c>
    </row>
    <row r="80" spans="1:20" x14ac:dyDescent="0.3">
      <c r="A80" s="10">
        <v>45698</v>
      </c>
      <c r="B80" s="11">
        <v>119060</v>
      </c>
      <c r="C80" s="11" t="s">
        <v>22</v>
      </c>
      <c r="D80" s="11" t="s">
        <v>49</v>
      </c>
      <c r="E80" s="11" t="s">
        <v>63</v>
      </c>
      <c r="F80" s="11" t="s">
        <v>554</v>
      </c>
      <c r="G80" s="12">
        <v>1</v>
      </c>
      <c r="H80" s="13">
        <v>12690</v>
      </c>
      <c r="I80" s="14">
        <f t="shared" si="8"/>
        <v>12690</v>
      </c>
      <c r="J80" s="15">
        <v>7.0000000000000007E-2</v>
      </c>
      <c r="K80" s="15">
        <v>0</v>
      </c>
      <c r="L80" s="14" t="s">
        <v>26</v>
      </c>
      <c r="M80" s="14">
        <f t="shared" si="11"/>
        <v>888.30000000000007</v>
      </c>
      <c r="N80" s="14">
        <f t="shared" si="10"/>
        <v>0</v>
      </c>
      <c r="O80" s="11" t="s">
        <v>27</v>
      </c>
      <c r="P80" s="11" t="s">
        <v>27</v>
      </c>
      <c r="Q80" s="11"/>
      <c r="R80" s="11">
        <v>6</v>
      </c>
      <c r="S80" s="11" t="s">
        <v>28</v>
      </c>
      <c r="T80" s="16" t="s">
        <v>22</v>
      </c>
    </row>
    <row r="81" spans="1:20" x14ac:dyDescent="0.3">
      <c r="A81" s="10">
        <v>45698</v>
      </c>
      <c r="B81" s="11">
        <v>119060</v>
      </c>
      <c r="C81" s="11" t="s">
        <v>22</v>
      </c>
      <c r="D81" s="11" t="s">
        <v>49</v>
      </c>
      <c r="E81" s="11" t="s">
        <v>63</v>
      </c>
      <c r="F81" s="11" t="s">
        <v>30</v>
      </c>
      <c r="G81" s="12">
        <v>15</v>
      </c>
      <c r="H81" s="13">
        <v>82</v>
      </c>
      <c r="I81" s="14">
        <f t="shared" ref="I81:I96" si="13">G81*H81</f>
        <v>1230</v>
      </c>
      <c r="J81" s="15">
        <v>1</v>
      </c>
      <c r="K81" s="15">
        <v>0</v>
      </c>
      <c r="L81" s="14" t="s">
        <v>26</v>
      </c>
      <c r="M81" s="14">
        <f t="shared" si="11"/>
        <v>1230</v>
      </c>
      <c r="N81" s="14">
        <f t="shared" si="10"/>
        <v>0</v>
      </c>
      <c r="O81" s="11" t="s">
        <v>27</v>
      </c>
      <c r="P81" s="11" t="s">
        <v>27</v>
      </c>
      <c r="Q81" s="11"/>
      <c r="R81" s="11">
        <v>1</v>
      </c>
      <c r="S81" s="11" t="s">
        <v>28</v>
      </c>
      <c r="T81" s="16" t="s">
        <v>22</v>
      </c>
    </row>
    <row r="82" spans="1:20" x14ac:dyDescent="0.3">
      <c r="A82" s="10">
        <v>45698</v>
      </c>
      <c r="B82" s="11">
        <v>119103</v>
      </c>
      <c r="C82" s="11" t="s">
        <v>22</v>
      </c>
      <c r="D82" s="11" t="s">
        <v>110</v>
      </c>
      <c r="E82" s="11" t="s">
        <v>47</v>
      </c>
      <c r="F82" s="11" t="s">
        <v>30</v>
      </c>
      <c r="G82" s="12">
        <v>2</v>
      </c>
      <c r="H82" s="13">
        <v>275.62</v>
      </c>
      <c r="I82" s="14">
        <f t="shared" si="13"/>
        <v>551.24</v>
      </c>
      <c r="J82" s="15">
        <v>1</v>
      </c>
      <c r="K82" s="15">
        <v>0</v>
      </c>
      <c r="L82" s="14" t="s">
        <v>26</v>
      </c>
      <c r="M82" s="14">
        <f t="shared" si="11"/>
        <v>551.24</v>
      </c>
      <c r="N82" s="14">
        <f t="shared" si="10"/>
        <v>0</v>
      </c>
      <c r="O82" s="11" t="s">
        <v>597</v>
      </c>
      <c r="P82" s="11" t="s">
        <v>597</v>
      </c>
      <c r="Q82" s="11"/>
      <c r="R82" s="11">
        <v>1</v>
      </c>
      <c r="S82" s="11" t="s">
        <v>28</v>
      </c>
      <c r="T82" s="16" t="s">
        <v>22</v>
      </c>
    </row>
    <row r="83" spans="1:20" x14ac:dyDescent="0.3">
      <c r="A83" s="10">
        <v>45702</v>
      </c>
      <c r="B83" s="11">
        <v>119286</v>
      </c>
      <c r="C83" s="11" t="s">
        <v>31</v>
      </c>
      <c r="D83" s="11" t="s">
        <v>136</v>
      </c>
      <c r="E83" s="11" t="s">
        <v>24</v>
      </c>
      <c r="F83" s="11" t="s">
        <v>554</v>
      </c>
      <c r="G83" s="12">
        <v>8</v>
      </c>
      <c r="H83" s="13">
        <v>180.2</v>
      </c>
      <c r="I83" s="14">
        <f t="shared" si="13"/>
        <v>1441.6</v>
      </c>
      <c r="J83" s="15">
        <v>7.0000000000000007E-2</v>
      </c>
      <c r="K83" s="15">
        <f t="shared" ref="K83:K96" si="14">J83*0.25</f>
        <v>1.7500000000000002E-2</v>
      </c>
      <c r="L83" s="14" t="s">
        <v>26</v>
      </c>
      <c r="M83" s="14">
        <f t="shared" si="11"/>
        <v>100.91200000000001</v>
      </c>
      <c r="N83" s="14">
        <f t="shared" si="10"/>
        <v>25.228000000000002</v>
      </c>
      <c r="O83" s="11" t="s">
        <v>597</v>
      </c>
      <c r="P83" s="11" t="s">
        <v>597</v>
      </c>
      <c r="Q83" s="11"/>
      <c r="R83" s="11">
        <v>4</v>
      </c>
      <c r="S83" s="11" t="s">
        <v>597</v>
      </c>
      <c r="T83" s="16" t="s">
        <v>31</v>
      </c>
    </row>
    <row r="84" spans="1:20" x14ac:dyDescent="0.3">
      <c r="A84" s="10">
        <v>45702</v>
      </c>
      <c r="B84" s="11">
        <v>117329</v>
      </c>
      <c r="C84" s="11" t="s">
        <v>31</v>
      </c>
      <c r="D84" s="11" t="s">
        <v>600</v>
      </c>
      <c r="E84" s="11" t="s">
        <v>24</v>
      </c>
      <c r="F84" s="11" t="s">
        <v>554</v>
      </c>
      <c r="G84" s="12">
        <v>4</v>
      </c>
      <c r="H84" s="13">
        <v>210</v>
      </c>
      <c r="I84" s="14">
        <f t="shared" si="13"/>
        <v>840</v>
      </c>
      <c r="J84" s="15">
        <v>7.0000000000000007E-2</v>
      </c>
      <c r="K84" s="15">
        <f t="shared" si="14"/>
        <v>1.7500000000000002E-2</v>
      </c>
      <c r="L84" s="14" t="s">
        <v>26</v>
      </c>
      <c r="M84" s="14">
        <f t="shared" si="11"/>
        <v>58.800000000000004</v>
      </c>
      <c r="N84" s="14">
        <f t="shared" si="10"/>
        <v>14.700000000000001</v>
      </c>
      <c r="O84" s="11" t="s">
        <v>597</v>
      </c>
      <c r="P84" s="11" t="s">
        <v>597</v>
      </c>
      <c r="Q84" s="11"/>
      <c r="R84" s="11">
        <v>1</v>
      </c>
      <c r="S84" s="11" t="s">
        <v>597</v>
      </c>
      <c r="T84" s="16" t="s">
        <v>31</v>
      </c>
    </row>
    <row r="85" spans="1:20" x14ac:dyDescent="0.3">
      <c r="A85" s="10">
        <v>45707</v>
      </c>
      <c r="B85" s="11">
        <v>102818</v>
      </c>
      <c r="C85" s="11" t="s">
        <v>31</v>
      </c>
      <c r="D85" s="11" t="s">
        <v>92</v>
      </c>
      <c r="E85" s="11" t="s">
        <v>24</v>
      </c>
      <c r="F85" s="11" t="s">
        <v>554</v>
      </c>
      <c r="G85" s="12">
        <v>21</v>
      </c>
      <c r="H85" s="13">
        <v>180</v>
      </c>
      <c r="I85" s="14">
        <f t="shared" si="13"/>
        <v>3780</v>
      </c>
      <c r="J85" s="15">
        <v>7.0000000000000007E-2</v>
      </c>
      <c r="K85" s="15">
        <f t="shared" si="14"/>
        <v>1.7500000000000002E-2</v>
      </c>
      <c r="L85" s="14" t="s">
        <v>26</v>
      </c>
      <c r="M85" s="14">
        <f t="shared" si="11"/>
        <v>264.60000000000002</v>
      </c>
      <c r="N85" s="14">
        <f t="shared" si="10"/>
        <v>66.150000000000006</v>
      </c>
      <c r="O85" s="11" t="s">
        <v>597</v>
      </c>
      <c r="P85" s="11" t="s">
        <v>597</v>
      </c>
      <c r="Q85" s="11"/>
      <c r="R85" s="11">
        <v>6</v>
      </c>
      <c r="S85" s="11" t="s">
        <v>597</v>
      </c>
      <c r="T85" s="16" t="s">
        <v>31</v>
      </c>
    </row>
    <row r="86" spans="1:20" x14ac:dyDescent="0.3">
      <c r="A86" s="10">
        <v>45707</v>
      </c>
      <c r="B86" s="11" t="s">
        <v>616</v>
      </c>
      <c r="C86" s="11" t="s">
        <v>31</v>
      </c>
      <c r="D86" s="11" t="s">
        <v>617</v>
      </c>
      <c r="E86" s="11" t="s">
        <v>35</v>
      </c>
      <c r="F86" s="11" t="s">
        <v>35</v>
      </c>
      <c r="G86" s="12">
        <v>9</v>
      </c>
      <c r="H86" s="13">
        <v>176</v>
      </c>
      <c r="I86" s="14">
        <f t="shared" si="13"/>
        <v>1584</v>
      </c>
      <c r="J86" s="15">
        <v>0.01</v>
      </c>
      <c r="K86" s="15">
        <f t="shared" si="14"/>
        <v>2.5000000000000001E-3</v>
      </c>
      <c r="L86" s="14" t="s">
        <v>26</v>
      </c>
      <c r="M86" s="14">
        <f t="shared" si="11"/>
        <v>15.84</v>
      </c>
      <c r="N86" s="14">
        <f t="shared" si="10"/>
        <v>3.96</v>
      </c>
      <c r="O86" s="11" t="s">
        <v>597</v>
      </c>
      <c r="P86" s="11" t="s">
        <v>597</v>
      </c>
      <c r="Q86" s="11"/>
      <c r="R86" s="11">
        <v>3</v>
      </c>
      <c r="S86" s="11" t="s">
        <v>597</v>
      </c>
      <c r="T86" s="16" t="s">
        <v>31</v>
      </c>
    </row>
    <row r="87" spans="1:20" x14ac:dyDescent="0.3">
      <c r="A87" s="10">
        <v>45712</v>
      </c>
      <c r="B87" s="11">
        <v>119562</v>
      </c>
      <c r="C87" s="11" t="s">
        <v>44</v>
      </c>
      <c r="D87" s="11" t="s">
        <v>618</v>
      </c>
      <c r="E87" s="11" t="s">
        <v>47</v>
      </c>
      <c r="F87" s="11" t="s">
        <v>554</v>
      </c>
      <c r="G87" s="12">
        <v>308</v>
      </c>
      <c r="H87" s="13">
        <v>153.9</v>
      </c>
      <c r="I87" s="14">
        <f t="shared" si="13"/>
        <v>47401.200000000004</v>
      </c>
      <c r="J87" s="15">
        <v>0.05</v>
      </c>
      <c r="K87" s="15">
        <f t="shared" si="14"/>
        <v>1.2500000000000001E-2</v>
      </c>
      <c r="L87" s="14" t="s">
        <v>46</v>
      </c>
      <c r="M87" s="14">
        <f t="shared" si="11"/>
        <v>2370.0600000000004</v>
      </c>
      <c r="N87" s="14">
        <f t="shared" si="10"/>
        <v>592.5150000000001</v>
      </c>
      <c r="O87" s="11" t="s">
        <v>27</v>
      </c>
      <c r="P87" s="11" t="s">
        <v>27</v>
      </c>
      <c r="Q87" s="11"/>
      <c r="R87" s="11">
        <v>8</v>
      </c>
      <c r="S87" s="11" t="s">
        <v>28</v>
      </c>
      <c r="T87" s="16" t="s">
        <v>44</v>
      </c>
    </row>
    <row r="88" spans="1:20" x14ac:dyDescent="0.3">
      <c r="A88" s="10">
        <v>45712</v>
      </c>
      <c r="B88" s="11">
        <v>119562</v>
      </c>
      <c r="C88" s="11" t="s">
        <v>44</v>
      </c>
      <c r="D88" s="11" t="s">
        <v>618</v>
      </c>
      <c r="E88" s="11" t="s">
        <v>47</v>
      </c>
      <c r="F88" s="11" t="s">
        <v>30</v>
      </c>
      <c r="G88" s="12">
        <v>8</v>
      </c>
      <c r="H88" s="13">
        <v>216</v>
      </c>
      <c r="I88" s="14">
        <f t="shared" si="13"/>
        <v>1728</v>
      </c>
      <c r="J88" s="15">
        <v>1</v>
      </c>
      <c r="K88" s="15">
        <f t="shared" si="14"/>
        <v>0.25</v>
      </c>
      <c r="L88" s="14" t="s">
        <v>46</v>
      </c>
      <c r="M88" s="14">
        <f t="shared" si="11"/>
        <v>1728</v>
      </c>
      <c r="N88" s="14">
        <f t="shared" si="10"/>
        <v>432</v>
      </c>
      <c r="O88" s="11" t="s">
        <v>27</v>
      </c>
      <c r="P88" s="11" t="s">
        <v>27</v>
      </c>
      <c r="Q88" s="11"/>
      <c r="R88" s="11">
        <v>1</v>
      </c>
      <c r="S88" s="11" t="s">
        <v>28</v>
      </c>
      <c r="T88" s="16" t="s">
        <v>44</v>
      </c>
    </row>
    <row r="89" spans="1:20" x14ac:dyDescent="0.3">
      <c r="A89" s="10">
        <v>45712</v>
      </c>
      <c r="B89" s="11">
        <v>119562</v>
      </c>
      <c r="C89" s="11" t="s">
        <v>44</v>
      </c>
      <c r="D89" s="11" t="s">
        <v>618</v>
      </c>
      <c r="E89" s="11" t="s">
        <v>54</v>
      </c>
      <c r="F89" s="11" t="s">
        <v>30</v>
      </c>
      <c r="G89" s="12">
        <v>4</v>
      </c>
      <c r="H89" s="13">
        <v>160</v>
      </c>
      <c r="I89" s="14">
        <f t="shared" si="13"/>
        <v>640</v>
      </c>
      <c r="J89" s="15">
        <v>1</v>
      </c>
      <c r="K89" s="15">
        <f t="shared" si="14"/>
        <v>0.25</v>
      </c>
      <c r="L89" s="14" t="s">
        <v>46</v>
      </c>
      <c r="M89" s="14">
        <f t="shared" si="11"/>
        <v>640</v>
      </c>
      <c r="N89" s="14">
        <f t="shared" si="10"/>
        <v>160</v>
      </c>
      <c r="O89" s="11" t="s">
        <v>27</v>
      </c>
      <c r="P89" s="11" t="s">
        <v>27</v>
      </c>
      <c r="Q89" s="11"/>
      <c r="R89" s="11">
        <v>1</v>
      </c>
      <c r="S89" s="11" t="s">
        <v>28</v>
      </c>
      <c r="T89" s="16" t="s">
        <v>44</v>
      </c>
    </row>
    <row r="90" spans="1:20" x14ac:dyDescent="0.3">
      <c r="A90" s="10">
        <v>45712</v>
      </c>
      <c r="B90" s="11">
        <v>119562</v>
      </c>
      <c r="C90" s="11" t="s">
        <v>44</v>
      </c>
      <c r="D90" s="11" t="s">
        <v>618</v>
      </c>
      <c r="E90" s="11" t="s">
        <v>89</v>
      </c>
      <c r="F90" s="11" t="s">
        <v>30</v>
      </c>
      <c r="G90" s="12">
        <v>1</v>
      </c>
      <c r="H90" s="13">
        <v>320.76</v>
      </c>
      <c r="I90" s="14">
        <f t="shared" si="13"/>
        <v>320.76</v>
      </c>
      <c r="J90" s="15">
        <v>1</v>
      </c>
      <c r="K90" s="15">
        <f t="shared" si="14"/>
        <v>0.25</v>
      </c>
      <c r="L90" s="14" t="s">
        <v>46</v>
      </c>
      <c r="M90" s="14">
        <f t="shared" si="11"/>
        <v>320.76</v>
      </c>
      <c r="N90" s="14">
        <f t="shared" si="10"/>
        <v>80.19</v>
      </c>
      <c r="O90" s="11" t="s">
        <v>27</v>
      </c>
      <c r="P90" s="11" t="s">
        <v>27</v>
      </c>
      <c r="Q90" s="11"/>
      <c r="R90" s="11">
        <v>1</v>
      </c>
      <c r="S90" s="11" t="s">
        <v>28</v>
      </c>
      <c r="T90" s="16" t="s">
        <v>44</v>
      </c>
    </row>
    <row r="91" spans="1:20" x14ac:dyDescent="0.3">
      <c r="A91" s="10">
        <v>45712</v>
      </c>
      <c r="B91" s="11">
        <v>119562</v>
      </c>
      <c r="C91" s="11" t="s">
        <v>44</v>
      </c>
      <c r="D91" s="11" t="s">
        <v>618</v>
      </c>
      <c r="E91" s="11" t="s">
        <v>63</v>
      </c>
      <c r="F91" s="11" t="s">
        <v>554</v>
      </c>
      <c r="G91" s="12">
        <v>46</v>
      </c>
      <c r="H91" s="13">
        <v>153.9</v>
      </c>
      <c r="I91" s="14">
        <f t="shared" si="13"/>
        <v>7079.4000000000005</v>
      </c>
      <c r="J91" s="15">
        <v>0.05</v>
      </c>
      <c r="K91" s="15">
        <f t="shared" si="14"/>
        <v>1.2500000000000001E-2</v>
      </c>
      <c r="L91" s="14" t="s">
        <v>46</v>
      </c>
      <c r="M91" s="14">
        <f t="shared" si="11"/>
        <v>353.97</v>
      </c>
      <c r="N91" s="14">
        <f t="shared" si="10"/>
        <v>88.492500000000007</v>
      </c>
      <c r="O91" s="11" t="s">
        <v>27</v>
      </c>
      <c r="P91" s="11" t="s">
        <v>27</v>
      </c>
      <c r="Q91" s="11"/>
      <c r="R91" s="11">
        <v>8</v>
      </c>
      <c r="S91" s="11" t="s">
        <v>28</v>
      </c>
      <c r="T91" s="16" t="s">
        <v>44</v>
      </c>
    </row>
    <row r="92" spans="1:20" x14ac:dyDescent="0.3">
      <c r="A92" s="10">
        <v>45712</v>
      </c>
      <c r="B92" s="11">
        <v>119562</v>
      </c>
      <c r="C92" s="11" t="s">
        <v>44</v>
      </c>
      <c r="D92" s="11" t="s">
        <v>618</v>
      </c>
      <c r="E92" s="11" t="s">
        <v>63</v>
      </c>
      <c r="F92" s="11" t="s">
        <v>30</v>
      </c>
      <c r="G92" s="12">
        <v>35</v>
      </c>
      <c r="H92" s="13">
        <v>80.75</v>
      </c>
      <c r="I92" s="14">
        <f t="shared" si="13"/>
        <v>2826.25</v>
      </c>
      <c r="J92" s="15">
        <v>1</v>
      </c>
      <c r="K92" s="15">
        <f t="shared" si="14"/>
        <v>0.25</v>
      </c>
      <c r="L92" s="14" t="s">
        <v>46</v>
      </c>
      <c r="M92" s="14">
        <f t="shared" si="11"/>
        <v>2826.25</v>
      </c>
      <c r="N92" s="14">
        <f t="shared" si="10"/>
        <v>706.5625</v>
      </c>
      <c r="O92" s="11" t="s">
        <v>27</v>
      </c>
      <c r="P92" s="11" t="s">
        <v>27</v>
      </c>
      <c r="Q92" s="11"/>
      <c r="R92" s="11">
        <v>1</v>
      </c>
      <c r="S92" s="11" t="s">
        <v>28</v>
      </c>
      <c r="T92" s="16" t="s">
        <v>44</v>
      </c>
    </row>
    <row r="93" spans="1:20" x14ac:dyDescent="0.3">
      <c r="A93" s="10">
        <v>45712</v>
      </c>
      <c r="B93" s="11">
        <v>119404</v>
      </c>
      <c r="C93" s="11" t="s">
        <v>31</v>
      </c>
      <c r="D93" s="11" t="s">
        <v>609</v>
      </c>
      <c r="E93" s="11" t="s">
        <v>40</v>
      </c>
      <c r="F93" s="11" t="s">
        <v>41</v>
      </c>
      <c r="G93" s="12">
        <v>1</v>
      </c>
      <c r="H93" s="13">
        <v>1351.65</v>
      </c>
      <c r="I93" s="14">
        <f t="shared" si="13"/>
        <v>1351.65</v>
      </c>
      <c r="J93" s="15">
        <v>7.0000000000000007E-2</v>
      </c>
      <c r="K93" s="15">
        <f t="shared" si="14"/>
        <v>1.7500000000000002E-2</v>
      </c>
      <c r="L93" s="14" t="s">
        <v>26</v>
      </c>
      <c r="M93" s="14">
        <f t="shared" si="11"/>
        <v>94.615500000000011</v>
      </c>
      <c r="N93" s="14">
        <f t="shared" ref="N93:N113" si="15">I93*K93</f>
        <v>23.653875000000003</v>
      </c>
      <c r="O93" s="11" t="s">
        <v>27</v>
      </c>
      <c r="P93" s="11" t="s">
        <v>27</v>
      </c>
      <c r="Q93" s="11"/>
      <c r="R93" s="11">
        <v>4</v>
      </c>
      <c r="S93" s="11" t="s">
        <v>28</v>
      </c>
      <c r="T93" s="16" t="s">
        <v>31</v>
      </c>
    </row>
    <row r="94" spans="1:20" x14ac:dyDescent="0.3">
      <c r="A94" s="10">
        <v>45712</v>
      </c>
      <c r="B94" s="11">
        <v>119373</v>
      </c>
      <c r="C94" s="11" t="s">
        <v>31</v>
      </c>
      <c r="D94" s="11" t="s">
        <v>619</v>
      </c>
      <c r="E94" s="11" t="s">
        <v>35</v>
      </c>
      <c r="F94" s="11" t="s">
        <v>35</v>
      </c>
      <c r="G94" s="12">
        <v>2</v>
      </c>
      <c r="H94" s="13">
        <v>176</v>
      </c>
      <c r="I94" s="14">
        <f t="shared" si="13"/>
        <v>352</v>
      </c>
      <c r="J94" s="15">
        <v>0.01</v>
      </c>
      <c r="K94" s="15">
        <f t="shared" si="14"/>
        <v>2.5000000000000001E-3</v>
      </c>
      <c r="L94" s="14" t="s">
        <v>26</v>
      </c>
      <c r="M94" s="14">
        <f t="shared" si="11"/>
        <v>3.52</v>
      </c>
      <c r="N94" s="14">
        <f t="shared" si="15"/>
        <v>0.88</v>
      </c>
      <c r="O94" s="11" t="s">
        <v>597</v>
      </c>
      <c r="P94" s="11" t="s">
        <v>597</v>
      </c>
      <c r="Q94" s="11"/>
      <c r="R94" s="11">
        <v>1</v>
      </c>
      <c r="S94" s="11" t="s">
        <v>597</v>
      </c>
      <c r="T94" s="16" t="s">
        <v>31</v>
      </c>
    </row>
    <row r="95" spans="1:20" x14ac:dyDescent="0.3">
      <c r="A95" s="10">
        <v>45713</v>
      </c>
      <c r="B95" s="11">
        <v>110971</v>
      </c>
      <c r="C95" s="11" t="s">
        <v>44</v>
      </c>
      <c r="D95" s="11" t="s">
        <v>593</v>
      </c>
      <c r="E95" s="11" t="s">
        <v>566</v>
      </c>
      <c r="F95" s="11" t="s">
        <v>30</v>
      </c>
      <c r="G95" s="12">
        <v>1</v>
      </c>
      <c r="H95" s="13">
        <v>320.76</v>
      </c>
      <c r="I95" s="14">
        <f t="shared" si="13"/>
        <v>320.76</v>
      </c>
      <c r="J95" s="15">
        <v>1</v>
      </c>
      <c r="K95" s="15">
        <f t="shared" si="14"/>
        <v>0.25</v>
      </c>
      <c r="L95" s="14" t="s">
        <v>26</v>
      </c>
      <c r="M95" s="14">
        <f t="shared" si="11"/>
        <v>320.76</v>
      </c>
      <c r="N95" s="14">
        <f t="shared" si="15"/>
        <v>80.19</v>
      </c>
      <c r="O95" s="11" t="s">
        <v>27</v>
      </c>
      <c r="P95" s="11" t="s">
        <v>27</v>
      </c>
      <c r="Q95" s="11"/>
      <c r="R95" s="11">
        <v>1</v>
      </c>
      <c r="S95" s="11" t="s">
        <v>28</v>
      </c>
      <c r="T95" s="16" t="s">
        <v>44</v>
      </c>
    </row>
    <row r="96" spans="1:20" x14ac:dyDescent="0.3">
      <c r="A96" s="10">
        <v>45713</v>
      </c>
      <c r="B96" s="11">
        <v>110971</v>
      </c>
      <c r="C96" s="11" t="s">
        <v>44</v>
      </c>
      <c r="D96" s="11" t="s">
        <v>593</v>
      </c>
      <c r="E96" s="11" t="s">
        <v>89</v>
      </c>
      <c r="F96" s="11" t="s">
        <v>30</v>
      </c>
      <c r="G96" s="12">
        <v>1</v>
      </c>
      <c r="H96" s="13">
        <v>178.2</v>
      </c>
      <c r="I96" s="14">
        <f t="shared" si="13"/>
        <v>178.2</v>
      </c>
      <c r="J96" s="15">
        <v>1</v>
      </c>
      <c r="K96" s="15">
        <f t="shared" si="14"/>
        <v>0.25</v>
      </c>
      <c r="L96" s="14" t="s">
        <v>26</v>
      </c>
      <c r="M96" s="14">
        <f t="shared" si="11"/>
        <v>178.2</v>
      </c>
      <c r="N96" s="14">
        <f t="shared" si="15"/>
        <v>44.55</v>
      </c>
      <c r="O96" s="11" t="s">
        <v>27</v>
      </c>
      <c r="P96" s="11" t="s">
        <v>27</v>
      </c>
      <c r="Q96" s="11"/>
      <c r="R96" s="11">
        <v>1</v>
      </c>
      <c r="S96" s="11" t="s">
        <v>28</v>
      </c>
      <c r="T96" s="16" t="s">
        <v>44</v>
      </c>
    </row>
    <row r="97" spans="1:20" x14ac:dyDescent="0.3">
      <c r="A97" s="10">
        <v>45713</v>
      </c>
      <c r="B97" s="11">
        <v>110971</v>
      </c>
      <c r="C97" s="11" t="s">
        <v>44</v>
      </c>
      <c r="D97" s="11" t="s">
        <v>593</v>
      </c>
      <c r="E97" s="11" t="s">
        <v>345</v>
      </c>
      <c r="F97" s="11" t="s">
        <v>41</v>
      </c>
      <c r="G97" s="12">
        <v>1</v>
      </c>
      <c r="H97" s="13">
        <v>0</v>
      </c>
      <c r="I97" s="14">
        <v>0</v>
      </c>
      <c r="J97" s="15">
        <v>0</v>
      </c>
      <c r="K97" s="17">
        <v>0</v>
      </c>
      <c r="L97" s="14" t="s">
        <v>26</v>
      </c>
      <c r="M97" s="14">
        <v>0</v>
      </c>
      <c r="N97" s="14">
        <f t="shared" si="15"/>
        <v>0</v>
      </c>
      <c r="O97" s="11" t="s">
        <v>27</v>
      </c>
      <c r="P97" s="11" t="s">
        <v>27</v>
      </c>
      <c r="Q97" s="11"/>
      <c r="R97" s="11">
        <v>0</v>
      </c>
      <c r="S97" s="11" t="s">
        <v>28</v>
      </c>
      <c r="T97" s="16" t="s">
        <v>44</v>
      </c>
    </row>
    <row r="98" spans="1:20" x14ac:dyDescent="0.3">
      <c r="A98" s="10">
        <v>45713</v>
      </c>
      <c r="B98" s="11">
        <v>115075</v>
      </c>
      <c r="C98" s="11" t="s">
        <v>31</v>
      </c>
      <c r="D98" s="11" t="s">
        <v>620</v>
      </c>
      <c r="E98" s="11" t="s">
        <v>35</v>
      </c>
      <c r="F98" s="11" t="s">
        <v>35</v>
      </c>
      <c r="G98" s="12">
        <v>2</v>
      </c>
      <c r="H98" s="13">
        <v>176</v>
      </c>
      <c r="I98" s="14">
        <f t="shared" ref="I98:I112" si="16">G98*H98</f>
        <v>352</v>
      </c>
      <c r="J98" s="15">
        <v>0.01</v>
      </c>
      <c r="K98" s="15">
        <f t="shared" ref="K98:K116" si="17">J98*0.25</f>
        <v>2.5000000000000001E-3</v>
      </c>
      <c r="L98" s="14" t="s">
        <v>26</v>
      </c>
      <c r="M98" s="14">
        <f t="shared" ref="M98:M129" si="18">J98*I98</f>
        <v>3.52</v>
      </c>
      <c r="N98" s="14">
        <f t="shared" si="15"/>
        <v>0.88</v>
      </c>
      <c r="O98" s="11" t="s">
        <v>597</v>
      </c>
      <c r="P98" s="11" t="s">
        <v>597</v>
      </c>
      <c r="Q98" s="11"/>
      <c r="R98" s="11">
        <v>1</v>
      </c>
      <c r="S98" s="11" t="s">
        <v>597</v>
      </c>
      <c r="T98" s="16" t="s">
        <v>31</v>
      </c>
    </row>
    <row r="99" spans="1:20" x14ac:dyDescent="0.3">
      <c r="A99" s="10">
        <v>45713</v>
      </c>
      <c r="B99" s="11">
        <v>119626</v>
      </c>
      <c r="C99" s="11" t="s">
        <v>31</v>
      </c>
      <c r="D99" s="11" t="s">
        <v>614</v>
      </c>
      <c r="E99" s="11" t="s">
        <v>24</v>
      </c>
      <c r="F99" s="11" t="s">
        <v>554</v>
      </c>
      <c r="G99" s="12">
        <v>16</v>
      </c>
      <c r="H99" s="13">
        <v>210</v>
      </c>
      <c r="I99" s="14">
        <f t="shared" si="16"/>
        <v>3360</v>
      </c>
      <c r="J99" s="15">
        <v>7.0000000000000007E-2</v>
      </c>
      <c r="K99" s="15">
        <f t="shared" si="17"/>
        <v>1.7500000000000002E-2</v>
      </c>
      <c r="L99" s="14" t="s">
        <v>26</v>
      </c>
      <c r="M99" s="14">
        <f t="shared" si="18"/>
        <v>235.20000000000002</v>
      </c>
      <c r="N99" s="14">
        <f t="shared" si="15"/>
        <v>58.800000000000004</v>
      </c>
      <c r="O99" s="11" t="s">
        <v>597</v>
      </c>
      <c r="P99" s="11" t="s">
        <v>597</v>
      </c>
      <c r="Q99" s="11"/>
      <c r="R99" s="11">
        <v>6</v>
      </c>
      <c r="S99" s="11" t="s">
        <v>597</v>
      </c>
      <c r="T99" s="16" t="s">
        <v>31</v>
      </c>
    </row>
    <row r="100" spans="1:20" x14ac:dyDescent="0.3">
      <c r="A100" s="10">
        <v>45713</v>
      </c>
      <c r="B100" s="11">
        <v>117616</v>
      </c>
      <c r="C100" s="11" t="s">
        <v>31</v>
      </c>
      <c r="D100" s="11" t="s">
        <v>614</v>
      </c>
      <c r="E100" s="11" t="s">
        <v>35</v>
      </c>
      <c r="F100" s="11" t="s">
        <v>35</v>
      </c>
      <c r="G100" s="12">
        <v>4</v>
      </c>
      <c r="H100" s="13">
        <v>176</v>
      </c>
      <c r="I100" s="14">
        <f t="shared" si="16"/>
        <v>704</v>
      </c>
      <c r="J100" s="15">
        <v>0.01</v>
      </c>
      <c r="K100" s="15">
        <f t="shared" si="17"/>
        <v>2.5000000000000001E-3</v>
      </c>
      <c r="L100" s="14" t="s">
        <v>26</v>
      </c>
      <c r="M100" s="14">
        <f t="shared" si="18"/>
        <v>7.04</v>
      </c>
      <c r="N100" s="14">
        <f t="shared" si="15"/>
        <v>1.76</v>
      </c>
      <c r="O100" s="11" t="s">
        <v>597</v>
      </c>
      <c r="P100" s="11" t="s">
        <v>597</v>
      </c>
      <c r="Q100" s="11"/>
      <c r="R100" s="11">
        <v>1</v>
      </c>
      <c r="S100" s="11" t="s">
        <v>597</v>
      </c>
      <c r="T100" s="16" t="s">
        <v>31</v>
      </c>
    </row>
    <row r="101" spans="1:20" x14ac:dyDescent="0.3">
      <c r="A101" s="10">
        <v>45713</v>
      </c>
      <c r="B101" s="11">
        <v>119628</v>
      </c>
      <c r="C101" s="11" t="s">
        <v>31</v>
      </c>
      <c r="D101" s="11" t="s">
        <v>94</v>
      </c>
      <c r="E101" s="11" t="s">
        <v>35</v>
      </c>
      <c r="F101" s="11" t="s">
        <v>35</v>
      </c>
      <c r="G101" s="12">
        <v>1</v>
      </c>
      <c r="H101" s="13">
        <v>176</v>
      </c>
      <c r="I101" s="14">
        <f t="shared" si="16"/>
        <v>176</v>
      </c>
      <c r="J101" s="15">
        <v>0.01</v>
      </c>
      <c r="K101" s="15">
        <f t="shared" si="17"/>
        <v>2.5000000000000001E-3</v>
      </c>
      <c r="L101" s="14" t="s">
        <v>26</v>
      </c>
      <c r="M101" s="14">
        <f t="shared" si="18"/>
        <v>1.76</v>
      </c>
      <c r="N101" s="14">
        <f t="shared" si="15"/>
        <v>0.44</v>
      </c>
      <c r="O101" s="11" t="s">
        <v>597</v>
      </c>
      <c r="P101" s="11" t="s">
        <v>597</v>
      </c>
      <c r="Q101" s="11"/>
      <c r="R101" s="11">
        <v>1</v>
      </c>
      <c r="S101" s="11" t="s">
        <v>597</v>
      </c>
      <c r="T101" s="16" t="s">
        <v>31</v>
      </c>
    </row>
    <row r="102" spans="1:20" x14ac:dyDescent="0.3">
      <c r="A102" s="10">
        <v>45713</v>
      </c>
      <c r="B102" s="11">
        <v>119374</v>
      </c>
      <c r="C102" s="11" t="s">
        <v>31</v>
      </c>
      <c r="D102" s="11" t="s">
        <v>120</v>
      </c>
      <c r="E102" s="11" t="s">
        <v>35</v>
      </c>
      <c r="F102" s="11" t="s">
        <v>35</v>
      </c>
      <c r="G102" s="12">
        <v>3</v>
      </c>
      <c r="H102" s="13">
        <v>176</v>
      </c>
      <c r="I102" s="14">
        <f t="shared" si="16"/>
        <v>528</v>
      </c>
      <c r="J102" s="15">
        <v>0.01</v>
      </c>
      <c r="K102" s="15">
        <f t="shared" si="17"/>
        <v>2.5000000000000001E-3</v>
      </c>
      <c r="L102" s="14" t="s">
        <v>26</v>
      </c>
      <c r="M102" s="14">
        <f t="shared" si="18"/>
        <v>5.28</v>
      </c>
      <c r="N102" s="14">
        <f t="shared" si="15"/>
        <v>1.32</v>
      </c>
      <c r="O102" s="11" t="s">
        <v>597</v>
      </c>
      <c r="P102" s="11" t="s">
        <v>597</v>
      </c>
      <c r="Q102" s="11"/>
      <c r="R102" s="11">
        <v>1</v>
      </c>
      <c r="S102" s="11" t="s">
        <v>597</v>
      </c>
      <c r="T102" s="16" t="s">
        <v>31</v>
      </c>
    </row>
    <row r="103" spans="1:20" x14ac:dyDescent="0.3">
      <c r="A103" s="10">
        <v>45713</v>
      </c>
      <c r="B103" s="11">
        <v>117865</v>
      </c>
      <c r="C103" s="11" t="s">
        <v>31</v>
      </c>
      <c r="D103" s="11" t="s">
        <v>621</v>
      </c>
      <c r="E103" s="11" t="s">
        <v>24</v>
      </c>
      <c r="F103" s="11" t="s">
        <v>554</v>
      </c>
      <c r="G103" s="12">
        <v>4</v>
      </c>
      <c r="H103" s="13">
        <v>180</v>
      </c>
      <c r="I103" s="14">
        <f t="shared" si="16"/>
        <v>720</v>
      </c>
      <c r="J103" s="15">
        <v>7.0000000000000007E-2</v>
      </c>
      <c r="K103" s="15">
        <f t="shared" si="17"/>
        <v>1.7500000000000002E-2</v>
      </c>
      <c r="L103" s="14" t="s">
        <v>26</v>
      </c>
      <c r="M103" s="14">
        <f t="shared" si="18"/>
        <v>50.400000000000006</v>
      </c>
      <c r="N103" s="14">
        <f t="shared" si="15"/>
        <v>12.600000000000001</v>
      </c>
      <c r="O103" s="11" t="s">
        <v>597</v>
      </c>
      <c r="P103" s="11" t="s">
        <v>597</v>
      </c>
      <c r="Q103" s="11"/>
      <c r="R103" s="11">
        <v>1</v>
      </c>
      <c r="S103" s="11" t="s">
        <v>597</v>
      </c>
      <c r="T103" s="16" t="s">
        <v>31</v>
      </c>
    </row>
    <row r="104" spans="1:20" x14ac:dyDescent="0.3">
      <c r="A104" s="10">
        <v>45714</v>
      </c>
      <c r="B104" s="11">
        <v>102185</v>
      </c>
      <c r="C104" s="11" t="s">
        <v>44</v>
      </c>
      <c r="D104" s="11" t="s">
        <v>622</v>
      </c>
      <c r="E104" s="11" t="s">
        <v>623</v>
      </c>
      <c r="F104" s="11" t="s">
        <v>30</v>
      </c>
      <c r="G104" s="12">
        <v>1</v>
      </c>
      <c r="H104" s="13">
        <v>356.4</v>
      </c>
      <c r="I104" s="14">
        <f t="shared" si="16"/>
        <v>356.4</v>
      </c>
      <c r="J104" s="15">
        <v>1</v>
      </c>
      <c r="K104" s="15">
        <f t="shared" si="17"/>
        <v>0.25</v>
      </c>
      <c r="L104" s="14" t="s">
        <v>26</v>
      </c>
      <c r="M104" s="14">
        <f t="shared" si="18"/>
        <v>356.4</v>
      </c>
      <c r="N104" s="14">
        <f t="shared" si="15"/>
        <v>89.1</v>
      </c>
      <c r="O104" s="11" t="s">
        <v>27</v>
      </c>
      <c r="P104" s="11" t="s">
        <v>27</v>
      </c>
      <c r="Q104" s="11"/>
      <c r="R104" s="11">
        <v>1</v>
      </c>
      <c r="S104" s="11" t="s">
        <v>28</v>
      </c>
      <c r="T104" s="16" t="s">
        <v>44</v>
      </c>
    </row>
    <row r="105" spans="1:20" x14ac:dyDescent="0.3">
      <c r="A105" s="10">
        <v>45715</v>
      </c>
      <c r="B105" s="11">
        <v>119976</v>
      </c>
      <c r="C105" s="11" t="s">
        <v>44</v>
      </c>
      <c r="D105" s="11" t="s">
        <v>624</v>
      </c>
      <c r="E105" s="11" t="s">
        <v>47</v>
      </c>
      <c r="F105" s="11" t="s">
        <v>554</v>
      </c>
      <c r="G105" s="12">
        <v>288</v>
      </c>
      <c r="H105" s="13">
        <v>160</v>
      </c>
      <c r="I105" s="14">
        <f t="shared" si="16"/>
        <v>46080</v>
      </c>
      <c r="J105" s="15">
        <v>0.05</v>
      </c>
      <c r="K105" s="15">
        <f t="shared" si="17"/>
        <v>1.2500000000000001E-2</v>
      </c>
      <c r="L105" s="14" t="s">
        <v>46</v>
      </c>
      <c r="M105" s="14">
        <f t="shared" si="18"/>
        <v>2304</v>
      </c>
      <c r="N105" s="14">
        <f t="shared" si="15"/>
        <v>576</v>
      </c>
      <c r="O105" s="11" t="s">
        <v>27</v>
      </c>
      <c r="P105" s="11" t="s">
        <v>27</v>
      </c>
      <c r="Q105" s="11"/>
      <c r="R105" s="11">
        <v>12</v>
      </c>
      <c r="S105" s="11" t="s">
        <v>28</v>
      </c>
      <c r="T105" s="16" t="s">
        <v>44</v>
      </c>
    </row>
    <row r="106" spans="1:20" x14ac:dyDescent="0.3">
      <c r="A106" s="10">
        <v>45715</v>
      </c>
      <c r="B106" s="11">
        <v>119976</v>
      </c>
      <c r="C106" s="11" t="s">
        <v>44</v>
      </c>
      <c r="D106" s="11" t="s">
        <v>624</v>
      </c>
      <c r="E106" s="11" t="s">
        <v>47</v>
      </c>
      <c r="F106" s="11" t="s">
        <v>30</v>
      </c>
      <c r="G106" s="12">
        <v>8</v>
      </c>
      <c r="H106" s="13">
        <v>234.27</v>
      </c>
      <c r="I106" s="14">
        <f t="shared" si="16"/>
        <v>1874.16</v>
      </c>
      <c r="J106" s="15">
        <v>1</v>
      </c>
      <c r="K106" s="15">
        <f t="shared" si="17"/>
        <v>0.25</v>
      </c>
      <c r="L106" s="14" t="s">
        <v>46</v>
      </c>
      <c r="M106" s="14">
        <f t="shared" si="18"/>
        <v>1874.16</v>
      </c>
      <c r="N106" s="14">
        <f t="shared" si="15"/>
        <v>468.54</v>
      </c>
      <c r="O106" s="11" t="s">
        <v>27</v>
      </c>
      <c r="P106" s="11" t="s">
        <v>27</v>
      </c>
      <c r="Q106" s="11"/>
      <c r="R106" s="11">
        <v>1</v>
      </c>
      <c r="S106" s="11" t="s">
        <v>28</v>
      </c>
      <c r="T106" s="16" t="s">
        <v>44</v>
      </c>
    </row>
    <row r="107" spans="1:20" x14ac:dyDescent="0.3">
      <c r="A107" s="10">
        <v>45715</v>
      </c>
      <c r="B107" s="11">
        <v>119976</v>
      </c>
      <c r="C107" s="11" t="s">
        <v>44</v>
      </c>
      <c r="D107" s="11" t="s">
        <v>624</v>
      </c>
      <c r="E107" s="11" t="s">
        <v>63</v>
      </c>
      <c r="F107" s="11" t="s">
        <v>554</v>
      </c>
      <c r="G107" s="12">
        <v>52</v>
      </c>
      <c r="H107" s="13">
        <v>160</v>
      </c>
      <c r="I107" s="14">
        <f t="shared" si="16"/>
        <v>8320</v>
      </c>
      <c r="J107" s="15">
        <v>0.05</v>
      </c>
      <c r="K107" s="15">
        <f t="shared" si="17"/>
        <v>1.2500000000000001E-2</v>
      </c>
      <c r="L107" s="14" t="s">
        <v>46</v>
      </c>
      <c r="M107" s="14">
        <f t="shared" si="18"/>
        <v>416</v>
      </c>
      <c r="N107" s="14">
        <f t="shared" si="15"/>
        <v>104</v>
      </c>
      <c r="O107" s="11" t="s">
        <v>27</v>
      </c>
      <c r="P107" s="11" t="s">
        <v>27</v>
      </c>
      <c r="Q107" s="11"/>
      <c r="R107" s="11">
        <v>12</v>
      </c>
      <c r="S107" s="11" t="s">
        <v>28</v>
      </c>
      <c r="T107" s="16" t="s">
        <v>44</v>
      </c>
    </row>
    <row r="108" spans="1:20" x14ac:dyDescent="0.3">
      <c r="A108" s="10">
        <v>45715</v>
      </c>
      <c r="B108" s="11">
        <v>119976</v>
      </c>
      <c r="C108" s="11" t="s">
        <v>44</v>
      </c>
      <c r="D108" s="11" t="s">
        <v>624</v>
      </c>
      <c r="E108" s="11" t="s">
        <v>63</v>
      </c>
      <c r="F108" s="11" t="s">
        <v>30</v>
      </c>
      <c r="G108" s="12">
        <v>35</v>
      </c>
      <c r="H108" s="13">
        <v>75</v>
      </c>
      <c r="I108" s="14">
        <f t="shared" si="16"/>
        <v>2625</v>
      </c>
      <c r="J108" s="15">
        <v>1</v>
      </c>
      <c r="K108" s="15">
        <f t="shared" si="17"/>
        <v>0.25</v>
      </c>
      <c r="L108" s="14" t="s">
        <v>46</v>
      </c>
      <c r="M108" s="14">
        <f t="shared" si="18"/>
        <v>2625</v>
      </c>
      <c r="N108" s="14">
        <f t="shared" si="15"/>
        <v>656.25</v>
      </c>
      <c r="O108" s="11" t="s">
        <v>27</v>
      </c>
      <c r="P108" s="11" t="s">
        <v>27</v>
      </c>
      <c r="Q108" s="11"/>
      <c r="R108" s="11">
        <v>1</v>
      </c>
      <c r="S108" s="11" t="s">
        <v>28</v>
      </c>
      <c r="T108" s="16" t="s">
        <v>44</v>
      </c>
    </row>
    <row r="109" spans="1:20" x14ac:dyDescent="0.3">
      <c r="A109" s="10">
        <v>45715</v>
      </c>
      <c r="B109" s="11">
        <v>119976</v>
      </c>
      <c r="C109" s="11" t="s">
        <v>44</v>
      </c>
      <c r="D109" s="11" t="s">
        <v>624</v>
      </c>
      <c r="E109" s="11" t="s">
        <v>89</v>
      </c>
      <c r="F109" s="11" t="s">
        <v>30</v>
      </c>
      <c r="G109" s="12">
        <v>1</v>
      </c>
      <c r="H109" s="13">
        <v>320.39999999999998</v>
      </c>
      <c r="I109" s="14">
        <f t="shared" si="16"/>
        <v>320.39999999999998</v>
      </c>
      <c r="J109" s="15">
        <v>1</v>
      </c>
      <c r="K109" s="15">
        <f t="shared" si="17"/>
        <v>0.25</v>
      </c>
      <c r="L109" s="14" t="s">
        <v>46</v>
      </c>
      <c r="M109" s="14">
        <f t="shared" si="18"/>
        <v>320.39999999999998</v>
      </c>
      <c r="N109" s="14">
        <f t="shared" si="15"/>
        <v>80.099999999999994</v>
      </c>
      <c r="O109" s="11" t="s">
        <v>27</v>
      </c>
      <c r="P109" s="11" t="s">
        <v>27</v>
      </c>
      <c r="Q109" s="11"/>
      <c r="R109" s="11">
        <v>1</v>
      </c>
      <c r="S109" s="11" t="s">
        <v>28</v>
      </c>
      <c r="T109" s="16" t="s">
        <v>44</v>
      </c>
    </row>
    <row r="110" spans="1:20" x14ac:dyDescent="0.3">
      <c r="A110" s="10">
        <v>45715</v>
      </c>
      <c r="B110" s="11">
        <v>119976</v>
      </c>
      <c r="C110" s="11" t="s">
        <v>44</v>
      </c>
      <c r="D110" s="11" t="s">
        <v>624</v>
      </c>
      <c r="E110" s="11" t="s">
        <v>54</v>
      </c>
      <c r="F110" s="11" t="s">
        <v>554</v>
      </c>
      <c r="G110" s="12">
        <v>72</v>
      </c>
      <c r="H110" s="13">
        <v>160</v>
      </c>
      <c r="I110" s="14">
        <f t="shared" si="16"/>
        <v>11520</v>
      </c>
      <c r="J110" s="15">
        <v>0.05</v>
      </c>
      <c r="K110" s="15">
        <f t="shared" si="17"/>
        <v>1.2500000000000001E-2</v>
      </c>
      <c r="L110" s="14" t="s">
        <v>46</v>
      </c>
      <c r="M110" s="14">
        <f t="shared" si="18"/>
        <v>576</v>
      </c>
      <c r="N110" s="14">
        <f t="shared" si="15"/>
        <v>144</v>
      </c>
      <c r="O110" s="11" t="s">
        <v>27</v>
      </c>
      <c r="P110" s="11" t="s">
        <v>27</v>
      </c>
      <c r="Q110" s="11"/>
      <c r="R110" s="11">
        <v>12</v>
      </c>
      <c r="S110" s="11" t="s">
        <v>28</v>
      </c>
      <c r="T110" s="16" t="s">
        <v>44</v>
      </c>
    </row>
    <row r="111" spans="1:20" x14ac:dyDescent="0.3">
      <c r="A111" s="10">
        <v>45715</v>
      </c>
      <c r="B111" s="11">
        <v>118828</v>
      </c>
      <c r="C111" s="11" t="s">
        <v>31</v>
      </c>
      <c r="D111" s="11" t="s">
        <v>114</v>
      </c>
      <c r="E111" s="11" t="s">
        <v>35</v>
      </c>
      <c r="F111" s="11" t="s">
        <v>35</v>
      </c>
      <c r="G111" s="12">
        <v>8</v>
      </c>
      <c r="H111" s="13">
        <v>176</v>
      </c>
      <c r="I111" s="14">
        <f t="shared" si="16"/>
        <v>1408</v>
      </c>
      <c r="J111" s="15">
        <v>0.01</v>
      </c>
      <c r="K111" s="15">
        <f t="shared" si="17"/>
        <v>2.5000000000000001E-3</v>
      </c>
      <c r="L111" s="14" t="s">
        <v>46</v>
      </c>
      <c r="M111" s="14">
        <f t="shared" si="18"/>
        <v>14.08</v>
      </c>
      <c r="N111" s="14">
        <f t="shared" si="15"/>
        <v>3.52</v>
      </c>
      <c r="O111" s="11" t="s">
        <v>597</v>
      </c>
      <c r="P111" s="11" t="s">
        <v>597</v>
      </c>
      <c r="Q111" s="11"/>
      <c r="R111" s="11">
        <v>1</v>
      </c>
      <c r="S111" s="11" t="s">
        <v>597</v>
      </c>
      <c r="T111" s="16" t="s">
        <v>31</v>
      </c>
    </row>
    <row r="112" spans="1:20" x14ac:dyDescent="0.3">
      <c r="A112" s="10">
        <v>45716</v>
      </c>
      <c r="B112" s="11">
        <v>110804</v>
      </c>
      <c r="C112" s="11" t="s">
        <v>31</v>
      </c>
      <c r="D112" s="11" t="s">
        <v>614</v>
      </c>
      <c r="E112" s="11" t="s">
        <v>24</v>
      </c>
      <c r="F112" s="11" t="s">
        <v>554</v>
      </c>
      <c r="G112" s="12">
        <v>11</v>
      </c>
      <c r="H112" s="13">
        <v>210</v>
      </c>
      <c r="I112" s="14">
        <f t="shared" si="16"/>
        <v>2310</v>
      </c>
      <c r="J112" s="15">
        <v>7.0000000000000007E-2</v>
      </c>
      <c r="K112" s="15">
        <f t="shared" si="17"/>
        <v>1.7500000000000002E-2</v>
      </c>
      <c r="L112" s="14" t="s">
        <v>46</v>
      </c>
      <c r="M112" s="14">
        <f t="shared" si="18"/>
        <v>161.70000000000002</v>
      </c>
      <c r="N112" s="14">
        <f t="shared" si="15"/>
        <v>40.425000000000004</v>
      </c>
      <c r="O112" s="11" t="s">
        <v>597</v>
      </c>
      <c r="P112" s="11" t="s">
        <v>597</v>
      </c>
      <c r="Q112" s="11"/>
      <c r="R112" s="11">
        <v>6</v>
      </c>
      <c r="S112" s="11" t="s">
        <v>597</v>
      </c>
      <c r="T112" s="16" t="s">
        <v>31</v>
      </c>
    </row>
    <row r="113" spans="1:20" x14ac:dyDescent="0.3">
      <c r="A113" s="18">
        <v>45717</v>
      </c>
      <c r="B113" s="11">
        <v>120000</v>
      </c>
      <c r="C113" s="11" t="s">
        <v>31</v>
      </c>
      <c r="D113" s="11" t="s">
        <v>93</v>
      </c>
      <c r="E113" s="11" t="s">
        <v>40</v>
      </c>
      <c r="F113" s="11" t="s">
        <v>41</v>
      </c>
      <c r="G113" s="12">
        <v>1</v>
      </c>
      <c r="H113" s="13">
        <f>16776.45/2</f>
        <v>8388.2250000000004</v>
      </c>
      <c r="I113" s="14">
        <v>8388.2199999999993</v>
      </c>
      <c r="J113" s="15">
        <v>7.0000000000000007E-2</v>
      </c>
      <c r="K113" s="15">
        <f t="shared" si="17"/>
        <v>1.7500000000000002E-2</v>
      </c>
      <c r="L113" s="14" t="s">
        <v>26</v>
      </c>
      <c r="M113" s="14">
        <f t="shared" si="18"/>
        <v>587.17539999999997</v>
      </c>
      <c r="N113" s="14">
        <f t="shared" si="15"/>
        <v>146.79384999999999</v>
      </c>
      <c r="O113" s="11" t="s">
        <v>27</v>
      </c>
      <c r="P113" s="11" t="s">
        <v>27</v>
      </c>
      <c r="Q113" s="11"/>
      <c r="R113" s="11">
        <v>6</v>
      </c>
      <c r="S113" s="11" t="s">
        <v>28</v>
      </c>
      <c r="T113" s="16" t="s">
        <v>31</v>
      </c>
    </row>
    <row r="114" spans="1:20" x14ac:dyDescent="0.3">
      <c r="A114" s="10">
        <v>45720</v>
      </c>
      <c r="B114" s="11">
        <v>106541</v>
      </c>
      <c r="C114" s="11" t="s">
        <v>22</v>
      </c>
      <c r="D114" s="11" t="s">
        <v>65</v>
      </c>
      <c r="E114" s="11" t="s">
        <v>24</v>
      </c>
      <c r="F114" s="11" t="s">
        <v>554</v>
      </c>
      <c r="G114" s="12">
        <v>34</v>
      </c>
      <c r="H114" s="13">
        <v>140</v>
      </c>
      <c r="I114" s="14">
        <f t="shared" ref="I114:I156" si="19">G114*H114</f>
        <v>4760</v>
      </c>
      <c r="J114" s="15">
        <v>3.5000000000000003E-2</v>
      </c>
      <c r="K114" s="15">
        <f t="shared" si="17"/>
        <v>8.7500000000000008E-3</v>
      </c>
      <c r="L114" s="14" t="s">
        <v>26</v>
      </c>
      <c r="M114" s="14">
        <f t="shared" si="18"/>
        <v>166.60000000000002</v>
      </c>
      <c r="N114" s="14">
        <v>0</v>
      </c>
      <c r="O114" s="11" t="s">
        <v>597</v>
      </c>
      <c r="P114" s="11" t="s">
        <v>597</v>
      </c>
      <c r="Q114" s="11"/>
      <c r="R114" s="11">
        <v>1</v>
      </c>
      <c r="S114" s="11" t="s">
        <v>597</v>
      </c>
      <c r="T114" s="16" t="s">
        <v>22</v>
      </c>
    </row>
    <row r="115" spans="1:20" x14ac:dyDescent="0.3">
      <c r="A115" s="10">
        <v>45726</v>
      </c>
      <c r="B115" s="11">
        <v>118963</v>
      </c>
      <c r="C115" s="11" t="s">
        <v>31</v>
      </c>
      <c r="D115" s="11" t="s">
        <v>625</v>
      </c>
      <c r="E115" s="11" t="s">
        <v>52</v>
      </c>
      <c r="F115" s="11" t="s">
        <v>41</v>
      </c>
      <c r="G115" s="12">
        <v>1</v>
      </c>
      <c r="H115" s="13">
        <v>14600</v>
      </c>
      <c r="I115" s="14">
        <f t="shared" si="19"/>
        <v>14600</v>
      </c>
      <c r="J115" s="15">
        <v>7.0000000000000007E-2</v>
      </c>
      <c r="K115" s="15">
        <f t="shared" si="17"/>
        <v>1.7500000000000002E-2</v>
      </c>
      <c r="L115" s="14" t="s">
        <v>26</v>
      </c>
      <c r="M115" s="14">
        <f t="shared" si="18"/>
        <v>1022.0000000000001</v>
      </c>
      <c r="N115" s="14">
        <f>I115*K115</f>
        <v>255.50000000000003</v>
      </c>
      <c r="O115" s="11" t="s">
        <v>27</v>
      </c>
      <c r="P115" s="11" t="s">
        <v>27</v>
      </c>
      <c r="Q115" s="11"/>
      <c r="R115" s="11">
        <v>6</v>
      </c>
      <c r="S115" s="11" t="s">
        <v>28</v>
      </c>
      <c r="T115" s="16" t="s">
        <v>31</v>
      </c>
    </row>
    <row r="116" spans="1:20" x14ac:dyDescent="0.3">
      <c r="A116" s="10">
        <v>45726</v>
      </c>
      <c r="B116" s="11">
        <v>118963</v>
      </c>
      <c r="C116" s="11" t="s">
        <v>31</v>
      </c>
      <c r="D116" s="11" t="s">
        <v>625</v>
      </c>
      <c r="E116" s="11" t="s">
        <v>52</v>
      </c>
      <c r="F116" s="11" t="s">
        <v>30</v>
      </c>
      <c r="G116" s="12">
        <v>1</v>
      </c>
      <c r="H116" s="13">
        <v>1728</v>
      </c>
      <c r="I116" s="14">
        <f t="shared" si="19"/>
        <v>1728</v>
      </c>
      <c r="J116" s="15">
        <v>1</v>
      </c>
      <c r="K116" s="15">
        <f t="shared" si="17"/>
        <v>0.25</v>
      </c>
      <c r="L116" s="14" t="s">
        <v>26</v>
      </c>
      <c r="M116" s="14">
        <f t="shared" si="18"/>
        <v>1728</v>
      </c>
      <c r="N116" s="14">
        <f>I116*K116</f>
        <v>432</v>
      </c>
      <c r="O116" s="11" t="s">
        <v>27</v>
      </c>
      <c r="P116" s="11" t="s">
        <v>27</v>
      </c>
      <c r="Q116" s="11"/>
      <c r="R116" s="11">
        <v>1</v>
      </c>
      <c r="S116" s="11" t="s">
        <v>28</v>
      </c>
      <c r="T116" s="16" t="s">
        <v>31</v>
      </c>
    </row>
    <row r="117" spans="1:20" x14ac:dyDescent="0.3">
      <c r="A117" s="10">
        <v>45728</v>
      </c>
      <c r="B117" s="11">
        <v>116965</v>
      </c>
      <c r="C117" s="11" t="s">
        <v>22</v>
      </c>
      <c r="D117" s="11" t="s">
        <v>610</v>
      </c>
      <c r="E117" s="11" t="s">
        <v>35</v>
      </c>
      <c r="F117" s="11" t="s">
        <v>35</v>
      </c>
      <c r="G117" s="12">
        <v>6</v>
      </c>
      <c r="H117" s="13">
        <v>176</v>
      </c>
      <c r="I117" s="14">
        <f t="shared" si="19"/>
        <v>1056</v>
      </c>
      <c r="J117" s="15">
        <v>0.01</v>
      </c>
      <c r="K117" s="15">
        <v>0</v>
      </c>
      <c r="L117" s="14" t="s">
        <v>26</v>
      </c>
      <c r="M117" s="14">
        <f t="shared" si="18"/>
        <v>10.56</v>
      </c>
      <c r="N117" s="14">
        <v>0</v>
      </c>
      <c r="O117" s="11" t="s">
        <v>597</v>
      </c>
      <c r="P117" s="11" t="s">
        <v>597</v>
      </c>
      <c r="Q117" s="11"/>
      <c r="R117" s="11">
        <v>1</v>
      </c>
      <c r="S117" s="11" t="s">
        <v>597</v>
      </c>
      <c r="T117" s="16" t="s">
        <v>22</v>
      </c>
    </row>
    <row r="118" spans="1:20" x14ac:dyDescent="0.3">
      <c r="A118" s="10">
        <v>45728</v>
      </c>
      <c r="B118" s="11">
        <v>120476</v>
      </c>
      <c r="C118" s="11" t="s">
        <v>31</v>
      </c>
      <c r="D118" s="11" t="s">
        <v>136</v>
      </c>
      <c r="E118" s="11" t="s">
        <v>24</v>
      </c>
      <c r="F118" s="11" t="s">
        <v>554</v>
      </c>
      <c r="G118" s="12">
        <v>54</v>
      </c>
      <c r="H118" s="13">
        <v>180</v>
      </c>
      <c r="I118" s="14">
        <f t="shared" si="19"/>
        <v>9720</v>
      </c>
      <c r="J118" s="15">
        <v>7.0000000000000007E-2</v>
      </c>
      <c r="K118" s="15">
        <f>J118*0.25</f>
        <v>1.7500000000000002E-2</v>
      </c>
      <c r="L118" s="14" t="s">
        <v>26</v>
      </c>
      <c r="M118" s="14">
        <f t="shared" si="18"/>
        <v>680.40000000000009</v>
      </c>
      <c r="N118" s="14">
        <f t="shared" ref="N118:N181" si="20">I118*K118</f>
        <v>170.10000000000002</v>
      </c>
      <c r="O118" s="11" t="s">
        <v>597</v>
      </c>
      <c r="P118" s="11" t="s">
        <v>597</v>
      </c>
      <c r="Q118" s="11"/>
      <c r="R118" s="11">
        <v>6</v>
      </c>
      <c r="S118" s="11" t="s">
        <v>597</v>
      </c>
      <c r="T118" s="16" t="s">
        <v>31</v>
      </c>
    </row>
    <row r="119" spans="1:20" x14ac:dyDescent="0.3">
      <c r="A119" s="10">
        <v>45728</v>
      </c>
      <c r="B119" s="11">
        <v>120504</v>
      </c>
      <c r="C119" s="11" t="s">
        <v>22</v>
      </c>
      <c r="D119" s="11" t="s">
        <v>110</v>
      </c>
      <c r="E119" s="11" t="s">
        <v>591</v>
      </c>
      <c r="F119" s="11" t="s">
        <v>41</v>
      </c>
      <c r="G119" s="12">
        <v>1</v>
      </c>
      <c r="H119" s="13">
        <v>21484</v>
      </c>
      <c r="I119" s="14">
        <f t="shared" si="19"/>
        <v>21484</v>
      </c>
      <c r="J119" s="15">
        <v>7.0000000000000007E-2</v>
      </c>
      <c r="K119" s="15">
        <v>0</v>
      </c>
      <c r="L119" s="14" t="s">
        <v>26</v>
      </c>
      <c r="M119" s="14">
        <f t="shared" si="18"/>
        <v>1503.88</v>
      </c>
      <c r="N119" s="14">
        <f t="shared" si="20"/>
        <v>0</v>
      </c>
      <c r="O119" s="11" t="s">
        <v>27</v>
      </c>
      <c r="P119" s="11" t="s">
        <v>27</v>
      </c>
      <c r="Q119" s="11"/>
      <c r="R119" s="11">
        <v>10</v>
      </c>
      <c r="S119" s="11" t="s">
        <v>28</v>
      </c>
      <c r="T119" s="16" t="s">
        <v>22</v>
      </c>
    </row>
    <row r="120" spans="1:20" x14ac:dyDescent="0.3">
      <c r="A120" s="10">
        <v>45728</v>
      </c>
      <c r="B120" s="11">
        <v>120504</v>
      </c>
      <c r="C120" s="11" t="s">
        <v>22</v>
      </c>
      <c r="D120" s="11" t="s">
        <v>110</v>
      </c>
      <c r="E120" s="11" t="s">
        <v>591</v>
      </c>
      <c r="F120" s="11" t="s">
        <v>30</v>
      </c>
      <c r="G120" s="12">
        <v>1</v>
      </c>
      <c r="H120" s="13">
        <v>2550</v>
      </c>
      <c r="I120" s="14">
        <f t="shared" si="19"/>
        <v>2550</v>
      </c>
      <c r="J120" s="15">
        <v>1</v>
      </c>
      <c r="K120" s="15">
        <v>0</v>
      </c>
      <c r="L120" s="14" t="s">
        <v>26</v>
      </c>
      <c r="M120" s="14">
        <f t="shared" si="18"/>
        <v>2550</v>
      </c>
      <c r="N120" s="14">
        <f t="shared" si="20"/>
        <v>0</v>
      </c>
      <c r="O120" s="11" t="s">
        <v>27</v>
      </c>
      <c r="P120" s="11" t="s">
        <v>27</v>
      </c>
      <c r="Q120" s="11"/>
      <c r="R120" s="11">
        <v>1</v>
      </c>
      <c r="S120" s="11" t="s">
        <v>28</v>
      </c>
      <c r="T120" s="16" t="s">
        <v>22</v>
      </c>
    </row>
    <row r="121" spans="1:20" x14ac:dyDescent="0.3">
      <c r="A121" s="10">
        <v>45728</v>
      </c>
      <c r="B121" s="11">
        <v>120538</v>
      </c>
      <c r="C121" s="11" t="s">
        <v>22</v>
      </c>
      <c r="D121" s="11" t="s">
        <v>626</v>
      </c>
      <c r="E121" s="11" t="s">
        <v>47</v>
      </c>
      <c r="F121" s="11" t="s">
        <v>554</v>
      </c>
      <c r="G121" s="12">
        <v>262</v>
      </c>
      <c r="H121" s="13">
        <v>162</v>
      </c>
      <c r="I121" s="14">
        <f t="shared" si="19"/>
        <v>42444</v>
      </c>
      <c r="J121" s="15">
        <v>7.0000000000000007E-2</v>
      </c>
      <c r="K121" s="15">
        <v>0</v>
      </c>
      <c r="L121" s="14" t="s">
        <v>46</v>
      </c>
      <c r="M121" s="14">
        <f t="shared" si="18"/>
        <v>2971.0800000000004</v>
      </c>
      <c r="N121" s="14">
        <f t="shared" si="20"/>
        <v>0</v>
      </c>
      <c r="O121" s="11" t="s">
        <v>27</v>
      </c>
      <c r="P121" s="11" t="s">
        <v>27</v>
      </c>
      <c r="Q121" s="11"/>
      <c r="R121" s="11">
        <v>10</v>
      </c>
      <c r="S121" s="11" t="s">
        <v>28</v>
      </c>
      <c r="T121" s="16" t="s">
        <v>22</v>
      </c>
    </row>
    <row r="122" spans="1:20" x14ac:dyDescent="0.3">
      <c r="A122" s="10">
        <v>45728</v>
      </c>
      <c r="B122" s="11">
        <v>120538</v>
      </c>
      <c r="C122" s="11" t="s">
        <v>22</v>
      </c>
      <c r="D122" s="11" t="s">
        <v>626</v>
      </c>
      <c r="E122" s="11" t="s">
        <v>63</v>
      </c>
      <c r="F122" s="11" t="s">
        <v>554</v>
      </c>
      <c r="G122" s="12">
        <v>24</v>
      </c>
      <c r="H122" s="13">
        <v>162</v>
      </c>
      <c r="I122" s="14">
        <f t="shared" si="19"/>
        <v>3888</v>
      </c>
      <c r="J122" s="15">
        <v>7.0000000000000007E-2</v>
      </c>
      <c r="K122" s="15">
        <v>0</v>
      </c>
      <c r="L122" s="14" t="s">
        <v>46</v>
      </c>
      <c r="M122" s="14">
        <f t="shared" si="18"/>
        <v>272.16000000000003</v>
      </c>
      <c r="N122" s="14">
        <f t="shared" si="20"/>
        <v>0</v>
      </c>
      <c r="O122" s="11" t="s">
        <v>27</v>
      </c>
      <c r="P122" s="11" t="s">
        <v>27</v>
      </c>
      <c r="Q122" s="11"/>
      <c r="R122" s="11">
        <v>10</v>
      </c>
      <c r="S122" s="11" t="s">
        <v>28</v>
      </c>
      <c r="T122" s="16" t="s">
        <v>22</v>
      </c>
    </row>
    <row r="123" spans="1:20" x14ac:dyDescent="0.3">
      <c r="A123" s="10">
        <v>45728</v>
      </c>
      <c r="B123" s="11">
        <v>120538</v>
      </c>
      <c r="C123" s="11" t="s">
        <v>22</v>
      </c>
      <c r="D123" s="11" t="s">
        <v>626</v>
      </c>
      <c r="E123" s="11" t="s">
        <v>47</v>
      </c>
      <c r="F123" s="11" t="s">
        <v>30</v>
      </c>
      <c r="G123" s="12">
        <v>5</v>
      </c>
      <c r="H123" s="13">
        <v>220.5</v>
      </c>
      <c r="I123" s="14">
        <f t="shared" si="19"/>
        <v>1102.5</v>
      </c>
      <c r="J123" s="15">
        <v>1</v>
      </c>
      <c r="K123" s="15">
        <v>0</v>
      </c>
      <c r="L123" s="14" t="s">
        <v>46</v>
      </c>
      <c r="M123" s="14">
        <f t="shared" si="18"/>
        <v>1102.5</v>
      </c>
      <c r="N123" s="14">
        <f t="shared" si="20"/>
        <v>0</v>
      </c>
      <c r="O123" s="11" t="s">
        <v>27</v>
      </c>
      <c r="P123" s="11" t="s">
        <v>27</v>
      </c>
      <c r="Q123" s="11"/>
      <c r="R123" s="11">
        <v>1</v>
      </c>
      <c r="S123" s="11" t="s">
        <v>28</v>
      </c>
      <c r="T123" s="16" t="s">
        <v>22</v>
      </c>
    </row>
    <row r="124" spans="1:20" x14ac:dyDescent="0.3">
      <c r="A124" s="10">
        <v>45728</v>
      </c>
      <c r="B124" s="11">
        <v>120538</v>
      </c>
      <c r="C124" s="11" t="s">
        <v>22</v>
      </c>
      <c r="D124" s="11" t="s">
        <v>626</v>
      </c>
      <c r="E124" s="11" t="s">
        <v>89</v>
      </c>
      <c r="F124" s="11" t="s">
        <v>30</v>
      </c>
      <c r="G124" s="12">
        <v>1</v>
      </c>
      <c r="H124" s="13">
        <v>285.12</v>
      </c>
      <c r="I124" s="14">
        <f t="shared" si="19"/>
        <v>285.12</v>
      </c>
      <c r="J124" s="15">
        <v>1</v>
      </c>
      <c r="K124" s="15">
        <v>0</v>
      </c>
      <c r="L124" s="14" t="s">
        <v>46</v>
      </c>
      <c r="M124" s="14">
        <f t="shared" si="18"/>
        <v>285.12</v>
      </c>
      <c r="N124" s="14">
        <f t="shared" si="20"/>
        <v>0</v>
      </c>
      <c r="O124" s="11" t="s">
        <v>27</v>
      </c>
      <c r="P124" s="11" t="s">
        <v>27</v>
      </c>
      <c r="Q124" s="11"/>
      <c r="R124" s="11">
        <v>1</v>
      </c>
      <c r="S124" s="11" t="s">
        <v>28</v>
      </c>
      <c r="T124" s="16" t="s">
        <v>22</v>
      </c>
    </row>
    <row r="125" spans="1:20" x14ac:dyDescent="0.3">
      <c r="A125" s="10">
        <v>45728</v>
      </c>
      <c r="B125" s="11">
        <v>120538</v>
      </c>
      <c r="C125" s="11" t="s">
        <v>22</v>
      </c>
      <c r="D125" s="11" t="s">
        <v>626</v>
      </c>
      <c r="E125" s="11" t="s">
        <v>63</v>
      </c>
      <c r="F125" s="11" t="s">
        <v>30</v>
      </c>
      <c r="G125" s="12">
        <v>15</v>
      </c>
      <c r="H125" s="13">
        <v>79.14</v>
      </c>
      <c r="I125" s="14">
        <f t="shared" si="19"/>
        <v>1187.0999999999999</v>
      </c>
      <c r="J125" s="15">
        <v>1</v>
      </c>
      <c r="K125" s="15">
        <v>0</v>
      </c>
      <c r="L125" s="14" t="s">
        <v>46</v>
      </c>
      <c r="M125" s="14">
        <f t="shared" si="18"/>
        <v>1187.0999999999999</v>
      </c>
      <c r="N125" s="14">
        <f t="shared" si="20"/>
        <v>0</v>
      </c>
      <c r="O125" s="11" t="s">
        <v>27</v>
      </c>
      <c r="P125" s="11" t="s">
        <v>27</v>
      </c>
      <c r="Q125" s="11"/>
      <c r="R125" s="11">
        <v>1</v>
      </c>
      <c r="S125" s="11" t="s">
        <v>28</v>
      </c>
      <c r="T125" s="16" t="s">
        <v>22</v>
      </c>
    </row>
    <row r="126" spans="1:20" x14ac:dyDescent="0.3">
      <c r="A126" s="10">
        <v>45728</v>
      </c>
      <c r="B126" s="11">
        <v>113509</v>
      </c>
      <c r="C126" s="11" t="s">
        <v>44</v>
      </c>
      <c r="D126" s="11" t="s">
        <v>57</v>
      </c>
      <c r="E126" s="11" t="s">
        <v>24</v>
      </c>
      <c r="F126" s="11" t="s">
        <v>554</v>
      </c>
      <c r="G126" s="12">
        <v>97.67</v>
      </c>
      <c r="H126" s="13">
        <v>180.2</v>
      </c>
      <c r="I126" s="14">
        <f t="shared" si="19"/>
        <v>17600.133999999998</v>
      </c>
      <c r="J126" s="15">
        <v>7.0000000000000007E-2</v>
      </c>
      <c r="K126" s="15">
        <f t="shared" ref="K126:K162" si="21">J126*0.25</f>
        <v>1.7500000000000002E-2</v>
      </c>
      <c r="L126" s="14" t="s">
        <v>46</v>
      </c>
      <c r="M126" s="14">
        <f t="shared" si="18"/>
        <v>1232.00938</v>
      </c>
      <c r="N126" s="14">
        <f t="shared" si="20"/>
        <v>308.00234499999999</v>
      </c>
      <c r="O126" s="11" t="s">
        <v>597</v>
      </c>
      <c r="P126" s="11" t="s">
        <v>597</v>
      </c>
      <c r="Q126" s="11"/>
      <c r="R126" s="11">
        <v>8</v>
      </c>
      <c r="S126" s="11" t="s">
        <v>597</v>
      </c>
      <c r="T126" s="16" t="s">
        <v>44</v>
      </c>
    </row>
    <row r="127" spans="1:20" x14ac:dyDescent="0.3">
      <c r="A127" s="10">
        <v>45729</v>
      </c>
      <c r="B127" s="11">
        <v>120505</v>
      </c>
      <c r="C127" s="11" t="s">
        <v>44</v>
      </c>
      <c r="D127" s="11" t="s">
        <v>627</v>
      </c>
      <c r="E127" s="11" t="s">
        <v>47</v>
      </c>
      <c r="F127" s="11" t="s">
        <v>554</v>
      </c>
      <c r="G127" s="12">
        <v>258</v>
      </c>
      <c r="H127" s="13">
        <v>171.72</v>
      </c>
      <c r="I127" s="14">
        <f t="shared" si="19"/>
        <v>44303.76</v>
      </c>
      <c r="J127" s="15">
        <v>7.0000000000000007E-2</v>
      </c>
      <c r="K127" s="15">
        <f t="shared" si="21"/>
        <v>1.7500000000000002E-2</v>
      </c>
      <c r="L127" s="14" t="s">
        <v>46</v>
      </c>
      <c r="M127" s="14">
        <f t="shared" si="18"/>
        <v>3101.2632000000003</v>
      </c>
      <c r="N127" s="14">
        <f t="shared" si="20"/>
        <v>775.31580000000008</v>
      </c>
      <c r="O127" s="11" t="s">
        <v>27</v>
      </c>
      <c r="P127" s="11" t="s">
        <v>27</v>
      </c>
      <c r="Q127" s="11"/>
      <c r="R127" s="11">
        <v>12</v>
      </c>
      <c r="S127" s="11" t="s">
        <v>28</v>
      </c>
      <c r="T127" s="16" t="s">
        <v>44</v>
      </c>
    </row>
    <row r="128" spans="1:20" x14ac:dyDescent="0.3">
      <c r="A128" s="10">
        <v>45729</v>
      </c>
      <c r="B128" s="11">
        <v>120505</v>
      </c>
      <c r="C128" s="11" t="s">
        <v>44</v>
      </c>
      <c r="D128" s="11" t="s">
        <v>627</v>
      </c>
      <c r="E128" s="11" t="s">
        <v>63</v>
      </c>
      <c r="F128" s="11" t="s">
        <v>554</v>
      </c>
      <c r="G128" s="12">
        <v>22</v>
      </c>
      <c r="H128" s="13">
        <v>171.72</v>
      </c>
      <c r="I128" s="14">
        <f t="shared" si="19"/>
        <v>3777.84</v>
      </c>
      <c r="J128" s="15">
        <v>7.0000000000000007E-2</v>
      </c>
      <c r="K128" s="15">
        <f t="shared" si="21"/>
        <v>1.7500000000000002E-2</v>
      </c>
      <c r="L128" s="14" t="s">
        <v>46</v>
      </c>
      <c r="M128" s="14">
        <f t="shared" si="18"/>
        <v>264.44880000000006</v>
      </c>
      <c r="N128" s="14">
        <f t="shared" si="20"/>
        <v>66.112200000000016</v>
      </c>
      <c r="O128" s="11" t="s">
        <v>27</v>
      </c>
      <c r="P128" s="11" t="s">
        <v>27</v>
      </c>
      <c r="Q128" s="11"/>
      <c r="R128" s="11">
        <v>12</v>
      </c>
      <c r="S128" s="11" t="s">
        <v>28</v>
      </c>
      <c r="T128" s="16" t="s">
        <v>44</v>
      </c>
    </row>
    <row r="129" spans="1:20" x14ac:dyDescent="0.3">
      <c r="A129" s="10">
        <v>45729</v>
      </c>
      <c r="B129" s="11">
        <v>120505</v>
      </c>
      <c r="C129" s="11" t="s">
        <v>44</v>
      </c>
      <c r="D129" s="11" t="s">
        <v>627</v>
      </c>
      <c r="E129" s="11" t="s">
        <v>578</v>
      </c>
      <c r="F129" s="11" t="s">
        <v>554</v>
      </c>
      <c r="G129" s="12">
        <v>30</v>
      </c>
      <c r="H129" s="13">
        <v>171.72</v>
      </c>
      <c r="I129" s="14">
        <f t="shared" si="19"/>
        <v>5151.6000000000004</v>
      </c>
      <c r="J129" s="15">
        <v>7.0000000000000007E-2</v>
      </c>
      <c r="K129" s="15">
        <f t="shared" si="21"/>
        <v>1.7500000000000002E-2</v>
      </c>
      <c r="L129" s="14" t="s">
        <v>46</v>
      </c>
      <c r="M129" s="14">
        <f t="shared" si="18"/>
        <v>360.61200000000008</v>
      </c>
      <c r="N129" s="14">
        <f t="shared" si="20"/>
        <v>90.15300000000002</v>
      </c>
      <c r="O129" s="11" t="s">
        <v>27</v>
      </c>
      <c r="P129" s="11" t="s">
        <v>27</v>
      </c>
      <c r="Q129" s="11"/>
      <c r="R129" s="11">
        <v>12</v>
      </c>
      <c r="S129" s="11" t="s">
        <v>28</v>
      </c>
      <c r="T129" s="16" t="s">
        <v>44</v>
      </c>
    </row>
    <row r="130" spans="1:20" x14ac:dyDescent="0.3">
      <c r="A130" s="10">
        <v>45729</v>
      </c>
      <c r="B130" s="11">
        <v>120505</v>
      </c>
      <c r="C130" s="11" t="s">
        <v>44</v>
      </c>
      <c r="D130" s="11" t="s">
        <v>627</v>
      </c>
      <c r="E130" s="11" t="s">
        <v>47</v>
      </c>
      <c r="F130" s="11" t="s">
        <v>30</v>
      </c>
      <c r="G130" s="12">
        <v>7</v>
      </c>
      <c r="H130" s="13">
        <v>248.05</v>
      </c>
      <c r="I130" s="14">
        <f t="shared" si="19"/>
        <v>1736.3500000000001</v>
      </c>
      <c r="J130" s="15">
        <v>1</v>
      </c>
      <c r="K130" s="15">
        <f t="shared" si="21"/>
        <v>0.25</v>
      </c>
      <c r="L130" s="14" t="s">
        <v>46</v>
      </c>
      <c r="M130" s="14">
        <f t="shared" ref="M130:M161" si="22">J130*I130</f>
        <v>1736.3500000000001</v>
      </c>
      <c r="N130" s="14">
        <f t="shared" si="20"/>
        <v>434.08750000000003</v>
      </c>
      <c r="O130" s="11" t="s">
        <v>27</v>
      </c>
      <c r="P130" s="11" t="s">
        <v>27</v>
      </c>
      <c r="Q130" s="11"/>
      <c r="R130" s="11">
        <v>1</v>
      </c>
      <c r="S130" s="11" t="s">
        <v>28</v>
      </c>
      <c r="T130" s="16" t="s">
        <v>44</v>
      </c>
    </row>
    <row r="131" spans="1:20" x14ac:dyDescent="0.3">
      <c r="A131" s="10">
        <v>45729</v>
      </c>
      <c r="B131" s="11">
        <v>120505</v>
      </c>
      <c r="C131" s="11" t="s">
        <v>44</v>
      </c>
      <c r="D131" s="11" t="s">
        <v>627</v>
      </c>
      <c r="E131" s="11" t="s">
        <v>63</v>
      </c>
      <c r="F131" s="11" t="s">
        <v>30</v>
      </c>
      <c r="G131" s="12">
        <v>5</v>
      </c>
      <c r="H131" s="13">
        <v>88.38</v>
      </c>
      <c r="I131" s="14">
        <f t="shared" si="19"/>
        <v>441.9</v>
      </c>
      <c r="J131" s="15">
        <v>1</v>
      </c>
      <c r="K131" s="15">
        <f t="shared" si="21"/>
        <v>0.25</v>
      </c>
      <c r="L131" s="14" t="s">
        <v>46</v>
      </c>
      <c r="M131" s="14">
        <f t="shared" si="22"/>
        <v>441.9</v>
      </c>
      <c r="N131" s="14">
        <f t="shared" si="20"/>
        <v>110.47499999999999</v>
      </c>
      <c r="O131" s="11" t="s">
        <v>27</v>
      </c>
      <c r="P131" s="11" t="s">
        <v>27</v>
      </c>
      <c r="Q131" s="11"/>
      <c r="R131" s="11">
        <v>1</v>
      </c>
      <c r="S131" s="11" t="s">
        <v>28</v>
      </c>
      <c r="T131" s="16" t="s">
        <v>44</v>
      </c>
    </row>
    <row r="132" spans="1:20" x14ac:dyDescent="0.3">
      <c r="A132" s="10">
        <v>45729</v>
      </c>
      <c r="B132" s="11">
        <v>120505</v>
      </c>
      <c r="C132" s="11" t="s">
        <v>44</v>
      </c>
      <c r="D132" s="11" t="s">
        <v>627</v>
      </c>
      <c r="E132" s="11" t="s">
        <v>48</v>
      </c>
      <c r="F132" s="11" t="s">
        <v>30</v>
      </c>
      <c r="G132" s="12">
        <v>1</v>
      </c>
      <c r="H132" s="13">
        <v>320.76</v>
      </c>
      <c r="I132" s="14">
        <f t="shared" si="19"/>
        <v>320.76</v>
      </c>
      <c r="J132" s="15">
        <v>1</v>
      </c>
      <c r="K132" s="15">
        <f t="shared" si="21"/>
        <v>0.25</v>
      </c>
      <c r="L132" s="14" t="s">
        <v>46</v>
      </c>
      <c r="M132" s="14">
        <f t="shared" si="22"/>
        <v>320.76</v>
      </c>
      <c r="N132" s="14">
        <f t="shared" si="20"/>
        <v>80.19</v>
      </c>
      <c r="O132" s="11" t="s">
        <v>27</v>
      </c>
      <c r="P132" s="11" t="s">
        <v>27</v>
      </c>
      <c r="Q132" s="11"/>
      <c r="R132" s="11">
        <v>1</v>
      </c>
      <c r="S132" s="11" t="s">
        <v>28</v>
      </c>
      <c r="T132" s="16" t="s">
        <v>44</v>
      </c>
    </row>
    <row r="133" spans="1:20" x14ac:dyDescent="0.3">
      <c r="A133" s="10">
        <v>45729</v>
      </c>
      <c r="B133" s="11">
        <v>120505</v>
      </c>
      <c r="C133" s="11" t="s">
        <v>44</v>
      </c>
      <c r="D133" s="11" t="s">
        <v>627</v>
      </c>
      <c r="E133" s="11" t="s">
        <v>578</v>
      </c>
      <c r="F133" s="11" t="s">
        <v>30</v>
      </c>
      <c r="G133" s="12">
        <v>1</v>
      </c>
      <c r="H133" s="13">
        <f>171+252</f>
        <v>423</v>
      </c>
      <c r="I133" s="14">
        <f t="shared" si="19"/>
        <v>423</v>
      </c>
      <c r="J133" s="15">
        <v>1</v>
      </c>
      <c r="K133" s="15">
        <f t="shared" si="21"/>
        <v>0.25</v>
      </c>
      <c r="L133" s="14" t="s">
        <v>46</v>
      </c>
      <c r="M133" s="14">
        <f t="shared" si="22"/>
        <v>423</v>
      </c>
      <c r="N133" s="14">
        <f t="shared" si="20"/>
        <v>105.75</v>
      </c>
      <c r="O133" s="11" t="s">
        <v>27</v>
      </c>
      <c r="P133" s="11" t="s">
        <v>27</v>
      </c>
      <c r="Q133" s="11"/>
      <c r="R133" s="11">
        <v>1</v>
      </c>
      <c r="S133" s="11" t="s">
        <v>28</v>
      </c>
      <c r="T133" s="16" t="s">
        <v>44</v>
      </c>
    </row>
    <row r="134" spans="1:20" x14ac:dyDescent="0.3">
      <c r="A134" s="10">
        <v>45734</v>
      </c>
      <c r="B134" s="11">
        <v>120317</v>
      </c>
      <c r="C134" s="11" t="s">
        <v>31</v>
      </c>
      <c r="D134" s="11" t="s">
        <v>600</v>
      </c>
      <c r="E134" s="11" t="s">
        <v>24</v>
      </c>
      <c r="F134" s="11" t="s">
        <v>554</v>
      </c>
      <c r="G134" s="12">
        <v>4</v>
      </c>
      <c r="H134" s="13">
        <v>189</v>
      </c>
      <c r="I134" s="14">
        <f t="shared" si="19"/>
        <v>756</v>
      </c>
      <c r="J134" s="15">
        <v>7.0000000000000007E-2</v>
      </c>
      <c r="K134" s="15">
        <f t="shared" si="21"/>
        <v>1.7500000000000002E-2</v>
      </c>
      <c r="L134" s="14" t="s">
        <v>26</v>
      </c>
      <c r="M134" s="14">
        <f t="shared" si="22"/>
        <v>52.92</v>
      </c>
      <c r="N134" s="14">
        <f t="shared" si="20"/>
        <v>13.23</v>
      </c>
      <c r="O134" s="11" t="s">
        <v>597</v>
      </c>
      <c r="P134" s="11" t="s">
        <v>597</v>
      </c>
      <c r="Q134" s="11"/>
      <c r="R134" s="11">
        <v>3</v>
      </c>
      <c r="S134" s="11" t="s">
        <v>597</v>
      </c>
      <c r="T134" s="16" t="s">
        <v>31</v>
      </c>
    </row>
    <row r="135" spans="1:20" x14ac:dyDescent="0.3">
      <c r="A135" s="10">
        <v>45734</v>
      </c>
      <c r="B135" s="11">
        <v>119517</v>
      </c>
      <c r="C135" s="11" t="s">
        <v>31</v>
      </c>
      <c r="D135" s="11" t="s">
        <v>94</v>
      </c>
      <c r="E135" s="11" t="s">
        <v>35</v>
      </c>
      <c r="F135" s="11" t="s">
        <v>35</v>
      </c>
      <c r="G135" s="12">
        <v>4</v>
      </c>
      <c r="H135" s="13">
        <v>176</v>
      </c>
      <c r="I135" s="14">
        <f t="shared" si="19"/>
        <v>704</v>
      </c>
      <c r="J135" s="15">
        <v>0.01</v>
      </c>
      <c r="K135" s="15">
        <f t="shared" si="21"/>
        <v>2.5000000000000001E-3</v>
      </c>
      <c r="L135" s="14" t="s">
        <v>26</v>
      </c>
      <c r="M135" s="14">
        <f t="shared" si="22"/>
        <v>7.04</v>
      </c>
      <c r="N135" s="14">
        <f t="shared" si="20"/>
        <v>1.76</v>
      </c>
      <c r="O135" s="11" t="s">
        <v>597</v>
      </c>
      <c r="P135" s="11" t="s">
        <v>597</v>
      </c>
      <c r="Q135" s="11"/>
      <c r="R135" s="11">
        <v>1</v>
      </c>
      <c r="S135" s="11" t="s">
        <v>597</v>
      </c>
      <c r="T135" s="16" t="s">
        <v>31</v>
      </c>
    </row>
    <row r="136" spans="1:20" x14ac:dyDescent="0.3">
      <c r="A136" s="10">
        <v>45734</v>
      </c>
      <c r="B136" s="11">
        <v>120535</v>
      </c>
      <c r="C136" s="11" t="s">
        <v>31</v>
      </c>
      <c r="D136" s="11" t="s">
        <v>136</v>
      </c>
      <c r="E136" s="11" t="s">
        <v>35</v>
      </c>
      <c r="F136" s="11" t="s">
        <v>35</v>
      </c>
      <c r="G136" s="12">
        <v>2</v>
      </c>
      <c r="H136" s="13">
        <v>176</v>
      </c>
      <c r="I136" s="14">
        <f t="shared" si="19"/>
        <v>352</v>
      </c>
      <c r="J136" s="15">
        <v>0.01</v>
      </c>
      <c r="K136" s="15">
        <f t="shared" si="21"/>
        <v>2.5000000000000001E-3</v>
      </c>
      <c r="L136" s="14" t="s">
        <v>26</v>
      </c>
      <c r="M136" s="14">
        <f t="shared" si="22"/>
        <v>3.52</v>
      </c>
      <c r="N136" s="14">
        <f t="shared" si="20"/>
        <v>0.88</v>
      </c>
      <c r="O136" s="11" t="s">
        <v>597</v>
      </c>
      <c r="P136" s="11" t="s">
        <v>597</v>
      </c>
      <c r="Q136" s="11"/>
      <c r="R136" s="11">
        <v>1</v>
      </c>
      <c r="S136" s="11" t="s">
        <v>597</v>
      </c>
      <c r="T136" s="16" t="s">
        <v>31</v>
      </c>
    </row>
    <row r="137" spans="1:20" x14ac:dyDescent="0.3">
      <c r="A137" s="10">
        <v>45734</v>
      </c>
      <c r="B137" s="11">
        <v>120535</v>
      </c>
      <c r="C137" s="11" t="s">
        <v>31</v>
      </c>
      <c r="D137" s="11" t="s">
        <v>628</v>
      </c>
      <c r="E137" s="11" t="s">
        <v>35</v>
      </c>
      <c r="F137" s="11" t="s">
        <v>35</v>
      </c>
      <c r="G137" s="12">
        <v>2</v>
      </c>
      <c r="H137" s="13">
        <v>176</v>
      </c>
      <c r="I137" s="14">
        <f t="shared" si="19"/>
        <v>352</v>
      </c>
      <c r="J137" s="15">
        <v>0.01</v>
      </c>
      <c r="K137" s="15">
        <f t="shared" si="21"/>
        <v>2.5000000000000001E-3</v>
      </c>
      <c r="L137" s="14" t="s">
        <v>26</v>
      </c>
      <c r="M137" s="14">
        <f t="shared" si="22"/>
        <v>3.52</v>
      </c>
      <c r="N137" s="14">
        <f t="shared" si="20"/>
        <v>0.88</v>
      </c>
      <c r="O137" s="11" t="s">
        <v>597</v>
      </c>
      <c r="P137" s="11" t="s">
        <v>597</v>
      </c>
      <c r="Q137" s="11"/>
      <c r="R137" s="11">
        <v>1</v>
      </c>
      <c r="S137" s="11" t="s">
        <v>597</v>
      </c>
      <c r="T137" s="16" t="s">
        <v>31</v>
      </c>
    </row>
    <row r="138" spans="1:20" x14ac:dyDescent="0.3">
      <c r="A138" s="10">
        <v>45736</v>
      </c>
      <c r="B138" s="11">
        <v>120871</v>
      </c>
      <c r="C138" s="11" t="s">
        <v>31</v>
      </c>
      <c r="D138" s="11" t="s">
        <v>629</v>
      </c>
      <c r="E138" s="11" t="s">
        <v>40</v>
      </c>
      <c r="F138" s="11" t="s">
        <v>41</v>
      </c>
      <c r="G138" s="12">
        <v>1</v>
      </c>
      <c r="H138" s="13">
        <v>2944.15</v>
      </c>
      <c r="I138" s="14">
        <f t="shared" si="19"/>
        <v>2944.15</v>
      </c>
      <c r="J138" s="15">
        <v>7.0000000000000007E-2</v>
      </c>
      <c r="K138" s="15">
        <f t="shared" si="21"/>
        <v>1.7500000000000002E-2</v>
      </c>
      <c r="L138" s="14" t="s">
        <v>26</v>
      </c>
      <c r="M138" s="14">
        <f t="shared" si="22"/>
        <v>206.09050000000002</v>
      </c>
      <c r="N138" s="14">
        <f t="shared" si="20"/>
        <v>51.522625000000005</v>
      </c>
      <c r="O138" s="11" t="s">
        <v>27</v>
      </c>
      <c r="P138" s="11" t="s">
        <v>27</v>
      </c>
      <c r="Q138" s="11"/>
      <c r="R138" s="11">
        <v>6</v>
      </c>
      <c r="S138" s="11" t="s">
        <v>28</v>
      </c>
      <c r="T138" s="16" t="s">
        <v>31</v>
      </c>
    </row>
    <row r="139" spans="1:20" x14ac:dyDescent="0.3">
      <c r="A139" s="10">
        <v>45736</v>
      </c>
      <c r="B139" s="11">
        <v>120906</v>
      </c>
      <c r="C139" s="11" t="s">
        <v>31</v>
      </c>
      <c r="D139" s="11" t="s">
        <v>630</v>
      </c>
      <c r="E139" s="11" t="s">
        <v>40</v>
      </c>
      <c r="F139" s="11" t="s">
        <v>41</v>
      </c>
      <c r="G139" s="12">
        <v>2</v>
      </c>
      <c r="H139" s="13">
        <f>4914.08/2</f>
        <v>2457.04</v>
      </c>
      <c r="I139" s="14">
        <f t="shared" si="19"/>
        <v>4914.08</v>
      </c>
      <c r="J139" s="15">
        <v>7.0000000000000007E-2</v>
      </c>
      <c r="K139" s="15">
        <f t="shared" si="21"/>
        <v>1.7500000000000002E-2</v>
      </c>
      <c r="L139" s="14" t="s">
        <v>26</v>
      </c>
      <c r="M139" s="14">
        <f t="shared" si="22"/>
        <v>343.98560000000003</v>
      </c>
      <c r="N139" s="14">
        <f t="shared" si="20"/>
        <v>85.996400000000008</v>
      </c>
      <c r="O139" s="11" t="s">
        <v>27</v>
      </c>
      <c r="P139" s="11" t="s">
        <v>27</v>
      </c>
      <c r="Q139" s="11"/>
      <c r="R139" s="11">
        <v>6</v>
      </c>
      <c r="S139" s="11" t="s">
        <v>28</v>
      </c>
      <c r="T139" s="16" t="s">
        <v>31</v>
      </c>
    </row>
    <row r="140" spans="1:20" x14ac:dyDescent="0.3">
      <c r="A140" s="10">
        <v>45741</v>
      </c>
      <c r="B140" s="11">
        <v>120629</v>
      </c>
      <c r="C140" s="11" t="s">
        <v>31</v>
      </c>
      <c r="D140" s="11" t="s">
        <v>631</v>
      </c>
      <c r="E140" s="11" t="s">
        <v>47</v>
      </c>
      <c r="F140" s="11" t="s">
        <v>554</v>
      </c>
      <c r="G140" s="12">
        <v>296</v>
      </c>
      <c r="H140" s="13">
        <v>157.5</v>
      </c>
      <c r="I140" s="14">
        <f t="shared" si="19"/>
        <v>46620</v>
      </c>
      <c r="J140" s="15">
        <v>6.8000000000000005E-2</v>
      </c>
      <c r="K140" s="15">
        <f t="shared" si="21"/>
        <v>1.7000000000000001E-2</v>
      </c>
      <c r="L140" s="14" t="s">
        <v>46</v>
      </c>
      <c r="M140" s="14">
        <f t="shared" si="22"/>
        <v>3170.1600000000003</v>
      </c>
      <c r="N140" s="14">
        <f t="shared" si="20"/>
        <v>792.54000000000008</v>
      </c>
      <c r="O140" s="11" t="s">
        <v>27</v>
      </c>
      <c r="P140" s="11" t="s">
        <v>27</v>
      </c>
      <c r="Q140" s="11"/>
      <c r="R140" s="11">
        <v>12</v>
      </c>
      <c r="S140" s="11" t="s">
        <v>28</v>
      </c>
      <c r="T140" s="16" t="s">
        <v>31</v>
      </c>
    </row>
    <row r="141" spans="1:20" x14ac:dyDescent="0.3">
      <c r="A141" s="10">
        <v>45741</v>
      </c>
      <c r="B141" s="11">
        <v>120629</v>
      </c>
      <c r="C141" s="11" t="s">
        <v>31</v>
      </c>
      <c r="D141" s="11" t="s">
        <v>631</v>
      </c>
      <c r="E141" s="11" t="s">
        <v>63</v>
      </c>
      <c r="F141" s="11" t="s">
        <v>554</v>
      </c>
      <c r="G141" s="12">
        <v>24</v>
      </c>
      <c r="H141" s="13">
        <v>157.5</v>
      </c>
      <c r="I141" s="14">
        <f t="shared" si="19"/>
        <v>3780</v>
      </c>
      <c r="J141" s="15">
        <v>6.8000000000000005E-2</v>
      </c>
      <c r="K141" s="15">
        <f t="shared" si="21"/>
        <v>1.7000000000000001E-2</v>
      </c>
      <c r="L141" s="14" t="s">
        <v>46</v>
      </c>
      <c r="M141" s="14">
        <f t="shared" si="22"/>
        <v>257.04000000000002</v>
      </c>
      <c r="N141" s="14">
        <f t="shared" si="20"/>
        <v>64.260000000000005</v>
      </c>
      <c r="O141" s="11" t="s">
        <v>27</v>
      </c>
      <c r="P141" s="11" t="s">
        <v>27</v>
      </c>
      <c r="Q141" s="11"/>
      <c r="R141" s="11">
        <v>12</v>
      </c>
      <c r="S141" s="11" t="s">
        <v>28</v>
      </c>
      <c r="T141" s="16" t="s">
        <v>31</v>
      </c>
    </row>
    <row r="142" spans="1:20" x14ac:dyDescent="0.3">
      <c r="A142" s="10">
        <v>45741</v>
      </c>
      <c r="B142" s="11">
        <v>120629</v>
      </c>
      <c r="C142" s="11" t="s">
        <v>31</v>
      </c>
      <c r="D142" s="11" t="s">
        <v>631</v>
      </c>
      <c r="E142" s="11" t="s">
        <v>54</v>
      </c>
      <c r="F142" s="11" t="s">
        <v>554</v>
      </c>
      <c r="G142" s="12">
        <v>80</v>
      </c>
      <c r="H142" s="13">
        <v>157.5</v>
      </c>
      <c r="I142" s="14">
        <f t="shared" si="19"/>
        <v>12600</v>
      </c>
      <c r="J142" s="15">
        <v>6.8000000000000005E-2</v>
      </c>
      <c r="K142" s="15">
        <f t="shared" si="21"/>
        <v>1.7000000000000001E-2</v>
      </c>
      <c r="L142" s="14" t="s">
        <v>46</v>
      </c>
      <c r="M142" s="14">
        <f t="shared" si="22"/>
        <v>856.80000000000007</v>
      </c>
      <c r="N142" s="14">
        <f t="shared" si="20"/>
        <v>214.20000000000002</v>
      </c>
      <c r="O142" s="11" t="s">
        <v>27</v>
      </c>
      <c r="P142" s="11" t="s">
        <v>27</v>
      </c>
      <c r="Q142" s="11"/>
      <c r="R142" s="11">
        <v>12</v>
      </c>
      <c r="S142" s="11" t="s">
        <v>28</v>
      </c>
      <c r="T142" s="16" t="s">
        <v>31</v>
      </c>
    </row>
    <row r="143" spans="1:20" x14ac:dyDescent="0.3">
      <c r="A143" s="10">
        <v>45741</v>
      </c>
      <c r="B143" s="11">
        <v>120629</v>
      </c>
      <c r="C143" s="11" t="s">
        <v>31</v>
      </c>
      <c r="D143" s="11" t="s">
        <v>631</v>
      </c>
      <c r="E143" s="11" t="s">
        <v>47</v>
      </c>
      <c r="F143" s="11" t="s">
        <v>30</v>
      </c>
      <c r="G143" s="12">
        <v>8</v>
      </c>
      <c r="H143" s="13">
        <v>220.49</v>
      </c>
      <c r="I143" s="14">
        <f t="shared" si="19"/>
        <v>1763.92</v>
      </c>
      <c r="J143" s="15">
        <v>1</v>
      </c>
      <c r="K143" s="15">
        <f t="shared" si="21"/>
        <v>0.25</v>
      </c>
      <c r="L143" s="14" t="s">
        <v>46</v>
      </c>
      <c r="M143" s="14">
        <f t="shared" si="22"/>
        <v>1763.92</v>
      </c>
      <c r="N143" s="14">
        <f t="shared" si="20"/>
        <v>440.98</v>
      </c>
      <c r="O143" s="11" t="s">
        <v>27</v>
      </c>
      <c r="P143" s="11" t="s">
        <v>27</v>
      </c>
      <c r="Q143" s="11"/>
      <c r="R143" s="11">
        <v>1</v>
      </c>
      <c r="S143" s="11" t="s">
        <v>28</v>
      </c>
      <c r="T143" s="16" t="s">
        <v>31</v>
      </c>
    </row>
    <row r="144" spans="1:20" x14ac:dyDescent="0.3">
      <c r="A144" s="10">
        <v>45741</v>
      </c>
      <c r="B144" s="11">
        <v>120629</v>
      </c>
      <c r="C144" s="11" t="s">
        <v>31</v>
      </c>
      <c r="D144" s="11" t="s">
        <v>631</v>
      </c>
      <c r="E144" s="11" t="s">
        <v>63</v>
      </c>
      <c r="F144" s="11" t="s">
        <v>30</v>
      </c>
      <c r="G144" s="12">
        <v>3</v>
      </c>
      <c r="H144" s="13">
        <v>78.569999999999993</v>
      </c>
      <c r="I144" s="14">
        <f t="shared" si="19"/>
        <v>235.70999999999998</v>
      </c>
      <c r="J144" s="15">
        <v>1</v>
      </c>
      <c r="K144" s="15">
        <f t="shared" si="21"/>
        <v>0.25</v>
      </c>
      <c r="L144" s="14" t="s">
        <v>46</v>
      </c>
      <c r="M144" s="14">
        <f t="shared" si="22"/>
        <v>235.70999999999998</v>
      </c>
      <c r="N144" s="14">
        <f t="shared" si="20"/>
        <v>58.927499999999995</v>
      </c>
      <c r="O144" s="11" t="s">
        <v>27</v>
      </c>
      <c r="P144" s="11" t="s">
        <v>27</v>
      </c>
      <c r="Q144" s="11"/>
      <c r="R144" s="11">
        <v>1</v>
      </c>
      <c r="S144" s="11" t="s">
        <v>28</v>
      </c>
      <c r="T144" s="16" t="s">
        <v>31</v>
      </c>
    </row>
    <row r="145" spans="1:20" x14ac:dyDescent="0.3">
      <c r="A145" s="10">
        <v>45741</v>
      </c>
      <c r="B145" s="11">
        <v>120629</v>
      </c>
      <c r="C145" s="11" t="s">
        <v>31</v>
      </c>
      <c r="D145" s="11" t="s">
        <v>631</v>
      </c>
      <c r="E145" s="11" t="s">
        <v>54</v>
      </c>
      <c r="F145" s="11" t="s">
        <v>30</v>
      </c>
      <c r="G145" s="12">
        <v>1</v>
      </c>
      <c r="H145" s="13">
        <v>114.05</v>
      </c>
      <c r="I145" s="14">
        <f t="shared" si="19"/>
        <v>114.05</v>
      </c>
      <c r="J145" s="15">
        <v>1</v>
      </c>
      <c r="K145" s="15">
        <f t="shared" si="21"/>
        <v>0.25</v>
      </c>
      <c r="L145" s="14" t="s">
        <v>46</v>
      </c>
      <c r="M145" s="14">
        <f t="shared" si="22"/>
        <v>114.05</v>
      </c>
      <c r="N145" s="14">
        <f t="shared" si="20"/>
        <v>28.512499999999999</v>
      </c>
      <c r="O145" s="11" t="s">
        <v>27</v>
      </c>
      <c r="P145" s="11" t="s">
        <v>27</v>
      </c>
      <c r="Q145" s="11"/>
      <c r="R145" s="11">
        <v>1</v>
      </c>
      <c r="S145" s="11" t="s">
        <v>28</v>
      </c>
      <c r="T145" s="16" t="s">
        <v>31</v>
      </c>
    </row>
    <row r="146" spans="1:20" x14ac:dyDescent="0.3">
      <c r="A146" s="10">
        <v>45741</v>
      </c>
      <c r="B146" s="11">
        <v>121179</v>
      </c>
      <c r="C146" s="11" t="s">
        <v>31</v>
      </c>
      <c r="D146" s="11" t="s">
        <v>631</v>
      </c>
      <c r="E146" s="11" t="s">
        <v>102</v>
      </c>
      <c r="F146" s="11" t="s">
        <v>41</v>
      </c>
      <c r="G146" s="12">
        <v>1</v>
      </c>
      <c r="H146" s="13">
        <v>1600</v>
      </c>
      <c r="I146" s="14">
        <f t="shared" si="19"/>
        <v>1600</v>
      </c>
      <c r="J146" s="15">
        <v>7.0000000000000007E-2</v>
      </c>
      <c r="K146" s="15">
        <f t="shared" si="21"/>
        <v>1.7500000000000002E-2</v>
      </c>
      <c r="L146" s="14" t="s">
        <v>46</v>
      </c>
      <c r="M146" s="14">
        <f t="shared" si="22"/>
        <v>112.00000000000001</v>
      </c>
      <c r="N146" s="14">
        <f t="shared" si="20"/>
        <v>28.000000000000004</v>
      </c>
      <c r="O146" s="11" t="s">
        <v>27</v>
      </c>
      <c r="P146" s="11" t="s">
        <v>27</v>
      </c>
      <c r="Q146" s="11"/>
      <c r="R146" s="11">
        <v>4</v>
      </c>
      <c r="S146" s="11" t="s">
        <v>28</v>
      </c>
      <c r="T146" s="16" t="s">
        <v>31</v>
      </c>
    </row>
    <row r="147" spans="1:20" x14ac:dyDescent="0.3">
      <c r="A147" s="10">
        <v>45741</v>
      </c>
      <c r="B147" s="11">
        <v>121179</v>
      </c>
      <c r="C147" s="11" t="s">
        <v>31</v>
      </c>
      <c r="D147" s="11" t="s">
        <v>631</v>
      </c>
      <c r="E147" s="11" t="s">
        <v>102</v>
      </c>
      <c r="F147" s="11" t="s">
        <v>30</v>
      </c>
      <c r="G147" s="12">
        <v>9</v>
      </c>
      <c r="H147" s="13">
        <v>95.2</v>
      </c>
      <c r="I147" s="14">
        <f t="shared" si="19"/>
        <v>856.80000000000007</v>
      </c>
      <c r="J147" s="15">
        <v>1</v>
      </c>
      <c r="K147" s="15">
        <f t="shared" si="21"/>
        <v>0.25</v>
      </c>
      <c r="L147" s="14" t="s">
        <v>46</v>
      </c>
      <c r="M147" s="14">
        <f t="shared" si="22"/>
        <v>856.80000000000007</v>
      </c>
      <c r="N147" s="14">
        <f t="shared" si="20"/>
        <v>214.20000000000002</v>
      </c>
      <c r="O147" s="11" t="s">
        <v>27</v>
      </c>
      <c r="P147" s="11" t="s">
        <v>27</v>
      </c>
      <c r="Q147" s="11"/>
      <c r="R147" s="11">
        <v>1</v>
      </c>
      <c r="S147" s="11" t="s">
        <v>28</v>
      </c>
      <c r="T147" s="16" t="s">
        <v>31</v>
      </c>
    </row>
    <row r="148" spans="1:20" x14ac:dyDescent="0.3">
      <c r="A148" s="10">
        <v>45741</v>
      </c>
      <c r="B148" s="11">
        <v>121179</v>
      </c>
      <c r="C148" s="11" t="s">
        <v>31</v>
      </c>
      <c r="D148" s="11" t="s">
        <v>631</v>
      </c>
      <c r="E148" s="11" t="s">
        <v>102</v>
      </c>
      <c r="F148" s="11" t="s">
        <v>30</v>
      </c>
      <c r="G148" s="12">
        <v>1</v>
      </c>
      <c r="H148" s="13">
        <v>2013.93</v>
      </c>
      <c r="I148" s="14">
        <f t="shared" si="19"/>
        <v>2013.93</v>
      </c>
      <c r="J148" s="15">
        <v>1</v>
      </c>
      <c r="K148" s="15">
        <f t="shared" si="21"/>
        <v>0.25</v>
      </c>
      <c r="L148" s="14" t="s">
        <v>46</v>
      </c>
      <c r="M148" s="14">
        <f t="shared" si="22"/>
        <v>2013.93</v>
      </c>
      <c r="N148" s="14">
        <f t="shared" si="20"/>
        <v>503.48250000000002</v>
      </c>
      <c r="O148" s="11" t="s">
        <v>27</v>
      </c>
      <c r="P148" s="11" t="s">
        <v>27</v>
      </c>
      <c r="Q148" s="11"/>
      <c r="R148" s="11">
        <v>1</v>
      </c>
      <c r="S148" s="11" t="s">
        <v>28</v>
      </c>
      <c r="T148" s="16" t="s">
        <v>31</v>
      </c>
    </row>
    <row r="149" spans="1:20" x14ac:dyDescent="0.3">
      <c r="A149" s="10">
        <v>45742</v>
      </c>
      <c r="B149" s="11">
        <v>102185</v>
      </c>
      <c r="C149" s="11" t="s">
        <v>44</v>
      </c>
      <c r="D149" s="11" t="s">
        <v>622</v>
      </c>
      <c r="E149" s="11" t="s">
        <v>54</v>
      </c>
      <c r="F149" s="11" t="s">
        <v>30</v>
      </c>
      <c r="G149" s="12">
        <v>1</v>
      </c>
      <c r="H149" s="13">
        <v>142.56</v>
      </c>
      <c r="I149" s="14">
        <f t="shared" si="19"/>
        <v>142.56</v>
      </c>
      <c r="J149" s="15">
        <v>1</v>
      </c>
      <c r="K149" s="15">
        <f t="shared" si="21"/>
        <v>0.25</v>
      </c>
      <c r="L149" s="14" t="s">
        <v>26</v>
      </c>
      <c r="M149" s="14">
        <f t="shared" si="22"/>
        <v>142.56</v>
      </c>
      <c r="N149" s="14">
        <f t="shared" si="20"/>
        <v>35.64</v>
      </c>
      <c r="O149" s="11" t="s">
        <v>27</v>
      </c>
      <c r="P149" s="11" t="s">
        <v>27</v>
      </c>
      <c r="Q149" s="11"/>
      <c r="R149" s="11">
        <v>1</v>
      </c>
      <c r="S149" s="11" t="s">
        <v>28</v>
      </c>
      <c r="T149" s="16" t="s">
        <v>44</v>
      </c>
    </row>
    <row r="150" spans="1:20" x14ac:dyDescent="0.3">
      <c r="A150" s="10">
        <v>45743</v>
      </c>
      <c r="B150" s="11">
        <v>121330</v>
      </c>
      <c r="C150" s="11" t="s">
        <v>31</v>
      </c>
      <c r="D150" s="11" t="s">
        <v>632</v>
      </c>
      <c r="E150" s="11" t="s">
        <v>40</v>
      </c>
      <c r="F150" s="11" t="s">
        <v>41</v>
      </c>
      <c r="G150" s="12">
        <v>1</v>
      </c>
      <c r="H150" s="13">
        <v>2996.91</v>
      </c>
      <c r="I150" s="14">
        <f t="shared" si="19"/>
        <v>2996.91</v>
      </c>
      <c r="J150" s="15">
        <v>7.0000000000000007E-2</v>
      </c>
      <c r="K150" s="15">
        <f t="shared" si="21"/>
        <v>1.7500000000000002E-2</v>
      </c>
      <c r="L150" s="14" t="s">
        <v>26</v>
      </c>
      <c r="M150" s="14">
        <f t="shared" si="22"/>
        <v>209.78370000000001</v>
      </c>
      <c r="N150" s="14">
        <f t="shared" si="20"/>
        <v>52.445925000000003</v>
      </c>
      <c r="O150" s="11" t="s">
        <v>27</v>
      </c>
      <c r="P150" s="11" t="s">
        <v>27</v>
      </c>
      <c r="Q150" s="11"/>
      <c r="R150" s="11">
        <v>6</v>
      </c>
      <c r="S150" s="11" t="s">
        <v>28</v>
      </c>
      <c r="T150" s="16" t="s">
        <v>31</v>
      </c>
    </row>
    <row r="151" spans="1:20" x14ac:dyDescent="0.3">
      <c r="A151" s="10">
        <v>45743</v>
      </c>
      <c r="B151" s="11">
        <v>118856</v>
      </c>
      <c r="C151" s="11" t="s">
        <v>31</v>
      </c>
      <c r="D151" s="11" t="s">
        <v>614</v>
      </c>
      <c r="E151" s="11" t="s">
        <v>35</v>
      </c>
      <c r="F151" s="11" t="s">
        <v>35</v>
      </c>
      <c r="G151" s="12">
        <v>5</v>
      </c>
      <c r="H151" s="13">
        <v>176</v>
      </c>
      <c r="I151" s="14">
        <f t="shared" si="19"/>
        <v>880</v>
      </c>
      <c r="J151" s="15">
        <v>0.01</v>
      </c>
      <c r="K151" s="15">
        <f t="shared" si="21"/>
        <v>2.5000000000000001E-3</v>
      </c>
      <c r="L151" s="14" t="s">
        <v>26</v>
      </c>
      <c r="M151" s="14">
        <f t="shared" si="22"/>
        <v>8.8000000000000007</v>
      </c>
      <c r="N151" s="14">
        <f t="shared" si="20"/>
        <v>2.2000000000000002</v>
      </c>
      <c r="O151" s="11" t="s">
        <v>27</v>
      </c>
      <c r="P151" s="11" t="s">
        <v>27</v>
      </c>
      <c r="Q151" s="11"/>
      <c r="R151" s="11">
        <v>3</v>
      </c>
      <c r="S151" s="11" t="s">
        <v>597</v>
      </c>
      <c r="T151" s="16" t="s">
        <v>31</v>
      </c>
    </row>
    <row r="152" spans="1:20" x14ac:dyDescent="0.3">
      <c r="A152" s="18">
        <v>45748</v>
      </c>
      <c r="B152" s="11">
        <v>120127</v>
      </c>
      <c r="C152" s="11" t="s">
        <v>44</v>
      </c>
      <c r="D152" s="11" t="s">
        <v>633</v>
      </c>
      <c r="E152" s="11" t="s">
        <v>47</v>
      </c>
      <c r="F152" s="11" t="s">
        <v>554</v>
      </c>
      <c r="G152" s="12">
        <f>376+80</f>
        <v>456</v>
      </c>
      <c r="H152" s="13">
        <v>176</v>
      </c>
      <c r="I152" s="14">
        <f t="shared" si="19"/>
        <v>80256</v>
      </c>
      <c r="J152" s="15">
        <v>0.05</v>
      </c>
      <c r="K152" s="15">
        <f t="shared" si="21"/>
        <v>1.2500000000000001E-2</v>
      </c>
      <c r="L152" s="14" t="s">
        <v>46</v>
      </c>
      <c r="M152" s="14">
        <f t="shared" si="22"/>
        <v>4012.8</v>
      </c>
      <c r="N152" s="14">
        <f t="shared" si="20"/>
        <v>1003.2</v>
      </c>
      <c r="O152" s="11" t="s">
        <v>27</v>
      </c>
      <c r="P152" s="11" t="s">
        <v>27</v>
      </c>
      <c r="Q152" s="11"/>
      <c r="R152" s="11">
        <v>6</v>
      </c>
      <c r="S152" s="11" t="s">
        <v>28</v>
      </c>
      <c r="T152" s="16" t="s">
        <v>44</v>
      </c>
    </row>
    <row r="153" spans="1:20" x14ac:dyDescent="0.3">
      <c r="A153" s="10">
        <v>45748</v>
      </c>
      <c r="B153" s="11">
        <v>120127</v>
      </c>
      <c r="C153" s="11" t="s">
        <v>44</v>
      </c>
      <c r="D153" s="11" t="s">
        <v>633</v>
      </c>
      <c r="E153" s="11" t="s">
        <v>63</v>
      </c>
      <c r="F153" s="11" t="s">
        <v>554</v>
      </c>
      <c r="G153" s="12">
        <v>44</v>
      </c>
      <c r="H153" s="13">
        <v>176</v>
      </c>
      <c r="I153" s="14">
        <f t="shared" si="19"/>
        <v>7744</v>
      </c>
      <c r="J153" s="15">
        <v>0.05</v>
      </c>
      <c r="K153" s="15">
        <f t="shared" si="21"/>
        <v>1.2500000000000001E-2</v>
      </c>
      <c r="L153" s="14" t="s">
        <v>46</v>
      </c>
      <c r="M153" s="14">
        <f t="shared" si="22"/>
        <v>387.20000000000005</v>
      </c>
      <c r="N153" s="14">
        <f t="shared" si="20"/>
        <v>96.800000000000011</v>
      </c>
      <c r="O153" s="11" t="s">
        <v>27</v>
      </c>
      <c r="P153" s="11" t="s">
        <v>27</v>
      </c>
      <c r="Q153" s="11"/>
      <c r="R153" s="11">
        <v>6</v>
      </c>
      <c r="S153" s="11" t="s">
        <v>28</v>
      </c>
      <c r="T153" s="16" t="s">
        <v>44</v>
      </c>
    </row>
    <row r="154" spans="1:20" x14ac:dyDescent="0.3">
      <c r="A154" s="10">
        <v>45748</v>
      </c>
      <c r="B154" s="11">
        <v>120127</v>
      </c>
      <c r="C154" s="11" t="s">
        <v>44</v>
      </c>
      <c r="D154" s="11" t="s">
        <v>633</v>
      </c>
      <c r="E154" s="11" t="s">
        <v>47</v>
      </c>
      <c r="F154" s="11" t="s">
        <v>30</v>
      </c>
      <c r="G154" s="12">
        <v>6</v>
      </c>
      <c r="H154" s="13">
        <v>275.62</v>
      </c>
      <c r="I154" s="14">
        <f t="shared" si="19"/>
        <v>1653.72</v>
      </c>
      <c r="J154" s="15">
        <v>1</v>
      </c>
      <c r="K154" s="15">
        <f t="shared" si="21"/>
        <v>0.25</v>
      </c>
      <c r="L154" s="14" t="s">
        <v>46</v>
      </c>
      <c r="M154" s="14">
        <f t="shared" si="22"/>
        <v>1653.72</v>
      </c>
      <c r="N154" s="14">
        <f t="shared" si="20"/>
        <v>413.43</v>
      </c>
      <c r="O154" s="11" t="s">
        <v>27</v>
      </c>
      <c r="P154" s="11" t="s">
        <v>27</v>
      </c>
      <c r="Q154" s="11"/>
      <c r="R154" s="11">
        <v>1</v>
      </c>
      <c r="S154" s="11" t="s">
        <v>28</v>
      </c>
      <c r="T154" s="16" t="s">
        <v>44</v>
      </c>
    </row>
    <row r="155" spans="1:20" x14ac:dyDescent="0.3">
      <c r="A155" s="10">
        <v>45748</v>
      </c>
      <c r="B155" s="11">
        <v>120127</v>
      </c>
      <c r="C155" s="11" t="s">
        <v>44</v>
      </c>
      <c r="D155" s="11" t="s">
        <v>633</v>
      </c>
      <c r="E155" s="11" t="s">
        <v>54</v>
      </c>
      <c r="F155" s="11" t="s">
        <v>30</v>
      </c>
      <c r="G155" s="12">
        <v>5</v>
      </c>
      <c r="H155" s="13">
        <v>142.56</v>
      </c>
      <c r="I155" s="14">
        <f t="shared" si="19"/>
        <v>712.8</v>
      </c>
      <c r="J155" s="15">
        <v>1</v>
      </c>
      <c r="K155" s="15">
        <f t="shared" si="21"/>
        <v>0.25</v>
      </c>
      <c r="L155" s="14" t="s">
        <v>46</v>
      </c>
      <c r="M155" s="14">
        <f t="shared" si="22"/>
        <v>712.8</v>
      </c>
      <c r="N155" s="14">
        <f t="shared" si="20"/>
        <v>178.2</v>
      </c>
      <c r="O155" s="11" t="s">
        <v>27</v>
      </c>
      <c r="P155" s="11" t="s">
        <v>27</v>
      </c>
      <c r="Q155" s="11"/>
      <c r="R155" s="11">
        <v>1</v>
      </c>
      <c r="S155" s="11" t="s">
        <v>28</v>
      </c>
      <c r="T155" s="16" t="s">
        <v>44</v>
      </c>
    </row>
    <row r="156" spans="1:20" x14ac:dyDescent="0.3">
      <c r="A156" s="10">
        <v>45748</v>
      </c>
      <c r="B156" s="11">
        <v>120127</v>
      </c>
      <c r="C156" s="11" t="s">
        <v>44</v>
      </c>
      <c r="D156" s="11" t="s">
        <v>633</v>
      </c>
      <c r="E156" s="11" t="s">
        <v>345</v>
      </c>
      <c r="F156" s="11" t="s">
        <v>30</v>
      </c>
      <c r="G156" s="12">
        <v>1</v>
      </c>
      <c r="H156" s="13">
        <v>0</v>
      </c>
      <c r="I156" s="14">
        <f t="shared" si="19"/>
        <v>0</v>
      </c>
      <c r="J156" s="15">
        <v>1</v>
      </c>
      <c r="K156" s="15">
        <f t="shared" si="21"/>
        <v>0.25</v>
      </c>
      <c r="L156" s="14" t="s">
        <v>46</v>
      </c>
      <c r="M156" s="14">
        <f t="shared" si="22"/>
        <v>0</v>
      </c>
      <c r="N156" s="14">
        <f t="shared" si="20"/>
        <v>0</v>
      </c>
      <c r="O156" s="11" t="s">
        <v>27</v>
      </c>
      <c r="P156" s="11" t="s">
        <v>27</v>
      </c>
      <c r="Q156" s="11"/>
      <c r="R156" s="11">
        <v>1</v>
      </c>
      <c r="S156" s="11" t="s">
        <v>28</v>
      </c>
      <c r="T156" s="16" t="s">
        <v>44</v>
      </c>
    </row>
    <row r="157" spans="1:20" x14ac:dyDescent="0.3">
      <c r="A157" s="10">
        <v>45748</v>
      </c>
      <c r="B157" s="11">
        <v>120127</v>
      </c>
      <c r="C157" s="11" t="s">
        <v>44</v>
      </c>
      <c r="D157" s="11" t="s">
        <v>633</v>
      </c>
      <c r="E157" s="11" t="s">
        <v>145</v>
      </c>
      <c r="F157" s="11" t="s">
        <v>30</v>
      </c>
      <c r="G157" s="12">
        <v>1</v>
      </c>
      <c r="H157" s="13">
        <v>356.4</v>
      </c>
      <c r="I157" s="14">
        <v>0</v>
      </c>
      <c r="J157" s="15">
        <v>1</v>
      </c>
      <c r="K157" s="15">
        <f t="shared" si="21"/>
        <v>0.25</v>
      </c>
      <c r="L157" s="14" t="s">
        <v>46</v>
      </c>
      <c r="M157" s="14">
        <f t="shared" si="22"/>
        <v>0</v>
      </c>
      <c r="N157" s="14">
        <f t="shared" si="20"/>
        <v>0</v>
      </c>
      <c r="O157" s="11" t="s">
        <v>27</v>
      </c>
      <c r="P157" s="11" t="s">
        <v>27</v>
      </c>
      <c r="Q157" s="11"/>
      <c r="R157" s="11">
        <v>1</v>
      </c>
      <c r="S157" s="11" t="s">
        <v>28</v>
      </c>
      <c r="T157" s="16" t="s">
        <v>44</v>
      </c>
    </row>
    <row r="158" spans="1:20" x14ac:dyDescent="0.3">
      <c r="A158" s="10">
        <v>45748</v>
      </c>
      <c r="B158" s="11">
        <v>120127</v>
      </c>
      <c r="C158" s="11" t="s">
        <v>44</v>
      </c>
      <c r="D158" s="11" t="s">
        <v>633</v>
      </c>
      <c r="E158" s="11" t="s">
        <v>583</v>
      </c>
      <c r="F158" s="11" t="s">
        <v>30</v>
      </c>
      <c r="G158" s="12">
        <v>1</v>
      </c>
      <c r="H158" s="13">
        <v>356.4</v>
      </c>
      <c r="I158" s="14">
        <f t="shared" ref="I158:I175" si="23">G158*H158</f>
        <v>356.4</v>
      </c>
      <c r="J158" s="15">
        <v>1</v>
      </c>
      <c r="K158" s="15">
        <f t="shared" si="21"/>
        <v>0.25</v>
      </c>
      <c r="L158" s="14" t="s">
        <v>46</v>
      </c>
      <c r="M158" s="14">
        <f t="shared" si="22"/>
        <v>356.4</v>
      </c>
      <c r="N158" s="14">
        <f t="shared" si="20"/>
        <v>89.1</v>
      </c>
      <c r="O158" s="11" t="s">
        <v>27</v>
      </c>
      <c r="P158" s="11" t="s">
        <v>27</v>
      </c>
      <c r="Q158" s="11"/>
      <c r="R158" s="11">
        <v>1</v>
      </c>
      <c r="S158" s="11" t="s">
        <v>28</v>
      </c>
      <c r="T158" s="16" t="s">
        <v>44</v>
      </c>
    </row>
    <row r="159" spans="1:20" x14ac:dyDescent="0.3">
      <c r="A159" s="10">
        <v>45748</v>
      </c>
      <c r="B159" s="11">
        <v>120127</v>
      </c>
      <c r="C159" s="11" t="s">
        <v>44</v>
      </c>
      <c r="D159" s="11" t="s">
        <v>633</v>
      </c>
      <c r="E159" s="11" t="s">
        <v>48</v>
      </c>
      <c r="F159" s="11" t="s">
        <v>30</v>
      </c>
      <c r="G159" s="12">
        <v>1</v>
      </c>
      <c r="H159" s="13">
        <v>356.4</v>
      </c>
      <c r="I159" s="14">
        <f t="shared" si="23"/>
        <v>356.4</v>
      </c>
      <c r="J159" s="15">
        <v>1</v>
      </c>
      <c r="K159" s="15">
        <f t="shared" si="21"/>
        <v>0.25</v>
      </c>
      <c r="L159" s="14" t="s">
        <v>46</v>
      </c>
      <c r="M159" s="14">
        <f t="shared" si="22"/>
        <v>356.4</v>
      </c>
      <c r="N159" s="14">
        <f t="shared" si="20"/>
        <v>89.1</v>
      </c>
      <c r="O159" s="11" t="s">
        <v>27</v>
      </c>
      <c r="P159" s="11" t="s">
        <v>27</v>
      </c>
      <c r="Q159" s="11"/>
      <c r="R159" s="11">
        <v>1</v>
      </c>
      <c r="S159" s="11" t="s">
        <v>28</v>
      </c>
      <c r="T159" s="16" t="s">
        <v>44</v>
      </c>
    </row>
    <row r="160" spans="1:20" x14ac:dyDescent="0.3">
      <c r="A160" s="10">
        <v>45748</v>
      </c>
      <c r="B160" s="11">
        <v>120127</v>
      </c>
      <c r="C160" s="11" t="s">
        <v>44</v>
      </c>
      <c r="D160" s="11" t="s">
        <v>633</v>
      </c>
      <c r="E160" s="11" t="s">
        <v>63</v>
      </c>
      <c r="F160" s="11" t="s">
        <v>30</v>
      </c>
      <c r="G160" s="12">
        <v>15</v>
      </c>
      <c r="H160" s="13">
        <v>95</v>
      </c>
      <c r="I160" s="14">
        <f t="shared" si="23"/>
        <v>1425</v>
      </c>
      <c r="J160" s="15">
        <v>1</v>
      </c>
      <c r="K160" s="15">
        <f t="shared" si="21"/>
        <v>0.25</v>
      </c>
      <c r="L160" s="14" t="s">
        <v>46</v>
      </c>
      <c r="M160" s="14">
        <f t="shared" si="22"/>
        <v>1425</v>
      </c>
      <c r="N160" s="14">
        <f t="shared" si="20"/>
        <v>356.25</v>
      </c>
      <c r="O160" s="11" t="s">
        <v>27</v>
      </c>
      <c r="P160" s="11" t="s">
        <v>27</v>
      </c>
      <c r="Q160" s="11"/>
      <c r="R160" s="11">
        <v>1</v>
      </c>
      <c r="S160" s="11" t="s">
        <v>28</v>
      </c>
      <c r="T160" s="16" t="s">
        <v>44</v>
      </c>
    </row>
    <row r="161" spans="1:20" x14ac:dyDescent="0.3">
      <c r="A161" s="10">
        <v>45748</v>
      </c>
      <c r="B161" s="11">
        <v>120128</v>
      </c>
      <c r="C161" s="11" t="s">
        <v>44</v>
      </c>
      <c r="D161" s="11" t="s">
        <v>633</v>
      </c>
      <c r="E161" s="11" t="s">
        <v>102</v>
      </c>
      <c r="F161" s="11" t="s">
        <v>30</v>
      </c>
      <c r="G161" s="12">
        <v>1</v>
      </c>
      <c r="H161" s="13">
        <v>2396.36</v>
      </c>
      <c r="I161" s="14">
        <f t="shared" si="23"/>
        <v>2396.36</v>
      </c>
      <c r="J161" s="15">
        <v>1</v>
      </c>
      <c r="K161" s="15">
        <f t="shared" si="21"/>
        <v>0.25</v>
      </c>
      <c r="L161" s="14" t="s">
        <v>46</v>
      </c>
      <c r="M161" s="14">
        <f t="shared" si="22"/>
        <v>2396.36</v>
      </c>
      <c r="N161" s="14">
        <f t="shared" si="20"/>
        <v>599.09</v>
      </c>
      <c r="O161" s="11" t="s">
        <v>27</v>
      </c>
      <c r="P161" s="11" t="s">
        <v>27</v>
      </c>
      <c r="Q161" s="11"/>
      <c r="R161" s="11">
        <v>1</v>
      </c>
      <c r="S161" s="11" t="s">
        <v>28</v>
      </c>
      <c r="T161" s="16" t="s">
        <v>44</v>
      </c>
    </row>
    <row r="162" spans="1:20" x14ac:dyDescent="0.3">
      <c r="A162" s="10">
        <v>45748</v>
      </c>
      <c r="B162" s="11">
        <v>120128</v>
      </c>
      <c r="C162" s="11" t="s">
        <v>44</v>
      </c>
      <c r="D162" s="11" t="s">
        <v>633</v>
      </c>
      <c r="E162" s="11" t="s">
        <v>102</v>
      </c>
      <c r="F162" s="11" t="s">
        <v>30</v>
      </c>
      <c r="G162" s="12">
        <v>25</v>
      </c>
      <c r="H162" s="13">
        <v>84</v>
      </c>
      <c r="I162" s="14">
        <f t="shared" si="23"/>
        <v>2100</v>
      </c>
      <c r="J162" s="15">
        <v>1</v>
      </c>
      <c r="K162" s="15">
        <f t="shared" si="21"/>
        <v>0.25</v>
      </c>
      <c r="L162" s="14" t="s">
        <v>46</v>
      </c>
      <c r="M162" s="14">
        <f t="shared" ref="M162:M193" si="24">J162*I162</f>
        <v>2100</v>
      </c>
      <c r="N162" s="14">
        <f t="shared" si="20"/>
        <v>525</v>
      </c>
      <c r="O162" s="11" t="s">
        <v>27</v>
      </c>
      <c r="P162" s="11" t="s">
        <v>27</v>
      </c>
      <c r="Q162" s="11"/>
      <c r="R162" s="11">
        <v>1</v>
      </c>
      <c r="S162" s="11" t="s">
        <v>28</v>
      </c>
      <c r="T162" s="16" t="s">
        <v>44</v>
      </c>
    </row>
    <row r="163" spans="1:20" x14ac:dyDescent="0.3">
      <c r="A163" s="10">
        <v>45749</v>
      </c>
      <c r="B163" s="11">
        <v>121598</v>
      </c>
      <c r="C163" s="11" t="s">
        <v>22</v>
      </c>
      <c r="D163" s="11" t="s">
        <v>634</v>
      </c>
      <c r="E163" s="11" t="s">
        <v>63</v>
      </c>
      <c r="F163" s="11" t="s">
        <v>30</v>
      </c>
      <c r="G163" s="12">
        <v>3</v>
      </c>
      <c r="H163" s="13">
        <v>82</v>
      </c>
      <c r="I163" s="14">
        <f t="shared" si="23"/>
        <v>246</v>
      </c>
      <c r="J163" s="15">
        <v>1</v>
      </c>
      <c r="K163" s="15">
        <v>0</v>
      </c>
      <c r="L163" s="14" t="s">
        <v>26</v>
      </c>
      <c r="M163" s="14">
        <f t="shared" si="24"/>
        <v>246</v>
      </c>
      <c r="N163" s="14">
        <f t="shared" si="20"/>
        <v>0</v>
      </c>
      <c r="O163" s="11" t="s">
        <v>597</v>
      </c>
      <c r="P163" s="11" t="s">
        <v>597</v>
      </c>
      <c r="Q163" s="11"/>
      <c r="R163" s="11">
        <v>1</v>
      </c>
      <c r="S163" s="11" t="s">
        <v>597</v>
      </c>
      <c r="T163" s="16" t="s">
        <v>22</v>
      </c>
    </row>
    <row r="164" spans="1:20" x14ac:dyDescent="0.3">
      <c r="A164" s="10">
        <v>45749</v>
      </c>
      <c r="B164" s="11">
        <v>121598</v>
      </c>
      <c r="C164" s="11" t="s">
        <v>22</v>
      </c>
      <c r="D164" s="11" t="s">
        <v>634</v>
      </c>
      <c r="E164" s="11" t="s">
        <v>71</v>
      </c>
      <c r="F164" s="11" t="s">
        <v>30</v>
      </c>
      <c r="G164" s="12">
        <v>2</v>
      </c>
      <c r="H164" s="13">
        <v>41</v>
      </c>
      <c r="I164" s="14">
        <f t="shared" si="23"/>
        <v>82</v>
      </c>
      <c r="J164" s="15">
        <v>1</v>
      </c>
      <c r="K164" s="15">
        <v>0</v>
      </c>
      <c r="L164" s="14" t="s">
        <v>26</v>
      </c>
      <c r="M164" s="14">
        <f t="shared" si="24"/>
        <v>82</v>
      </c>
      <c r="N164" s="14">
        <f t="shared" si="20"/>
        <v>0</v>
      </c>
      <c r="O164" s="11" t="s">
        <v>597</v>
      </c>
      <c r="P164" s="11" t="s">
        <v>597</v>
      </c>
      <c r="Q164" s="11"/>
      <c r="R164" s="11">
        <v>1</v>
      </c>
      <c r="S164" s="11" t="s">
        <v>597</v>
      </c>
      <c r="T164" s="16" t="s">
        <v>22</v>
      </c>
    </row>
    <row r="165" spans="1:20" x14ac:dyDescent="0.3">
      <c r="A165" s="10">
        <v>45749</v>
      </c>
      <c r="B165" s="11">
        <v>121598</v>
      </c>
      <c r="C165" s="11" t="s">
        <v>44</v>
      </c>
      <c r="D165" s="11" t="s">
        <v>622</v>
      </c>
      <c r="E165" s="11" t="s">
        <v>24</v>
      </c>
      <c r="F165" s="11" t="s">
        <v>554</v>
      </c>
      <c r="G165" s="12">
        <v>122.6</v>
      </c>
      <c r="H165" s="13">
        <v>190.8</v>
      </c>
      <c r="I165" s="14">
        <f t="shared" si="23"/>
        <v>23392.080000000002</v>
      </c>
      <c r="J165" s="15">
        <v>7.0000000000000007E-2</v>
      </c>
      <c r="K165" s="15">
        <f>J165*0.25</f>
        <v>1.7500000000000002E-2</v>
      </c>
      <c r="L165" s="14" t="s">
        <v>26</v>
      </c>
      <c r="M165" s="14">
        <f t="shared" si="24"/>
        <v>1637.4456000000002</v>
      </c>
      <c r="N165" s="14">
        <f t="shared" si="20"/>
        <v>409.36140000000006</v>
      </c>
      <c r="O165" s="11" t="s">
        <v>597</v>
      </c>
      <c r="P165" s="11" t="s">
        <v>597</v>
      </c>
      <c r="Q165" s="11"/>
      <c r="R165" s="11">
        <v>8</v>
      </c>
      <c r="S165" s="11" t="s">
        <v>597</v>
      </c>
      <c r="T165" s="16" t="s">
        <v>44</v>
      </c>
    </row>
    <row r="166" spans="1:20" x14ac:dyDescent="0.3">
      <c r="A166" s="10">
        <v>45749</v>
      </c>
      <c r="B166" s="11">
        <v>121598</v>
      </c>
      <c r="C166" s="11" t="s">
        <v>44</v>
      </c>
      <c r="D166" s="11" t="s">
        <v>592</v>
      </c>
      <c r="E166" s="11" t="s">
        <v>584</v>
      </c>
      <c r="F166" s="11" t="s">
        <v>30</v>
      </c>
      <c r="G166" s="12">
        <v>1</v>
      </c>
      <c r="H166" s="13">
        <v>300</v>
      </c>
      <c r="I166" s="14">
        <f t="shared" si="23"/>
        <v>300</v>
      </c>
      <c r="J166" s="15">
        <v>1</v>
      </c>
      <c r="K166" s="15">
        <f>J166*0.25</f>
        <v>0.25</v>
      </c>
      <c r="L166" s="14" t="s">
        <v>26</v>
      </c>
      <c r="M166" s="14">
        <f t="shared" si="24"/>
        <v>300</v>
      </c>
      <c r="N166" s="14">
        <f t="shared" si="20"/>
        <v>75</v>
      </c>
      <c r="O166" s="11" t="s">
        <v>27</v>
      </c>
      <c r="P166" s="11" t="s">
        <v>27</v>
      </c>
      <c r="Q166" s="11"/>
      <c r="R166" s="11">
        <v>1</v>
      </c>
      <c r="S166" s="11" t="s">
        <v>27</v>
      </c>
      <c r="T166" s="16" t="s">
        <v>44</v>
      </c>
    </row>
    <row r="167" spans="1:20" x14ac:dyDescent="0.3">
      <c r="A167" s="10">
        <v>45749</v>
      </c>
      <c r="B167" s="11">
        <v>110804</v>
      </c>
      <c r="C167" s="11" t="s">
        <v>31</v>
      </c>
      <c r="D167" s="11" t="s">
        <v>614</v>
      </c>
      <c r="E167" s="11" t="s">
        <v>24</v>
      </c>
      <c r="F167" s="11" t="s">
        <v>554</v>
      </c>
      <c r="G167" s="12">
        <v>13</v>
      </c>
      <c r="H167" s="13">
        <v>210</v>
      </c>
      <c r="I167" s="14">
        <f t="shared" si="23"/>
        <v>2730</v>
      </c>
      <c r="J167" s="15">
        <v>7.0000000000000007E-2</v>
      </c>
      <c r="K167" s="15">
        <f>J167*0.25</f>
        <v>1.7500000000000002E-2</v>
      </c>
      <c r="L167" s="14" t="s">
        <v>26</v>
      </c>
      <c r="M167" s="14">
        <f t="shared" si="24"/>
        <v>191.10000000000002</v>
      </c>
      <c r="N167" s="14">
        <f t="shared" si="20"/>
        <v>47.775000000000006</v>
      </c>
      <c r="O167" s="11" t="s">
        <v>597</v>
      </c>
      <c r="P167" s="11" t="s">
        <v>597</v>
      </c>
      <c r="Q167" s="11"/>
      <c r="R167" s="11">
        <v>6</v>
      </c>
      <c r="S167" s="11" t="s">
        <v>597</v>
      </c>
      <c r="T167" s="16" t="s">
        <v>31</v>
      </c>
    </row>
    <row r="168" spans="1:20" x14ac:dyDescent="0.3">
      <c r="A168" s="10">
        <v>45749</v>
      </c>
      <c r="B168" s="11">
        <v>106541</v>
      </c>
      <c r="C168" s="11" t="s">
        <v>22</v>
      </c>
      <c r="D168" s="11" t="s">
        <v>65</v>
      </c>
      <c r="E168" s="11" t="s">
        <v>24</v>
      </c>
      <c r="F168" s="11" t="s">
        <v>554</v>
      </c>
      <c r="G168" s="12">
        <v>7</v>
      </c>
      <c r="H168" s="13">
        <v>140</v>
      </c>
      <c r="I168" s="14">
        <f t="shared" si="23"/>
        <v>980</v>
      </c>
      <c r="J168" s="15">
        <v>3.5000000000000003E-2</v>
      </c>
      <c r="K168" s="15">
        <v>0</v>
      </c>
      <c r="L168" s="14" t="s">
        <v>26</v>
      </c>
      <c r="M168" s="14">
        <f t="shared" si="24"/>
        <v>34.300000000000004</v>
      </c>
      <c r="N168" s="14">
        <f t="shared" si="20"/>
        <v>0</v>
      </c>
      <c r="O168" s="11" t="s">
        <v>597</v>
      </c>
      <c r="P168" s="11" t="s">
        <v>597</v>
      </c>
      <c r="Q168" s="11"/>
      <c r="R168" s="11">
        <v>1</v>
      </c>
      <c r="S168" s="11" t="s">
        <v>597</v>
      </c>
      <c r="T168" s="16" t="s">
        <v>22</v>
      </c>
    </row>
    <row r="169" spans="1:20" x14ac:dyDescent="0.3">
      <c r="A169" s="10">
        <v>45751</v>
      </c>
      <c r="B169" s="11">
        <v>119821</v>
      </c>
      <c r="C169" s="11" t="s">
        <v>31</v>
      </c>
      <c r="D169" s="11" t="s">
        <v>80</v>
      </c>
      <c r="E169" s="11" t="s">
        <v>24</v>
      </c>
      <c r="F169" s="11" t="s">
        <v>554</v>
      </c>
      <c r="G169" s="12">
        <v>10</v>
      </c>
      <c r="H169" s="13">
        <v>210</v>
      </c>
      <c r="I169" s="14">
        <f t="shared" si="23"/>
        <v>2100</v>
      </c>
      <c r="J169" s="15">
        <v>7.0000000000000007E-2</v>
      </c>
      <c r="K169" s="15">
        <f t="shared" ref="K169:K180" si="25">J169*0.25</f>
        <v>1.7500000000000002E-2</v>
      </c>
      <c r="L169" s="14" t="s">
        <v>26</v>
      </c>
      <c r="M169" s="14">
        <f t="shared" si="24"/>
        <v>147</v>
      </c>
      <c r="N169" s="14">
        <f t="shared" si="20"/>
        <v>36.75</v>
      </c>
      <c r="O169" s="11" t="s">
        <v>597</v>
      </c>
      <c r="P169" s="11" t="s">
        <v>597</v>
      </c>
      <c r="Q169" s="11"/>
      <c r="R169" s="11">
        <v>6</v>
      </c>
      <c r="S169" s="11" t="s">
        <v>597</v>
      </c>
      <c r="T169" s="16" t="s">
        <v>31</v>
      </c>
    </row>
    <row r="170" spans="1:20" x14ac:dyDescent="0.3">
      <c r="A170" s="10">
        <v>45751</v>
      </c>
      <c r="B170" s="11">
        <v>121699</v>
      </c>
      <c r="C170" s="11" t="s">
        <v>31</v>
      </c>
      <c r="D170" s="11" t="s">
        <v>635</v>
      </c>
      <c r="E170" s="11" t="s">
        <v>63</v>
      </c>
      <c r="F170" s="11" t="s">
        <v>30</v>
      </c>
      <c r="G170" s="12">
        <v>1</v>
      </c>
      <c r="H170" s="13">
        <v>45</v>
      </c>
      <c r="I170" s="14">
        <f t="shared" si="23"/>
        <v>45</v>
      </c>
      <c r="J170" s="15">
        <v>1</v>
      </c>
      <c r="K170" s="15">
        <f t="shared" si="25"/>
        <v>0.25</v>
      </c>
      <c r="L170" s="14" t="s">
        <v>26</v>
      </c>
      <c r="M170" s="14">
        <f t="shared" si="24"/>
        <v>45</v>
      </c>
      <c r="N170" s="14">
        <f t="shared" si="20"/>
        <v>11.25</v>
      </c>
      <c r="O170" s="11" t="s">
        <v>597</v>
      </c>
      <c r="P170" s="11" t="s">
        <v>597</v>
      </c>
      <c r="Q170" s="11"/>
      <c r="R170" s="11">
        <v>1</v>
      </c>
      <c r="S170" s="11" t="s">
        <v>597</v>
      </c>
      <c r="T170" s="16" t="s">
        <v>31</v>
      </c>
    </row>
    <row r="171" spans="1:20" x14ac:dyDescent="0.3">
      <c r="A171" s="10">
        <v>45751</v>
      </c>
      <c r="B171" s="11">
        <v>121699</v>
      </c>
      <c r="C171" s="11" t="s">
        <v>31</v>
      </c>
      <c r="D171" s="11" t="s">
        <v>635</v>
      </c>
      <c r="E171" s="11" t="s">
        <v>54</v>
      </c>
      <c r="F171" s="11" t="s">
        <v>30</v>
      </c>
      <c r="G171" s="12">
        <v>1</v>
      </c>
      <c r="H171" s="13">
        <v>148</v>
      </c>
      <c r="I171" s="14">
        <f t="shared" si="23"/>
        <v>148</v>
      </c>
      <c r="J171" s="15">
        <v>1</v>
      </c>
      <c r="K171" s="15">
        <f t="shared" si="25"/>
        <v>0.25</v>
      </c>
      <c r="L171" s="14" t="s">
        <v>26</v>
      </c>
      <c r="M171" s="14">
        <f t="shared" si="24"/>
        <v>148</v>
      </c>
      <c r="N171" s="14">
        <f t="shared" si="20"/>
        <v>37</v>
      </c>
      <c r="O171" s="11" t="s">
        <v>597</v>
      </c>
      <c r="P171" s="11" t="s">
        <v>597</v>
      </c>
      <c r="Q171" s="11"/>
      <c r="R171" s="11">
        <v>1</v>
      </c>
      <c r="S171" s="11" t="s">
        <v>597</v>
      </c>
      <c r="T171" s="16" t="s">
        <v>31</v>
      </c>
    </row>
    <row r="172" spans="1:20" x14ac:dyDescent="0.3">
      <c r="A172" s="10">
        <v>45751</v>
      </c>
      <c r="B172" s="11">
        <v>121617</v>
      </c>
      <c r="C172" s="11" t="s">
        <v>31</v>
      </c>
      <c r="D172" s="11" t="s">
        <v>621</v>
      </c>
      <c r="E172" s="11" t="s">
        <v>24</v>
      </c>
      <c r="F172" s="11" t="s">
        <v>554</v>
      </c>
      <c r="G172" s="12">
        <v>4</v>
      </c>
      <c r="H172" s="13">
        <v>180</v>
      </c>
      <c r="I172" s="14">
        <f t="shared" si="23"/>
        <v>720</v>
      </c>
      <c r="J172" s="15">
        <v>7.0000000000000007E-2</v>
      </c>
      <c r="K172" s="15">
        <f t="shared" si="25"/>
        <v>1.7500000000000002E-2</v>
      </c>
      <c r="L172" s="14" t="s">
        <v>26</v>
      </c>
      <c r="M172" s="14">
        <f t="shared" si="24"/>
        <v>50.400000000000006</v>
      </c>
      <c r="N172" s="14">
        <f t="shared" si="20"/>
        <v>12.600000000000001</v>
      </c>
      <c r="O172" s="11" t="s">
        <v>597</v>
      </c>
      <c r="P172" s="11" t="s">
        <v>597</v>
      </c>
      <c r="Q172" s="11"/>
      <c r="R172" s="11">
        <v>1</v>
      </c>
      <c r="S172" s="11" t="s">
        <v>597</v>
      </c>
      <c r="T172" s="16" t="s">
        <v>31</v>
      </c>
    </row>
    <row r="173" spans="1:20" x14ac:dyDescent="0.3">
      <c r="A173" s="10">
        <v>45770</v>
      </c>
      <c r="B173" s="11">
        <v>122062</v>
      </c>
      <c r="C173" s="11" t="s">
        <v>44</v>
      </c>
      <c r="D173" s="11" t="s">
        <v>636</v>
      </c>
      <c r="E173" s="11" t="s">
        <v>63</v>
      </c>
      <c r="F173" s="11" t="s">
        <v>554</v>
      </c>
      <c r="G173" s="12">
        <v>60</v>
      </c>
      <c r="H173" s="13">
        <v>212</v>
      </c>
      <c r="I173" s="14">
        <f t="shared" si="23"/>
        <v>12720</v>
      </c>
      <c r="J173" s="15">
        <v>7.0000000000000007E-2</v>
      </c>
      <c r="K173" s="15">
        <f t="shared" si="25"/>
        <v>1.7500000000000002E-2</v>
      </c>
      <c r="L173" s="14" t="s">
        <v>46</v>
      </c>
      <c r="M173" s="14">
        <f t="shared" si="24"/>
        <v>890.40000000000009</v>
      </c>
      <c r="N173" s="14">
        <f t="shared" si="20"/>
        <v>222.60000000000002</v>
      </c>
      <c r="O173" s="11" t="s">
        <v>27</v>
      </c>
      <c r="P173" s="11" t="s">
        <v>27</v>
      </c>
      <c r="Q173" s="11"/>
      <c r="R173" s="11">
        <v>10</v>
      </c>
      <c r="S173" s="11" t="s">
        <v>28</v>
      </c>
      <c r="T173" s="16" t="s">
        <v>44</v>
      </c>
    </row>
    <row r="174" spans="1:20" x14ac:dyDescent="0.3">
      <c r="A174" s="10">
        <v>45770</v>
      </c>
      <c r="B174" s="11">
        <v>122062</v>
      </c>
      <c r="C174" s="11" t="s">
        <v>44</v>
      </c>
      <c r="D174" s="11" t="s">
        <v>636</v>
      </c>
      <c r="E174" s="11" t="s">
        <v>63</v>
      </c>
      <c r="F174" s="11" t="s">
        <v>30</v>
      </c>
      <c r="G174" s="12">
        <v>18</v>
      </c>
      <c r="H174" s="13">
        <v>98</v>
      </c>
      <c r="I174" s="14">
        <f t="shared" si="23"/>
        <v>1764</v>
      </c>
      <c r="J174" s="15">
        <v>1</v>
      </c>
      <c r="K174" s="15">
        <f t="shared" si="25"/>
        <v>0.25</v>
      </c>
      <c r="L174" s="14" t="s">
        <v>46</v>
      </c>
      <c r="M174" s="14">
        <f t="shared" si="24"/>
        <v>1764</v>
      </c>
      <c r="N174" s="14">
        <f t="shared" si="20"/>
        <v>441</v>
      </c>
      <c r="O174" s="11" t="s">
        <v>27</v>
      </c>
      <c r="P174" s="11" t="s">
        <v>27</v>
      </c>
      <c r="Q174" s="11"/>
      <c r="R174" s="11">
        <v>1</v>
      </c>
      <c r="S174" s="11" t="s">
        <v>28</v>
      </c>
      <c r="T174" s="16" t="s">
        <v>44</v>
      </c>
    </row>
    <row r="175" spans="1:20" x14ac:dyDescent="0.3">
      <c r="A175" s="10">
        <v>45770</v>
      </c>
      <c r="B175" s="11">
        <v>121712</v>
      </c>
      <c r="C175" s="11" t="s">
        <v>31</v>
      </c>
      <c r="D175" s="11" t="s">
        <v>614</v>
      </c>
      <c r="E175" s="11" t="s">
        <v>24</v>
      </c>
      <c r="F175" s="11" t="s">
        <v>554</v>
      </c>
      <c r="G175" s="12">
        <v>9</v>
      </c>
      <c r="H175" s="13">
        <v>210</v>
      </c>
      <c r="I175" s="14">
        <f t="shared" si="23"/>
        <v>1890</v>
      </c>
      <c r="J175" s="15">
        <v>7.0000000000000007E-2</v>
      </c>
      <c r="K175" s="15">
        <f t="shared" si="25"/>
        <v>1.7500000000000002E-2</v>
      </c>
      <c r="L175" s="14" t="s">
        <v>26</v>
      </c>
      <c r="M175" s="14">
        <f t="shared" si="24"/>
        <v>132.30000000000001</v>
      </c>
      <c r="N175" s="14">
        <f t="shared" si="20"/>
        <v>33.075000000000003</v>
      </c>
      <c r="O175" s="11" t="s">
        <v>27</v>
      </c>
      <c r="P175" s="11" t="s">
        <v>27</v>
      </c>
      <c r="Q175" s="11"/>
      <c r="R175" s="11">
        <v>6</v>
      </c>
      <c r="S175" s="11" t="s">
        <v>597</v>
      </c>
      <c r="T175" s="16" t="s">
        <v>31</v>
      </c>
    </row>
    <row r="176" spans="1:20" x14ac:dyDescent="0.3">
      <c r="A176" s="10">
        <v>45770</v>
      </c>
      <c r="B176" s="11">
        <v>122202</v>
      </c>
      <c r="C176" s="11" t="s">
        <v>31</v>
      </c>
      <c r="D176" s="11" t="s">
        <v>637</v>
      </c>
      <c r="E176" s="11" t="s">
        <v>40</v>
      </c>
      <c r="F176" s="11" t="s">
        <v>41</v>
      </c>
      <c r="G176" s="12">
        <v>2</v>
      </c>
      <c r="H176" s="13">
        <f>Vendas2025[[#This Row],[VlrTotal]]/2</f>
        <v>2457.04</v>
      </c>
      <c r="I176" s="14">
        <v>4914.08</v>
      </c>
      <c r="J176" s="15">
        <v>7.0000000000000007E-2</v>
      </c>
      <c r="K176" s="15">
        <f t="shared" si="25"/>
        <v>1.7500000000000002E-2</v>
      </c>
      <c r="L176" s="14" t="s">
        <v>26</v>
      </c>
      <c r="M176" s="14">
        <f t="shared" si="24"/>
        <v>343.98560000000003</v>
      </c>
      <c r="N176" s="14">
        <f t="shared" si="20"/>
        <v>85.996400000000008</v>
      </c>
      <c r="O176" s="11" t="s">
        <v>27</v>
      </c>
      <c r="P176" s="11" t="s">
        <v>27</v>
      </c>
      <c r="Q176" s="11"/>
      <c r="R176" s="11">
        <v>6</v>
      </c>
      <c r="S176" s="11" t="s">
        <v>28</v>
      </c>
      <c r="T176" s="16" t="s">
        <v>31</v>
      </c>
    </row>
    <row r="177" spans="1:20" x14ac:dyDescent="0.3">
      <c r="A177" s="10">
        <v>45770</v>
      </c>
      <c r="B177" s="11">
        <v>122349</v>
      </c>
      <c r="C177" s="11" t="s">
        <v>31</v>
      </c>
      <c r="D177" s="11" t="s">
        <v>638</v>
      </c>
      <c r="E177" s="11" t="s">
        <v>40</v>
      </c>
      <c r="F177" s="11" t="s">
        <v>41</v>
      </c>
      <c r="G177" s="12">
        <v>1</v>
      </c>
      <c r="H177" s="13">
        <v>2996.91</v>
      </c>
      <c r="I177" s="14">
        <f t="shared" ref="I177:I208" si="26">G177*H177</f>
        <v>2996.91</v>
      </c>
      <c r="J177" s="15">
        <v>7.0000000000000007E-2</v>
      </c>
      <c r="K177" s="15">
        <f t="shared" si="25"/>
        <v>1.7500000000000002E-2</v>
      </c>
      <c r="L177" s="14" t="s">
        <v>26</v>
      </c>
      <c r="M177" s="14">
        <f t="shared" si="24"/>
        <v>209.78370000000001</v>
      </c>
      <c r="N177" s="14">
        <f t="shared" si="20"/>
        <v>52.445925000000003</v>
      </c>
      <c r="O177" s="11" t="s">
        <v>27</v>
      </c>
      <c r="P177" s="11" t="s">
        <v>27</v>
      </c>
      <c r="Q177" s="11"/>
      <c r="R177" s="11">
        <v>2</v>
      </c>
      <c r="S177" s="11" t="s">
        <v>28</v>
      </c>
      <c r="T177" s="16" t="s">
        <v>31</v>
      </c>
    </row>
    <row r="178" spans="1:20" x14ac:dyDescent="0.3">
      <c r="A178" s="10">
        <v>45770</v>
      </c>
      <c r="B178" s="11">
        <v>122406</v>
      </c>
      <c r="C178" s="11" t="s">
        <v>31</v>
      </c>
      <c r="D178" s="11" t="s">
        <v>141</v>
      </c>
      <c r="E178" s="11" t="s">
        <v>40</v>
      </c>
      <c r="F178" s="11" t="s">
        <v>41</v>
      </c>
      <c r="G178" s="12">
        <v>1</v>
      </c>
      <c r="H178" s="13">
        <v>1615.63</v>
      </c>
      <c r="I178" s="14">
        <f t="shared" si="26"/>
        <v>1615.63</v>
      </c>
      <c r="J178" s="15">
        <v>6.6900000000000001E-2</v>
      </c>
      <c r="K178" s="15">
        <f t="shared" si="25"/>
        <v>1.6725E-2</v>
      </c>
      <c r="L178" s="14" t="s">
        <v>26</v>
      </c>
      <c r="M178" s="14">
        <f t="shared" si="24"/>
        <v>108.08564700000001</v>
      </c>
      <c r="N178" s="14">
        <f t="shared" si="20"/>
        <v>27.021411750000002</v>
      </c>
      <c r="O178" s="11" t="s">
        <v>27</v>
      </c>
      <c r="P178" s="11" t="s">
        <v>27</v>
      </c>
      <c r="Q178" s="11"/>
      <c r="R178" s="11">
        <v>6</v>
      </c>
      <c r="S178" s="11" t="s">
        <v>28</v>
      </c>
      <c r="T178" s="16" t="s">
        <v>31</v>
      </c>
    </row>
    <row r="179" spans="1:20" x14ac:dyDescent="0.3">
      <c r="A179" s="10">
        <v>45770</v>
      </c>
      <c r="B179" s="11">
        <v>122023</v>
      </c>
      <c r="C179" s="11" t="s">
        <v>31</v>
      </c>
      <c r="D179" s="11" t="s">
        <v>93</v>
      </c>
      <c r="E179" s="11" t="s">
        <v>40</v>
      </c>
      <c r="F179" s="11" t="s">
        <v>41</v>
      </c>
      <c r="G179" s="12">
        <v>1</v>
      </c>
      <c r="H179" s="13">
        <v>8388.2199999999993</v>
      </c>
      <c r="I179" s="14">
        <f t="shared" si="26"/>
        <v>8388.2199999999993</v>
      </c>
      <c r="J179" s="15">
        <v>7.0000000000000007E-2</v>
      </c>
      <c r="K179" s="15">
        <f t="shared" si="25"/>
        <v>1.7500000000000002E-2</v>
      </c>
      <c r="L179" s="14" t="s">
        <v>26</v>
      </c>
      <c r="M179" s="14">
        <f t="shared" si="24"/>
        <v>587.17539999999997</v>
      </c>
      <c r="N179" s="14">
        <f t="shared" si="20"/>
        <v>146.79384999999999</v>
      </c>
      <c r="O179" s="11" t="s">
        <v>27</v>
      </c>
      <c r="P179" s="11" t="s">
        <v>27</v>
      </c>
      <c r="Q179" s="11"/>
      <c r="R179" s="11">
        <v>6</v>
      </c>
      <c r="S179" s="11" t="s">
        <v>28</v>
      </c>
      <c r="T179" s="16" t="s">
        <v>31</v>
      </c>
    </row>
    <row r="180" spans="1:20" x14ac:dyDescent="0.3">
      <c r="A180" s="10">
        <v>45770</v>
      </c>
      <c r="B180" s="11">
        <v>122320</v>
      </c>
      <c r="C180" s="11" t="s">
        <v>31</v>
      </c>
      <c r="D180" s="11" t="s">
        <v>639</v>
      </c>
      <c r="E180" s="11" t="s">
        <v>24</v>
      </c>
      <c r="F180" s="11" t="s">
        <v>554</v>
      </c>
      <c r="G180" s="12">
        <v>8</v>
      </c>
      <c r="H180" s="13">
        <v>210</v>
      </c>
      <c r="I180" s="14">
        <f t="shared" si="26"/>
        <v>1680</v>
      </c>
      <c r="J180" s="15">
        <v>7.0000000000000007E-2</v>
      </c>
      <c r="K180" s="15">
        <f t="shared" si="25"/>
        <v>1.7500000000000002E-2</v>
      </c>
      <c r="L180" s="14" t="s">
        <v>26</v>
      </c>
      <c r="M180" s="14">
        <f t="shared" si="24"/>
        <v>117.60000000000001</v>
      </c>
      <c r="N180" s="14">
        <f t="shared" si="20"/>
        <v>29.400000000000002</v>
      </c>
      <c r="O180" s="11" t="s">
        <v>597</v>
      </c>
      <c r="P180" s="11" t="s">
        <v>597</v>
      </c>
      <c r="Q180" s="11"/>
      <c r="R180" s="11">
        <v>1</v>
      </c>
      <c r="S180" s="11" t="s">
        <v>597</v>
      </c>
      <c r="T180" s="16" t="s">
        <v>31</v>
      </c>
    </row>
    <row r="181" spans="1:20" x14ac:dyDescent="0.3">
      <c r="A181" s="10">
        <v>45770</v>
      </c>
      <c r="B181" s="11">
        <v>122539</v>
      </c>
      <c r="C181" s="11" t="s">
        <v>22</v>
      </c>
      <c r="D181" s="11" t="s">
        <v>640</v>
      </c>
      <c r="E181" s="11" t="s">
        <v>63</v>
      </c>
      <c r="F181" s="11" t="s">
        <v>30</v>
      </c>
      <c r="G181" s="12">
        <v>10</v>
      </c>
      <c r="H181" s="13">
        <v>88</v>
      </c>
      <c r="I181" s="14">
        <f t="shared" si="26"/>
        <v>880</v>
      </c>
      <c r="J181" s="15">
        <v>1</v>
      </c>
      <c r="K181" s="15">
        <v>0</v>
      </c>
      <c r="L181" s="14" t="s">
        <v>46</v>
      </c>
      <c r="M181" s="14">
        <f t="shared" si="24"/>
        <v>880</v>
      </c>
      <c r="N181" s="14">
        <f t="shared" si="20"/>
        <v>0</v>
      </c>
      <c r="O181" s="11" t="s">
        <v>27</v>
      </c>
      <c r="P181" s="11" t="s">
        <v>27</v>
      </c>
      <c r="Q181" s="11"/>
      <c r="R181" s="11">
        <v>1</v>
      </c>
      <c r="S181" s="11" t="s">
        <v>28</v>
      </c>
      <c r="T181" s="16" t="s">
        <v>22</v>
      </c>
    </row>
    <row r="182" spans="1:20" x14ac:dyDescent="0.3">
      <c r="A182" s="10">
        <v>45770</v>
      </c>
      <c r="B182" s="11">
        <v>122539</v>
      </c>
      <c r="C182" s="11" t="s">
        <v>22</v>
      </c>
      <c r="D182" s="11" t="s">
        <v>640</v>
      </c>
      <c r="E182" s="11" t="s">
        <v>63</v>
      </c>
      <c r="F182" s="11" t="s">
        <v>554</v>
      </c>
      <c r="G182" s="12">
        <v>80</v>
      </c>
      <c r="H182" s="13">
        <v>175</v>
      </c>
      <c r="I182" s="14">
        <f t="shared" si="26"/>
        <v>14000</v>
      </c>
      <c r="J182" s="15">
        <v>7.0000000000000007E-2</v>
      </c>
      <c r="K182" s="15">
        <v>0</v>
      </c>
      <c r="L182" s="14" t="s">
        <v>46</v>
      </c>
      <c r="M182" s="14">
        <f t="shared" si="24"/>
        <v>980.00000000000011</v>
      </c>
      <c r="N182" s="14">
        <f t="shared" ref="N182:N245" si="27">I182*K182</f>
        <v>0</v>
      </c>
      <c r="O182" s="11" t="s">
        <v>27</v>
      </c>
      <c r="P182" s="11" t="s">
        <v>27</v>
      </c>
      <c r="Q182" s="11"/>
      <c r="R182" s="11">
        <v>8</v>
      </c>
      <c r="S182" s="11" t="s">
        <v>28</v>
      </c>
      <c r="T182" s="16" t="s">
        <v>22</v>
      </c>
    </row>
    <row r="183" spans="1:20" x14ac:dyDescent="0.3">
      <c r="A183" s="10">
        <v>45770</v>
      </c>
      <c r="B183" s="11">
        <v>122524</v>
      </c>
      <c r="C183" s="11" t="s">
        <v>22</v>
      </c>
      <c r="D183" s="11" t="s">
        <v>641</v>
      </c>
      <c r="E183" s="11" t="s">
        <v>63</v>
      </c>
      <c r="F183" s="11" t="s">
        <v>30</v>
      </c>
      <c r="G183" s="12">
        <v>10</v>
      </c>
      <c r="H183" s="13">
        <v>88</v>
      </c>
      <c r="I183" s="14">
        <f t="shared" si="26"/>
        <v>880</v>
      </c>
      <c r="J183" s="15">
        <v>1</v>
      </c>
      <c r="K183" s="15">
        <v>0</v>
      </c>
      <c r="L183" s="14" t="s">
        <v>46</v>
      </c>
      <c r="M183" s="14">
        <f t="shared" si="24"/>
        <v>880</v>
      </c>
      <c r="N183" s="14">
        <f t="shared" si="27"/>
        <v>0</v>
      </c>
      <c r="O183" s="11" t="s">
        <v>27</v>
      </c>
      <c r="P183" s="11" t="s">
        <v>27</v>
      </c>
      <c r="Q183" s="11"/>
      <c r="R183" s="11">
        <v>1</v>
      </c>
      <c r="S183" s="11" t="s">
        <v>28</v>
      </c>
      <c r="T183" s="16" t="s">
        <v>22</v>
      </c>
    </row>
    <row r="184" spans="1:20" x14ac:dyDescent="0.3">
      <c r="A184" s="10">
        <v>45770</v>
      </c>
      <c r="B184" s="11">
        <v>122524</v>
      </c>
      <c r="C184" s="11" t="s">
        <v>22</v>
      </c>
      <c r="D184" s="11" t="s">
        <v>641</v>
      </c>
      <c r="E184" s="11" t="s">
        <v>63</v>
      </c>
      <c r="F184" s="11" t="s">
        <v>554</v>
      </c>
      <c r="G184" s="12">
        <v>80</v>
      </c>
      <c r="H184" s="13">
        <v>175</v>
      </c>
      <c r="I184" s="14">
        <f t="shared" si="26"/>
        <v>14000</v>
      </c>
      <c r="J184" s="15">
        <v>7.0000000000000007E-2</v>
      </c>
      <c r="K184" s="15">
        <v>0</v>
      </c>
      <c r="L184" s="14" t="s">
        <v>46</v>
      </c>
      <c r="M184" s="14">
        <f t="shared" si="24"/>
        <v>980.00000000000011</v>
      </c>
      <c r="N184" s="14">
        <f t="shared" si="27"/>
        <v>0</v>
      </c>
      <c r="O184" s="11" t="s">
        <v>27</v>
      </c>
      <c r="P184" s="11" t="s">
        <v>27</v>
      </c>
      <c r="Q184" s="11"/>
      <c r="R184" s="11">
        <v>8</v>
      </c>
      <c r="S184" s="11" t="s">
        <v>28</v>
      </c>
      <c r="T184" s="16" t="s">
        <v>22</v>
      </c>
    </row>
    <row r="185" spans="1:20" x14ac:dyDescent="0.3">
      <c r="A185" s="10">
        <v>45770</v>
      </c>
      <c r="B185" s="11">
        <v>122099</v>
      </c>
      <c r="C185" s="11" t="s">
        <v>22</v>
      </c>
      <c r="D185" s="11" t="s">
        <v>634</v>
      </c>
      <c r="E185" s="11" t="s">
        <v>24</v>
      </c>
      <c r="F185" s="11" t="s">
        <v>554</v>
      </c>
      <c r="G185" s="12">
        <v>17.100000000000001</v>
      </c>
      <c r="H185" s="13">
        <v>180</v>
      </c>
      <c r="I185" s="14">
        <f t="shared" si="26"/>
        <v>3078.0000000000005</v>
      </c>
      <c r="J185" s="15">
        <v>7.0000000000000007E-2</v>
      </c>
      <c r="K185" s="15">
        <v>0</v>
      </c>
      <c r="L185" s="14" t="s">
        <v>46</v>
      </c>
      <c r="M185" s="14">
        <f t="shared" si="24"/>
        <v>215.46000000000006</v>
      </c>
      <c r="N185" s="14">
        <f t="shared" si="27"/>
        <v>0</v>
      </c>
      <c r="O185" s="11" t="s">
        <v>597</v>
      </c>
      <c r="P185" s="11" t="s">
        <v>597</v>
      </c>
      <c r="Q185" s="11"/>
      <c r="R185" s="11">
        <v>6</v>
      </c>
      <c r="S185" s="11" t="s">
        <v>597</v>
      </c>
      <c r="T185" s="16" t="s">
        <v>22</v>
      </c>
    </row>
    <row r="186" spans="1:20" x14ac:dyDescent="0.3">
      <c r="A186" s="10">
        <v>45776</v>
      </c>
      <c r="B186" s="11">
        <v>121617</v>
      </c>
      <c r="C186" s="11" t="s">
        <v>31</v>
      </c>
      <c r="D186" s="11" t="s">
        <v>621</v>
      </c>
      <c r="E186" s="11" t="s">
        <v>24</v>
      </c>
      <c r="F186" s="11" t="s">
        <v>554</v>
      </c>
      <c r="G186" s="12">
        <v>4</v>
      </c>
      <c r="H186" s="13">
        <v>180</v>
      </c>
      <c r="I186" s="14">
        <f t="shared" si="26"/>
        <v>720</v>
      </c>
      <c r="J186" s="15">
        <v>7.0000000000000007E-2</v>
      </c>
      <c r="K186" s="15">
        <f t="shared" ref="K186:K205" si="28">J186*0.25</f>
        <v>1.7500000000000002E-2</v>
      </c>
      <c r="L186" s="14" t="s">
        <v>26</v>
      </c>
      <c r="M186" s="14">
        <f t="shared" si="24"/>
        <v>50.400000000000006</v>
      </c>
      <c r="N186" s="14">
        <f t="shared" si="27"/>
        <v>12.600000000000001</v>
      </c>
      <c r="O186" s="11" t="s">
        <v>597</v>
      </c>
      <c r="P186" s="11" t="s">
        <v>597</v>
      </c>
      <c r="Q186" s="11"/>
      <c r="R186" s="11">
        <v>1</v>
      </c>
      <c r="S186" s="11" t="s">
        <v>597</v>
      </c>
      <c r="T186" s="16" t="s">
        <v>31</v>
      </c>
    </row>
    <row r="187" spans="1:20" x14ac:dyDescent="0.3">
      <c r="A187" s="10">
        <v>45776</v>
      </c>
      <c r="B187" s="11">
        <v>121165</v>
      </c>
      <c r="C187" s="11" t="s">
        <v>31</v>
      </c>
      <c r="D187" s="11" t="s">
        <v>77</v>
      </c>
      <c r="E187" s="11" t="s">
        <v>35</v>
      </c>
      <c r="F187" s="11" t="s">
        <v>35</v>
      </c>
      <c r="G187" s="12">
        <v>2</v>
      </c>
      <c r="H187" s="13">
        <v>176</v>
      </c>
      <c r="I187" s="14">
        <f t="shared" si="26"/>
        <v>352</v>
      </c>
      <c r="J187" s="15">
        <v>0.01</v>
      </c>
      <c r="K187" s="15">
        <f t="shared" si="28"/>
        <v>2.5000000000000001E-3</v>
      </c>
      <c r="L187" s="14" t="s">
        <v>26</v>
      </c>
      <c r="M187" s="14">
        <f t="shared" si="24"/>
        <v>3.52</v>
      </c>
      <c r="N187" s="14">
        <f t="shared" si="27"/>
        <v>0.88</v>
      </c>
      <c r="O187" s="11" t="s">
        <v>597</v>
      </c>
      <c r="P187" s="11" t="s">
        <v>597</v>
      </c>
      <c r="Q187" s="11"/>
      <c r="R187" s="11">
        <v>1</v>
      </c>
      <c r="S187" s="11" t="s">
        <v>597</v>
      </c>
      <c r="T187" s="16" t="s">
        <v>31</v>
      </c>
    </row>
    <row r="188" spans="1:20" x14ac:dyDescent="0.3">
      <c r="A188" s="10">
        <v>45776</v>
      </c>
      <c r="B188" s="11">
        <v>121025</v>
      </c>
      <c r="C188" s="11" t="s">
        <v>31</v>
      </c>
      <c r="D188" s="11" t="s">
        <v>100</v>
      </c>
      <c r="E188" s="11" t="s">
        <v>35</v>
      </c>
      <c r="F188" s="11" t="s">
        <v>35</v>
      </c>
      <c r="G188" s="12">
        <v>2</v>
      </c>
      <c r="H188" s="13">
        <v>176</v>
      </c>
      <c r="I188" s="14">
        <f t="shared" si="26"/>
        <v>352</v>
      </c>
      <c r="J188" s="15">
        <v>0.01</v>
      </c>
      <c r="K188" s="15">
        <f t="shared" si="28"/>
        <v>2.5000000000000001E-3</v>
      </c>
      <c r="L188" s="14" t="s">
        <v>26</v>
      </c>
      <c r="M188" s="14">
        <f t="shared" si="24"/>
        <v>3.52</v>
      </c>
      <c r="N188" s="14">
        <f t="shared" si="27"/>
        <v>0.88</v>
      </c>
      <c r="O188" s="11" t="s">
        <v>597</v>
      </c>
      <c r="P188" s="11" t="s">
        <v>597</v>
      </c>
      <c r="Q188" s="11"/>
      <c r="R188" s="11">
        <v>1</v>
      </c>
      <c r="S188" s="11" t="s">
        <v>597</v>
      </c>
      <c r="T188" s="16" t="s">
        <v>31</v>
      </c>
    </row>
    <row r="189" spans="1:20" x14ac:dyDescent="0.3">
      <c r="A189" s="10">
        <v>45776</v>
      </c>
      <c r="B189" s="11">
        <v>106285</v>
      </c>
      <c r="C189" s="11" t="s">
        <v>31</v>
      </c>
      <c r="D189" s="11" t="s">
        <v>79</v>
      </c>
      <c r="E189" s="11" t="s">
        <v>35</v>
      </c>
      <c r="F189" s="11" t="s">
        <v>35</v>
      </c>
      <c r="G189" s="12">
        <v>6</v>
      </c>
      <c r="H189" s="13">
        <v>133.33000000000001</v>
      </c>
      <c r="I189" s="14">
        <f t="shared" si="26"/>
        <v>799.98</v>
      </c>
      <c r="J189" s="15">
        <v>6.7000000000000002E-3</v>
      </c>
      <c r="K189" s="15">
        <f t="shared" si="28"/>
        <v>1.6750000000000001E-3</v>
      </c>
      <c r="L189" s="14" t="s">
        <v>26</v>
      </c>
      <c r="M189" s="14">
        <f t="shared" si="24"/>
        <v>5.3598660000000002</v>
      </c>
      <c r="N189" s="14">
        <f t="shared" si="27"/>
        <v>1.3399665000000001</v>
      </c>
      <c r="O189" s="11" t="s">
        <v>597</v>
      </c>
      <c r="P189" s="11" t="s">
        <v>597</v>
      </c>
      <c r="Q189" s="11"/>
      <c r="R189" s="11">
        <v>1</v>
      </c>
      <c r="S189" s="11" t="s">
        <v>597</v>
      </c>
      <c r="T189" s="16" t="s">
        <v>31</v>
      </c>
    </row>
    <row r="190" spans="1:20" x14ac:dyDescent="0.3">
      <c r="A190" s="18">
        <v>45779</v>
      </c>
      <c r="B190" s="11">
        <v>122706</v>
      </c>
      <c r="C190" s="11" t="s">
        <v>31</v>
      </c>
      <c r="D190" s="11" t="s">
        <v>112</v>
      </c>
      <c r="E190" s="11" t="s">
        <v>40</v>
      </c>
      <c r="F190" s="11" t="s">
        <v>41</v>
      </c>
      <c r="G190" s="12">
        <v>1</v>
      </c>
      <c r="H190" s="13">
        <v>4000</v>
      </c>
      <c r="I190" s="14">
        <f t="shared" si="26"/>
        <v>4000</v>
      </c>
      <c r="J190" s="15">
        <v>7.0000000000000007E-2</v>
      </c>
      <c r="K190" s="15">
        <f t="shared" si="28"/>
        <v>1.7500000000000002E-2</v>
      </c>
      <c r="L190" s="14" t="s">
        <v>26</v>
      </c>
      <c r="M190" s="14">
        <f t="shared" si="24"/>
        <v>280</v>
      </c>
      <c r="N190" s="14">
        <f t="shared" si="27"/>
        <v>70</v>
      </c>
      <c r="O190" s="11" t="s">
        <v>27</v>
      </c>
      <c r="P190" s="11" t="s">
        <v>27</v>
      </c>
      <c r="Q190" s="11"/>
      <c r="R190" s="11">
        <v>6</v>
      </c>
      <c r="S190" s="11" t="s">
        <v>28</v>
      </c>
      <c r="T190" s="16" t="s">
        <v>31</v>
      </c>
    </row>
    <row r="191" spans="1:20" x14ac:dyDescent="0.3">
      <c r="A191" s="10">
        <v>45779</v>
      </c>
      <c r="B191" s="11">
        <v>122821</v>
      </c>
      <c r="C191" s="11" t="s">
        <v>44</v>
      </c>
      <c r="D191" s="11" t="s">
        <v>642</v>
      </c>
      <c r="E191" s="11" t="s">
        <v>63</v>
      </c>
      <c r="F191" s="11" t="s">
        <v>554</v>
      </c>
      <c r="G191" s="12">
        <v>80</v>
      </c>
      <c r="H191" s="13">
        <v>212</v>
      </c>
      <c r="I191" s="14">
        <f t="shared" si="26"/>
        <v>16960</v>
      </c>
      <c r="J191" s="15">
        <v>7.0000000000000007E-2</v>
      </c>
      <c r="K191" s="15">
        <f t="shared" si="28"/>
        <v>1.7500000000000002E-2</v>
      </c>
      <c r="L191" s="14" t="s">
        <v>46</v>
      </c>
      <c r="M191" s="14">
        <f t="shared" si="24"/>
        <v>1187.2</v>
      </c>
      <c r="N191" s="14">
        <f t="shared" si="27"/>
        <v>296.8</v>
      </c>
      <c r="O191" s="11" t="s">
        <v>27</v>
      </c>
      <c r="P191" s="11" t="s">
        <v>27</v>
      </c>
      <c r="Q191" s="11"/>
      <c r="R191" s="11">
        <v>4</v>
      </c>
      <c r="S191" s="11" t="s">
        <v>28</v>
      </c>
      <c r="T191" s="16" t="s">
        <v>44</v>
      </c>
    </row>
    <row r="192" spans="1:20" x14ac:dyDescent="0.3">
      <c r="A192" s="10">
        <v>45779</v>
      </c>
      <c r="B192" s="11">
        <v>122821</v>
      </c>
      <c r="C192" s="11" t="s">
        <v>44</v>
      </c>
      <c r="D192" s="11" t="s">
        <v>642</v>
      </c>
      <c r="E192" s="11" t="s">
        <v>63</v>
      </c>
      <c r="F192" s="11" t="s">
        <v>30</v>
      </c>
      <c r="G192" s="12">
        <v>115</v>
      </c>
      <c r="H192" s="13">
        <v>94</v>
      </c>
      <c r="I192" s="14">
        <f t="shared" si="26"/>
        <v>10810</v>
      </c>
      <c r="J192" s="15">
        <v>1</v>
      </c>
      <c r="K192" s="15">
        <f t="shared" si="28"/>
        <v>0.25</v>
      </c>
      <c r="L192" s="14" t="s">
        <v>46</v>
      </c>
      <c r="M192" s="14">
        <f t="shared" si="24"/>
        <v>10810</v>
      </c>
      <c r="N192" s="14">
        <f t="shared" si="27"/>
        <v>2702.5</v>
      </c>
      <c r="O192" s="11" t="s">
        <v>27</v>
      </c>
      <c r="P192" s="11" t="s">
        <v>27</v>
      </c>
      <c r="Q192" s="11"/>
      <c r="R192" s="11">
        <v>1</v>
      </c>
      <c r="S192" s="11" t="s">
        <v>28</v>
      </c>
      <c r="T192" s="16" t="s">
        <v>44</v>
      </c>
    </row>
    <row r="193" spans="1:20" x14ac:dyDescent="0.3">
      <c r="A193" s="10">
        <v>45779</v>
      </c>
      <c r="B193" s="11">
        <v>118313</v>
      </c>
      <c r="C193" s="11" t="s">
        <v>44</v>
      </c>
      <c r="D193" s="11" t="s">
        <v>643</v>
      </c>
      <c r="E193" s="11" t="s">
        <v>63</v>
      </c>
      <c r="F193" s="11" t="s">
        <v>554</v>
      </c>
      <c r="G193" s="12">
        <v>80</v>
      </c>
      <c r="H193" s="13">
        <v>173.84</v>
      </c>
      <c r="I193" s="14">
        <f t="shared" si="26"/>
        <v>13907.2</v>
      </c>
      <c r="J193" s="15">
        <v>7.0000000000000007E-2</v>
      </c>
      <c r="K193" s="15">
        <f t="shared" si="28"/>
        <v>1.7500000000000002E-2</v>
      </c>
      <c r="L193" s="14" t="s">
        <v>46</v>
      </c>
      <c r="M193" s="14">
        <f t="shared" si="24"/>
        <v>973.50400000000013</v>
      </c>
      <c r="N193" s="14">
        <f t="shared" si="27"/>
        <v>243.37600000000003</v>
      </c>
      <c r="O193" s="11" t="s">
        <v>27</v>
      </c>
      <c r="P193" s="11" t="s">
        <v>597</v>
      </c>
      <c r="Q193" s="11"/>
      <c r="R193" s="11">
        <v>6</v>
      </c>
      <c r="S193" s="11" t="s">
        <v>28</v>
      </c>
      <c r="T193" s="16" t="s">
        <v>44</v>
      </c>
    </row>
    <row r="194" spans="1:20" x14ac:dyDescent="0.3">
      <c r="A194" s="10">
        <v>45779</v>
      </c>
      <c r="B194" s="11">
        <v>118313</v>
      </c>
      <c r="C194" s="11" t="s">
        <v>44</v>
      </c>
      <c r="D194" s="11" t="s">
        <v>643</v>
      </c>
      <c r="E194" s="11" t="s">
        <v>63</v>
      </c>
      <c r="F194" s="11" t="s">
        <v>30</v>
      </c>
      <c r="G194" s="12">
        <v>88</v>
      </c>
      <c r="H194" s="13">
        <v>98.08</v>
      </c>
      <c r="I194" s="14">
        <f t="shared" si="26"/>
        <v>8631.0399999999991</v>
      </c>
      <c r="J194" s="15">
        <v>1</v>
      </c>
      <c r="K194" s="15">
        <f t="shared" si="28"/>
        <v>0.25</v>
      </c>
      <c r="L194" s="14" t="s">
        <v>46</v>
      </c>
      <c r="M194" s="14">
        <f t="shared" ref="M194:M225" si="29">J194*I194</f>
        <v>8631.0399999999991</v>
      </c>
      <c r="N194" s="14">
        <f t="shared" si="27"/>
        <v>2157.7599999999998</v>
      </c>
      <c r="O194" s="11" t="s">
        <v>27</v>
      </c>
      <c r="P194" s="11" t="s">
        <v>597</v>
      </c>
      <c r="Q194" s="11"/>
      <c r="R194" s="11">
        <v>1</v>
      </c>
      <c r="S194" s="11" t="s">
        <v>28</v>
      </c>
      <c r="T194" s="16" t="s">
        <v>44</v>
      </c>
    </row>
    <row r="195" spans="1:20" x14ac:dyDescent="0.3">
      <c r="A195" s="10">
        <v>45779</v>
      </c>
      <c r="B195" s="11">
        <v>122357</v>
      </c>
      <c r="C195" s="11" t="s">
        <v>44</v>
      </c>
      <c r="D195" s="11" t="s">
        <v>644</v>
      </c>
      <c r="E195" s="11" t="s">
        <v>63</v>
      </c>
      <c r="F195" s="11" t="s">
        <v>554</v>
      </c>
      <c r="G195" s="12">
        <v>80</v>
      </c>
      <c r="H195" s="13">
        <v>190.8</v>
      </c>
      <c r="I195" s="14">
        <f t="shared" si="26"/>
        <v>15264</v>
      </c>
      <c r="J195" s="15">
        <v>7.0000000000000007E-2</v>
      </c>
      <c r="K195" s="15">
        <f t="shared" si="28"/>
        <v>1.7500000000000002E-2</v>
      </c>
      <c r="L195" s="14" t="s">
        <v>46</v>
      </c>
      <c r="M195" s="14">
        <f t="shared" si="29"/>
        <v>1068.48</v>
      </c>
      <c r="N195" s="14">
        <f t="shared" si="27"/>
        <v>267.12</v>
      </c>
      <c r="O195" s="11" t="s">
        <v>27</v>
      </c>
      <c r="P195" s="11" t="s">
        <v>27</v>
      </c>
      <c r="Q195" s="11"/>
      <c r="R195" s="11">
        <v>10</v>
      </c>
      <c r="S195" s="11" t="s">
        <v>28</v>
      </c>
      <c r="T195" s="16" t="s">
        <v>44</v>
      </c>
    </row>
    <row r="196" spans="1:20" x14ac:dyDescent="0.3">
      <c r="A196" s="10">
        <v>45779</v>
      </c>
      <c r="B196" s="11">
        <v>122357</v>
      </c>
      <c r="C196" s="11" t="s">
        <v>44</v>
      </c>
      <c r="D196" s="11" t="s">
        <v>644</v>
      </c>
      <c r="E196" s="11" t="s">
        <v>63</v>
      </c>
      <c r="F196" s="11" t="s">
        <v>30</v>
      </c>
      <c r="G196" s="12">
        <v>100</v>
      </c>
      <c r="H196" s="13">
        <v>82.1</v>
      </c>
      <c r="I196" s="14">
        <f t="shared" si="26"/>
        <v>8210</v>
      </c>
      <c r="J196" s="15">
        <v>1</v>
      </c>
      <c r="K196" s="15">
        <f t="shared" si="28"/>
        <v>0.25</v>
      </c>
      <c r="L196" s="14" t="s">
        <v>46</v>
      </c>
      <c r="M196" s="14">
        <f t="shared" si="29"/>
        <v>8210</v>
      </c>
      <c r="N196" s="14">
        <f t="shared" si="27"/>
        <v>2052.5</v>
      </c>
      <c r="O196" s="11" t="s">
        <v>27</v>
      </c>
      <c r="P196" s="11" t="s">
        <v>27</v>
      </c>
      <c r="Q196" s="11"/>
      <c r="R196" s="11">
        <v>1</v>
      </c>
      <c r="S196" s="11" t="s">
        <v>28</v>
      </c>
      <c r="T196" s="16" t="s">
        <v>44</v>
      </c>
    </row>
    <row r="197" spans="1:20" x14ac:dyDescent="0.3">
      <c r="A197" s="10">
        <v>45779</v>
      </c>
      <c r="B197" s="11">
        <v>119631</v>
      </c>
      <c r="C197" s="11" t="s">
        <v>31</v>
      </c>
      <c r="D197" s="11" t="s">
        <v>620</v>
      </c>
      <c r="E197" s="11" t="s">
        <v>35</v>
      </c>
      <c r="F197" s="11" t="s">
        <v>35</v>
      </c>
      <c r="G197" s="12">
        <v>40</v>
      </c>
      <c r="H197" s="13">
        <v>176</v>
      </c>
      <c r="I197" s="14">
        <f t="shared" si="26"/>
        <v>7040</v>
      </c>
      <c r="J197" s="15">
        <v>0.01</v>
      </c>
      <c r="K197" s="15">
        <f t="shared" si="28"/>
        <v>2.5000000000000001E-3</v>
      </c>
      <c r="L197" s="14" t="s">
        <v>26</v>
      </c>
      <c r="M197" s="14">
        <f t="shared" si="29"/>
        <v>70.400000000000006</v>
      </c>
      <c r="N197" s="14">
        <f t="shared" si="27"/>
        <v>17.600000000000001</v>
      </c>
      <c r="O197" s="11" t="s">
        <v>597</v>
      </c>
      <c r="P197" s="11" t="s">
        <v>597</v>
      </c>
      <c r="Q197" s="11"/>
      <c r="R197" s="11">
        <v>6</v>
      </c>
      <c r="S197" s="11" t="s">
        <v>597</v>
      </c>
      <c r="T197" s="16" t="s">
        <v>31</v>
      </c>
    </row>
    <row r="198" spans="1:20" x14ac:dyDescent="0.3">
      <c r="A198" s="10">
        <v>45779</v>
      </c>
      <c r="B198" s="11">
        <v>122915</v>
      </c>
      <c r="C198" s="11" t="s">
        <v>31</v>
      </c>
      <c r="D198" s="11" t="s">
        <v>645</v>
      </c>
      <c r="E198" s="11" t="s">
        <v>40</v>
      </c>
      <c r="F198" s="11" t="s">
        <v>41</v>
      </c>
      <c r="G198" s="12">
        <v>1</v>
      </c>
      <c r="H198" s="13">
        <v>3613.5</v>
      </c>
      <c r="I198" s="14">
        <f t="shared" si="26"/>
        <v>3613.5</v>
      </c>
      <c r="J198" s="15">
        <v>7.0000000000000007E-2</v>
      </c>
      <c r="K198" s="15">
        <f t="shared" si="28"/>
        <v>1.7500000000000002E-2</v>
      </c>
      <c r="L198" s="14" t="s">
        <v>26</v>
      </c>
      <c r="M198" s="14">
        <f t="shared" si="29"/>
        <v>252.94500000000002</v>
      </c>
      <c r="N198" s="14">
        <f t="shared" si="27"/>
        <v>63.236250000000005</v>
      </c>
      <c r="O198" s="11" t="s">
        <v>27</v>
      </c>
      <c r="P198" s="11" t="s">
        <v>27</v>
      </c>
      <c r="Q198" s="11"/>
      <c r="R198" s="11">
        <v>6</v>
      </c>
      <c r="S198" s="11" t="s">
        <v>28</v>
      </c>
      <c r="T198" s="16" t="s">
        <v>31</v>
      </c>
    </row>
    <row r="199" spans="1:20" x14ac:dyDescent="0.3">
      <c r="A199" s="10">
        <v>45779</v>
      </c>
      <c r="B199" s="11">
        <v>122915</v>
      </c>
      <c r="C199" s="11" t="s">
        <v>31</v>
      </c>
      <c r="D199" s="11" t="s">
        <v>645</v>
      </c>
      <c r="E199" s="11" t="s">
        <v>40</v>
      </c>
      <c r="F199" s="11" t="s">
        <v>554</v>
      </c>
      <c r="G199" s="12">
        <v>16</v>
      </c>
      <c r="H199" s="13">
        <v>189</v>
      </c>
      <c r="I199" s="14">
        <f t="shared" si="26"/>
        <v>3024</v>
      </c>
      <c r="J199" s="15">
        <v>7.0000000000000007E-2</v>
      </c>
      <c r="K199" s="15">
        <f t="shared" si="28"/>
        <v>1.7500000000000002E-2</v>
      </c>
      <c r="L199" s="14" t="s">
        <v>26</v>
      </c>
      <c r="M199" s="14">
        <f t="shared" si="29"/>
        <v>211.68</v>
      </c>
      <c r="N199" s="14">
        <f t="shared" si="27"/>
        <v>52.92</v>
      </c>
      <c r="O199" s="11" t="s">
        <v>27</v>
      </c>
      <c r="P199" s="11" t="s">
        <v>27</v>
      </c>
      <c r="Q199" s="11"/>
      <c r="R199" s="11">
        <v>6</v>
      </c>
      <c r="S199" s="11" t="s">
        <v>28</v>
      </c>
      <c r="T199" s="16" t="s">
        <v>31</v>
      </c>
    </row>
    <row r="200" spans="1:20" x14ac:dyDescent="0.3">
      <c r="A200" s="10">
        <v>45779</v>
      </c>
      <c r="B200" s="11">
        <v>122912</v>
      </c>
      <c r="C200" s="11" t="s">
        <v>31</v>
      </c>
      <c r="D200" s="11" t="s">
        <v>646</v>
      </c>
      <c r="E200" s="11" t="s">
        <v>47</v>
      </c>
      <c r="F200" s="11" t="s">
        <v>554</v>
      </c>
      <c r="G200" s="12">
        <v>16</v>
      </c>
      <c r="H200" s="13">
        <v>210</v>
      </c>
      <c r="I200" s="14">
        <f t="shared" si="26"/>
        <v>3360</v>
      </c>
      <c r="J200" s="15">
        <v>7.0000000000000007E-2</v>
      </c>
      <c r="K200" s="15">
        <f t="shared" si="28"/>
        <v>1.7500000000000002E-2</v>
      </c>
      <c r="L200" s="14" t="s">
        <v>46</v>
      </c>
      <c r="M200" s="14">
        <f t="shared" si="29"/>
        <v>235.20000000000002</v>
      </c>
      <c r="N200" s="14">
        <f t="shared" si="27"/>
        <v>58.800000000000004</v>
      </c>
      <c r="O200" s="11" t="s">
        <v>27</v>
      </c>
      <c r="P200" s="11" t="s">
        <v>27</v>
      </c>
      <c r="Q200" s="11"/>
      <c r="R200" s="11">
        <v>6</v>
      </c>
      <c r="S200" s="11" t="s">
        <v>28</v>
      </c>
      <c r="T200" s="16" t="s">
        <v>31</v>
      </c>
    </row>
    <row r="201" spans="1:20" x14ac:dyDescent="0.3">
      <c r="A201" s="10">
        <v>45779</v>
      </c>
      <c r="B201" s="11">
        <v>122912</v>
      </c>
      <c r="C201" s="11" t="s">
        <v>31</v>
      </c>
      <c r="D201" s="11" t="s">
        <v>646</v>
      </c>
      <c r="E201" s="11" t="s">
        <v>345</v>
      </c>
      <c r="F201" s="11" t="s">
        <v>554</v>
      </c>
      <c r="G201" s="12">
        <v>0</v>
      </c>
      <c r="H201" s="13">
        <v>210</v>
      </c>
      <c r="I201" s="14">
        <f t="shared" si="26"/>
        <v>0</v>
      </c>
      <c r="J201" s="15">
        <v>7.0000000000000007E-2</v>
      </c>
      <c r="K201" s="15">
        <f t="shared" si="28"/>
        <v>1.7500000000000002E-2</v>
      </c>
      <c r="L201" s="14" t="s">
        <v>46</v>
      </c>
      <c r="M201" s="14">
        <f t="shared" si="29"/>
        <v>0</v>
      </c>
      <c r="N201" s="14">
        <f t="shared" si="27"/>
        <v>0</v>
      </c>
      <c r="O201" s="11" t="s">
        <v>27</v>
      </c>
      <c r="P201" s="11" t="s">
        <v>27</v>
      </c>
      <c r="Q201" s="11"/>
      <c r="R201" s="11">
        <v>6</v>
      </c>
      <c r="S201" s="11" t="s">
        <v>28</v>
      </c>
      <c r="T201" s="16" t="s">
        <v>31</v>
      </c>
    </row>
    <row r="202" spans="1:20" x14ac:dyDescent="0.3">
      <c r="A202" s="10">
        <v>45779</v>
      </c>
      <c r="B202" s="11">
        <v>122912</v>
      </c>
      <c r="C202" s="11" t="s">
        <v>31</v>
      </c>
      <c r="D202" s="11" t="s">
        <v>646</v>
      </c>
      <c r="E202" s="11" t="s">
        <v>54</v>
      </c>
      <c r="F202" s="11" t="s">
        <v>554</v>
      </c>
      <c r="G202" s="12">
        <v>0</v>
      </c>
      <c r="H202" s="13">
        <v>210</v>
      </c>
      <c r="I202" s="14">
        <f t="shared" si="26"/>
        <v>0</v>
      </c>
      <c r="J202" s="15">
        <v>7.0000000000000007E-2</v>
      </c>
      <c r="K202" s="15">
        <f t="shared" si="28"/>
        <v>1.7500000000000002E-2</v>
      </c>
      <c r="L202" s="14" t="s">
        <v>46</v>
      </c>
      <c r="M202" s="14">
        <f t="shared" si="29"/>
        <v>0</v>
      </c>
      <c r="N202" s="14">
        <f t="shared" si="27"/>
        <v>0</v>
      </c>
      <c r="O202" s="11" t="s">
        <v>27</v>
      </c>
      <c r="P202" s="11" t="s">
        <v>27</v>
      </c>
      <c r="Q202" s="11"/>
      <c r="R202" s="11">
        <v>6</v>
      </c>
      <c r="S202" s="11" t="s">
        <v>28</v>
      </c>
      <c r="T202" s="16" t="s">
        <v>31</v>
      </c>
    </row>
    <row r="203" spans="1:20" x14ac:dyDescent="0.3">
      <c r="A203" s="10">
        <v>45779</v>
      </c>
      <c r="B203" s="11">
        <v>122912</v>
      </c>
      <c r="C203" s="11" t="s">
        <v>31</v>
      </c>
      <c r="D203" s="11" t="s">
        <v>646</v>
      </c>
      <c r="E203" s="11" t="s">
        <v>47</v>
      </c>
      <c r="F203" s="11" t="s">
        <v>30</v>
      </c>
      <c r="G203" s="12">
        <v>6</v>
      </c>
      <c r="H203" s="13">
        <v>275.62</v>
      </c>
      <c r="I203" s="14">
        <f t="shared" si="26"/>
        <v>1653.72</v>
      </c>
      <c r="J203" s="15">
        <v>1</v>
      </c>
      <c r="K203" s="15">
        <f t="shared" si="28"/>
        <v>0.25</v>
      </c>
      <c r="L203" s="14" t="s">
        <v>46</v>
      </c>
      <c r="M203" s="14">
        <f t="shared" si="29"/>
        <v>1653.72</v>
      </c>
      <c r="N203" s="14">
        <f t="shared" si="27"/>
        <v>413.43</v>
      </c>
      <c r="O203" s="11" t="s">
        <v>27</v>
      </c>
      <c r="P203" s="11" t="s">
        <v>27</v>
      </c>
      <c r="Q203" s="11"/>
      <c r="R203" s="11">
        <v>1</v>
      </c>
      <c r="S203" s="11" t="s">
        <v>28</v>
      </c>
      <c r="T203" s="16" t="s">
        <v>31</v>
      </c>
    </row>
    <row r="204" spans="1:20" x14ac:dyDescent="0.3">
      <c r="A204" s="10">
        <v>45779</v>
      </c>
      <c r="B204" s="11">
        <v>117329</v>
      </c>
      <c r="C204" s="11" t="s">
        <v>31</v>
      </c>
      <c r="D204" s="11" t="s">
        <v>600</v>
      </c>
      <c r="E204" s="11" t="s">
        <v>24</v>
      </c>
      <c r="F204" s="11" t="s">
        <v>554</v>
      </c>
      <c r="G204" s="12">
        <v>4</v>
      </c>
      <c r="H204" s="13">
        <v>210</v>
      </c>
      <c r="I204" s="14">
        <f t="shared" si="26"/>
        <v>840</v>
      </c>
      <c r="J204" s="15">
        <v>7.0000000000000007E-2</v>
      </c>
      <c r="K204" s="15">
        <f t="shared" si="28"/>
        <v>1.7500000000000002E-2</v>
      </c>
      <c r="L204" s="14" t="s">
        <v>26</v>
      </c>
      <c r="M204" s="14">
        <f t="shared" si="29"/>
        <v>58.800000000000004</v>
      </c>
      <c r="N204" s="14">
        <f t="shared" si="27"/>
        <v>14.700000000000001</v>
      </c>
      <c r="O204" s="11" t="s">
        <v>597</v>
      </c>
      <c r="P204" s="11" t="s">
        <v>597</v>
      </c>
      <c r="Q204" s="11"/>
      <c r="R204" s="11">
        <v>1</v>
      </c>
      <c r="S204" s="11" t="s">
        <v>597</v>
      </c>
      <c r="T204" s="16" t="s">
        <v>31</v>
      </c>
    </row>
    <row r="205" spans="1:20" x14ac:dyDescent="0.3">
      <c r="A205" s="10">
        <v>45782</v>
      </c>
      <c r="B205" s="11">
        <v>122879</v>
      </c>
      <c r="C205" s="11" t="s">
        <v>31</v>
      </c>
      <c r="D205" s="11" t="s">
        <v>621</v>
      </c>
      <c r="E205" s="11" t="s">
        <v>24</v>
      </c>
      <c r="F205" s="11" t="s">
        <v>554</v>
      </c>
      <c r="G205" s="12">
        <v>16</v>
      </c>
      <c r="H205" s="13">
        <v>180</v>
      </c>
      <c r="I205" s="14">
        <f t="shared" si="26"/>
        <v>2880</v>
      </c>
      <c r="J205" s="15">
        <v>7.0000000000000007E-2</v>
      </c>
      <c r="K205" s="15">
        <f t="shared" si="28"/>
        <v>1.7500000000000002E-2</v>
      </c>
      <c r="L205" s="14" t="s">
        <v>26</v>
      </c>
      <c r="M205" s="14">
        <f t="shared" si="29"/>
        <v>201.60000000000002</v>
      </c>
      <c r="N205" s="14">
        <f t="shared" si="27"/>
        <v>50.400000000000006</v>
      </c>
      <c r="O205" s="11" t="s">
        <v>597</v>
      </c>
      <c r="P205" s="11" t="s">
        <v>597</v>
      </c>
      <c r="Q205" s="11"/>
      <c r="R205" s="11">
        <v>3</v>
      </c>
      <c r="S205" s="11" t="s">
        <v>597</v>
      </c>
      <c r="T205" s="16" t="s">
        <v>31</v>
      </c>
    </row>
    <row r="206" spans="1:20" x14ac:dyDescent="0.3">
      <c r="A206" s="10">
        <v>45782</v>
      </c>
      <c r="B206" s="11">
        <v>106541</v>
      </c>
      <c r="C206" s="11" t="s">
        <v>22</v>
      </c>
      <c r="D206" s="11" t="s">
        <v>65</v>
      </c>
      <c r="E206" s="11" t="s">
        <v>24</v>
      </c>
      <c r="F206" s="11" t="s">
        <v>554</v>
      </c>
      <c r="G206" s="12">
        <v>7.4</v>
      </c>
      <c r="H206" s="13">
        <v>140</v>
      </c>
      <c r="I206" s="14">
        <f t="shared" si="26"/>
        <v>1036</v>
      </c>
      <c r="J206" s="15">
        <v>3.5000000000000003E-2</v>
      </c>
      <c r="K206" s="15">
        <v>0</v>
      </c>
      <c r="L206" s="14" t="s">
        <v>26</v>
      </c>
      <c r="M206" s="14">
        <f t="shared" si="29"/>
        <v>36.260000000000005</v>
      </c>
      <c r="N206" s="14">
        <f t="shared" si="27"/>
        <v>0</v>
      </c>
      <c r="O206" s="11" t="s">
        <v>597</v>
      </c>
      <c r="P206" s="11" t="s">
        <v>597</v>
      </c>
      <c r="Q206" s="11"/>
      <c r="R206" s="11">
        <v>1</v>
      </c>
      <c r="S206" s="11" t="s">
        <v>597</v>
      </c>
      <c r="T206" s="16" t="s">
        <v>22</v>
      </c>
    </row>
    <row r="207" spans="1:20" x14ac:dyDescent="0.3">
      <c r="A207" s="10">
        <v>45783</v>
      </c>
      <c r="B207" s="11">
        <v>121353</v>
      </c>
      <c r="C207" s="11" t="s">
        <v>31</v>
      </c>
      <c r="D207" s="11" t="s">
        <v>108</v>
      </c>
      <c r="E207" s="11" t="s">
        <v>35</v>
      </c>
      <c r="F207" s="11" t="s">
        <v>35</v>
      </c>
      <c r="G207" s="12">
        <v>8</v>
      </c>
      <c r="H207" s="13">
        <v>176</v>
      </c>
      <c r="I207" s="14">
        <f t="shared" si="26"/>
        <v>1408</v>
      </c>
      <c r="J207" s="15">
        <v>0.01</v>
      </c>
      <c r="K207" s="15">
        <f>J207*0.25</f>
        <v>2.5000000000000001E-3</v>
      </c>
      <c r="L207" s="14" t="s">
        <v>26</v>
      </c>
      <c r="M207" s="14">
        <f t="shared" si="29"/>
        <v>14.08</v>
      </c>
      <c r="N207" s="14">
        <f t="shared" si="27"/>
        <v>3.52</v>
      </c>
      <c r="O207" s="11" t="s">
        <v>597</v>
      </c>
      <c r="P207" s="11" t="s">
        <v>597</v>
      </c>
      <c r="Q207" s="11"/>
      <c r="R207" s="11">
        <v>3</v>
      </c>
      <c r="S207" s="11" t="s">
        <v>597</v>
      </c>
      <c r="T207" s="16" t="s">
        <v>31</v>
      </c>
    </row>
    <row r="208" spans="1:20" x14ac:dyDescent="0.3">
      <c r="A208" s="10">
        <v>45786</v>
      </c>
      <c r="B208" s="11">
        <v>123173</v>
      </c>
      <c r="C208" s="11" t="s">
        <v>31</v>
      </c>
      <c r="D208" s="11" t="s">
        <v>611</v>
      </c>
      <c r="E208" s="11" t="s">
        <v>40</v>
      </c>
      <c r="F208" s="11" t="s">
        <v>41</v>
      </c>
      <c r="G208" s="12">
        <v>1</v>
      </c>
      <c r="H208" s="13">
        <v>446.51</v>
      </c>
      <c r="I208" s="14">
        <f t="shared" si="26"/>
        <v>446.51</v>
      </c>
      <c r="J208" s="15">
        <v>7.0000000000000007E-2</v>
      </c>
      <c r="K208" s="15">
        <f>J208*0.25</f>
        <v>1.7500000000000002E-2</v>
      </c>
      <c r="L208" s="14" t="s">
        <v>26</v>
      </c>
      <c r="M208" s="14">
        <f t="shared" si="29"/>
        <v>31.255700000000001</v>
      </c>
      <c r="N208" s="14">
        <f t="shared" si="27"/>
        <v>7.8139250000000002</v>
      </c>
      <c r="O208" s="11" t="s">
        <v>27</v>
      </c>
      <c r="P208" s="11" t="s">
        <v>27</v>
      </c>
      <c r="Q208" s="11"/>
      <c r="R208" s="11">
        <v>3</v>
      </c>
      <c r="S208" s="11" t="s">
        <v>28</v>
      </c>
      <c r="T208" s="16" t="s">
        <v>31</v>
      </c>
    </row>
    <row r="209" spans="1:20" x14ac:dyDescent="0.3">
      <c r="A209" s="10">
        <v>45786</v>
      </c>
      <c r="B209" s="11">
        <v>121833</v>
      </c>
      <c r="C209" s="11" t="s">
        <v>31</v>
      </c>
      <c r="D209" s="11" t="s">
        <v>647</v>
      </c>
      <c r="E209" s="11" t="s">
        <v>35</v>
      </c>
      <c r="F209" s="11" t="s">
        <v>35</v>
      </c>
      <c r="G209" s="12">
        <v>2</v>
      </c>
      <c r="H209" s="13">
        <v>176</v>
      </c>
      <c r="I209" s="14">
        <f t="shared" ref="I209:I240" si="30">G209*H209</f>
        <v>352</v>
      </c>
      <c r="J209" s="15">
        <v>0.01</v>
      </c>
      <c r="K209" s="15">
        <f>J209*0.25</f>
        <v>2.5000000000000001E-3</v>
      </c>
      <c r="L209" s="14" t="s">
        <v>26</v>
      </c>
      <c r="M209" s="14">
        <f t="shared" si="29"/>
        <v>3.52</v>
      </c>
      <c r="N209" s="14">
        <f t="shared" si="27"/>
        <v>0.88</v>
      </c>
      <c r="O209" s="11" t="s">
        <v>27</v>
      </c>
      <c r="P209" s="11" t="s">
        <v>27</v>
      </c>
      <c r="Q209" s="11"/>
      <c r="R209" s="11">
        <v>1</v>
      </c>
      <c r="S209" s="11" t="s">
        <v>597</v>
      </c>
      <c r="T209" s="16" t="s">
        <v>31</v>
      </c>
    </row>
    <row r="210" spans="1:20" x14ac:dyDescent="0.3">
      <c r="A210" s="10">
        <v>45789</v>
      </c>
      <c r="B210" s="11">
        <v>123231</v>
      </c>
      <c r="C210" s="11" t="s">
        <v>31</v>
      </c>
      <c r="D210" s="11" t="s">
        <v>100</v>
      </c>
      <c r="E210" s="11" t="s">
        <v>35</v>
      </c>
      <c r="F210" s="11" t="s">
        <v>35</v>
      </c>
      <c r="G210" s="12">
        <v>1</v>
      </c>
      <c r="H210" s="13">
        <v>176</v>
      </c>
      <c r="I210" s="14">
        <f t="shared" si="30"/>
        <v>176</v>
      </c>
      <c r="J210" s="15">
        <v>0.01</v>
      </c>
      <c r="K210" s="15">
        <f>J210*0.25</f>
        <v>2.5000000000000001E-3</v>
      </c>
      <c r="L210" s="14" t="s">
        <v>26</v>
      </c>
      <c r="M210" s="14">
        <f t="shared" si="29"/>
        <v>1.76</v>
      </c>
      <c r="N210" s="14">
        <f t="shared" si="27"/>
        <v>0.44</v>
      </c>
      <c r="O210" s="11" t="s">
        <v>597</v>
      </c>
      <c r="P210" s="11" t="s">
        <v>27</v>
      </c>
      <c r="Q210" s="11"/>
      <c r="R210" s="11">
        <v>1</v>
      </c>
      <c r="S210" s="11" t="s">
        <v>597</v>
      </c>
      <c r="T210" s="16" t="s">
        <v>31</v>
      </c>
    </row>
    <row r="211" spans="1:20" x14ac:dyDescent="0.3">
      <c r="A211" s="10">
        <v>45789</v>
      </c>
      <c r="B211" s="11">
        <v>123386</v>
      </c>
      <c r="C211" s="11" t="s">
        <v>22</v>
      </c>
      <c r="D211" s="11" t="s">
        <v>621</v>
      </c>
      <c r="E211" s="11" t="s">
        <v>24</v>
      </c>
      <c r="F211" s="11" t="s">
        <v>554</v>
      </c>
      <c r="G211" s="12">
        <v>16</v>
      </c>
      <c r="H211" s="13">
        <v>180</v>
      </c>
      <c r="I211" s="14">
        <f t="shared" si="30"/>
        <v>2880</v>
      </c>
      <c r="J211" s="15">
        <v>7.0000000000000007E-2</v>
      </c>
      <c r="K211" s="15">
        <v>0</v>
      </c>
      <c r="L211" s="14" t="s">
        <v>26</v>
      </c>
      <c r="M211" s="14">
        <f t="shared" si="29"/>
        <v>201.60000000000002</v>
      </c>
      <c r="N211" s="14">
        <f t="shared" si="27"/>
        <v>0</v>
      </c>
      <c r="O211" s="11" t="s">
        <v>27</v>
      </c>
      <c r="P211" s="11" t="s">
        <v>27</v>
      </c>
      <c r="Q211" s="11"/>
      <c r="R211" s="11">
        <v>3</v>
      </c>
      <c r="S211" s="11" t="s">
        <v>28</v>
      </c>
      <c r="T211" s="16" t="s">
        <v>22</v>
      </c>
    </row>
    <row r="212" spans="1:20" x14ac:dyDescent="0.3">
      <c r="A212" s="10">
        <v>45789</v>
      </c>
      <c r="B212" s="11">
        <v>123355</v>
      </c>
      <c r="C212" s="11" t="s">
        <v>31</v>
      </c>
      <c r="D212" s="11" t="s">
        <v>647</v>
      </c>
      <c r="E212" s="11" t="s">
        <v>24</v>
      </c>
      <c r="F212" s="11" t="s">
        <v>554</v>
      </c>
      <c r="G212" s="12">
        <v>8</v>
      </c>
      <c r="H212" s="13">
        <v>178.5</v>
      </c>
      <c r="I212" s="14">
        <f t="shared" si="30"/>
        <v>1428</v>
      </c>
      <c r="J212" s="15">
        <v>7.0000000000000007E-2</v>
      </c>
      <c r="K212" s="15">
        <f t="shared" ref="K212:K224" si="31">J212*0.25</f>
        <v>1.7500000000000002E-2</v>
      </c>
      <c r="L212" s="14" t="s">
        <v>26</v>
      </c>
      <c r="M212" s="14">
        <f t="shared" si="29"/>
        <v>99.960000000000008</v>
      </c>
      <c r="N212" s="14">
        <f t="shared" si="27"/>
        <v>24.990000000000002</v>
      </c>
      <c r="O212" s="11" t="s">
        <v>27</v>
      </c>
      <c r="P212" s="11" t="s">
        <v>27</v>
      </c>
      <c r="Q212" s="11"/>
      <c r="R212" s="11">
        <v>3</v>
      </c>
      <c r="S212" s="11" t="s">
        <v>28</v>
      </c>
      <c r="T212" s="16" t="s">
        <v>31</v>
      </c>
    </row>
    <row r="213" spans="1:20" x14ac:dyDescent="0.3">
      <c r="A213" s="10">
        <v>45789</v>
      </c>
      <c r="B213" s="11">
        <v>123355</v>
      </c>
      <c r="C213" s="11" t="s">
        <v>31</v>
      </c>
      <c r="D213" s="11" t="s">
        <v>647</v>
      </c>
      <c r="E213" s="11" t="s">
        <v>585</v>
      </c>
      <c r="F213" s="11" t="s">
        <v>30</v>
      </c>
      <c r="G213" s="12">
        <v>1</v>
      </c>
      <c r="H213" s="13">
        <v>550</v>
      </c>
      <c r="I213" s="14">
        <f t="shared" si="30"/>
        <v>550</v>
      </c>
      <c r="J213" s="15">
        <v>1</v>
      </c>
      <c r="K213" s="15">
        <f t="shared" si="31"/>
        <v>0.25</v>
      </c>
      <c r="L213" s="14" t="s">
        <v>26</v>
      </c>
      <c r="M213" s="14">
        <f t="shared" si="29"/>
        <v>550</v>
      </c>
      <c r="N213" s="14">
        <f t="shared" si="27"/>
        <v>137.5</v>
      </c>
      <c r="O213" s="11" t="s">
        <v>27</v>
      </c>
      <c r="P213" s="11" t="s">
        <v>27</v>
      </c>
      <c r="Q213" s="11"/>
      <c r="R213" s="11">
        <v>1</v>
      </c>
      <c r="S213" s="11" t="s">
        <v>28</v>
      </c>
      <c r="T213" s="16" t="s">
        <v>31</v>
      </c>
    </row>
    <row r="214" spans="1:20" x14ac:dyDescent="0.3">
      <c r="A214" s="10">
        <v>45790</v>
      </c>
      <c r="B214" s="11">
        <v>121489</v>
      </c>
      <c r="C214" s="11" t="s">
        <v>31</v>
      </c>
      <c r="D214" s="11" t="s">
        <v>100</v>
      </c>
      <c r="E214" s="11" t="s">
        <v>35</v>
      </c>
      <c r="F214" s="11" t="s">
        <v>35</v>
      </c>
      <c r="G214" s="12">
        <v>2</v>
      </c>
      <c r="H214" s="13">
        <v>176</v>
      </c>
      <c r="I214" s="14">
        <f t="shared" si="30"/>
        <v>352</v>
      </c>
      <c r="J214" s="15">
        <v>0.01</v>
      </c>
      <c r="K214" s="15">
        <f t="shared" si="31"/>
        <v>2.5000000000000001E-3</v>
      </c>
      <c r="L214" s="14" t="s">
        <v>26</v>
      </c>
      <c r="M214" s="14">
        <f t="shared" si="29"/>
        <v>3.52</v>
      </c>
      <c r="N214" s="14">
        <f t="shared" si="27"/>
        <v>0.88</v>
      </c>
      <c r="O214" s="11" t="s">
        <v>597</v>
      </c>
      <c r="P214" s="11" t="s">
        <v>597</v>
      </c>
      <c r="Q214" s="11"/>
      <c r="R214" s="11">
        <v>1</v>
      </c>
      <c r="S214" s="11" t="s">
        <v>597</v>
      </c>
      <c r="T214" s="16" t="s">
        <v>31</v>
      </c>
    </row>
    <row r="215" spans="1:20" x14ac:dyDescent="0.3">
      <c r="A215" s="10">
        <v>45790</v>
      </c>
      <c r="B215" s="11">
        <v>122688</v>
      </c>
      <c r="C215" s="11" t="s">
        <v>31</v>
      </c>
      <c r="D215" s="11" t="s">
        <v>619</v>
      </c>
      <c r="E215" s="11" t="s">
        <v>35</v>
      </c>
      <c r="F215" s="11" t="s">
        <v>35</v>
      </c>
      <c r="G215" s="12">
        <v>4</v>
      </c>
      <c r="H215" s="13">
        <v>176</v>
      </c>
      <c r="I215" s="14">
        <f t="shared" si="30"/>
        <v>704</v>
      </c>
      <c r="J215" s="15">
        <v>0.01</v>
      </c>
      <c r="K215" s="15">
        <f t="shared" si="31"/>
        <v>2.5000000000000001E-3</v>
      </c>
      <c r="L215" s="14" t="s">
        <v>26</v>
      </c>
      <c r="M215" s="14">
        <f t="shared" si="29"/>
        <v>7.04</v>
      </c>
      <c r="N215" s="14">
        <f t="shared" si="27"/>
        <v>1.76</v>
      </c>
      <c r="O215" s="11" t="s">
        <v>597</v>
      </c>
      <c r="P215" s="11" t="s">
        <v>597</v>
      </c>
      <c r="Q215" s="11"/>
      <c r="R215" s="11">
        <v>3</v>
      </c>
      <c r="S215" s="11" t="s">
        <v>597</v>
      </c>
      <c r="T215" s="16" t="s">
        <v>31</v>
      </c>
    </row>
    <row r="216" spans="1:20" x14ac:dyDescent="0.3">
      <c r="A216" s="10">
        <v>45791</v>
      </c>
      <c r="B216" s="11">
        <v>123445</v>
      </c>
      <c r="C216" s="11" t="s">
        <v>44</v>
      </c>
      <c r="D216" s="11" t="s">
        <v>648</v>
      </c>
      <c r="E216" s="11" t="s">
        <v>47</v>
      </c>
      <c r="F216" s="11" t="s">
        <v>30</v>
      </c>
      <c r="G216" s="12">
        <v>4</v>
      </c>
      <c r="H216" s="13">
        <v>248.06</v>
      </c>
      <c r="I216" s="14">
        <f t="shared" si="30"/>
        <v>992.24</v>
      </c>
      <c r="J216" s="15">
        <v>1</v>
      </c>
      <c r="K216" s="15">
        <f t="shared" si="31"/>
        <v>0.25</v>
      </c>
      <c r="L216" s="14" t="s">
        <v>46</v>
      </c>
      <c r="M216" s="14">
        <f t="shared" si="29"/>
        <v>992.24</v>
      </c>
      <c r="N216" s="14">
        <f t="shared" si="27"/>
        <v>248.06</v>
      </c>
      <c r="O216" s="11" t="s">
        <v>27</v>
      </c>
      <c r="P216" s="11" t="s">
        <v>27</v>
      </c>
      <c r="Q216" s="11"/>
      <c r="R216" s="11">
        <v>1</v>
      </c>
      <c r="S216" s="11" t="s">
        <v>28</v>
      </c>
      <c r="T216" s="16" t="s">
        <v>44</v>
      </c>
    </row>
    <row r="217" spans="1:20" x14ac:dyDescent="0.3">
      <c r="A217" s="10">
        <v>45791</v>
      </c>
      <c r="B217" s="11">
        <v>123445</v>
      </c>
      <c r="C217" s="11" t="s">
        <v>44</v>
      </c>
      <c r="D217" s="11" t="s">
        <v>648</v>
      </c>
      <c r="E217" s="11" t="s">
        <v>24</v>
      </c>
      <c r="F217" s="11" t="s">
        <v>554</v>
      </c>
      <c r="G217" s="12">
        <v>284</v>
      </c>
      <c r="H217" s="13">
        <v>171.72</v>
      </c>
      <c r="I217" s="14">
        <f t="shared" si="30"/>
        <v>48768.480000000003</v>
      </c>
      <c r="J217" s="15">
        <v>0.05</v>
      </c>
      <c r="K217" s="15">
        <f t="shared" si="31"/>
        <v>1.2500000000000001E-2</v>
      </c>
      <c r="L217" s="14" t="s">
        <v>46</v>
      </c>
      <c r="M217" s="14">
        <f t="shared" si="29"/>
        <v>2438.4240000000004</v>
      </c>
      <c r="N217" s="14">
        <f t="shared" si="27"/>
        <v>609.60600000000011</v>
      </c>
      <c r="O217" s="11" t="s">
        <v>27</v>
      </c>
      <c r="P217" s="11" t="s">
        <v>27</v>
      </c>
      <c r="Q217" s="11"/>
      <c r="R217" s="11">
        <v>12</v>
      </c>
      <c r="S217" s="11" t="s">
        <v>28</v>
      </c>
      <c r="T217" s="16" t="s">
        <v>44</v>
      </c>
    </row>
    <row r="218" spans="1:20" x14ac:dyDescent="0.3">
      <c r="A218" s="10">
        <v>45791</v>
      </c>
      <c r="B218" s="11">
        <v>123445</v>
      </c>
      <c r="C218" s="11" t="s">
        <v>44</v>
      </c>
      <c r="D218" s="11" t="s">
        <v>648</v>
      </c>
      <c r="E218" s="11" t="s">
        <v>345</v>
      </c>
      <c r="F218" s="11" t="s">
        <v>554</v>
      </c>
      <c r="G218" s="12">
        <v>0</v>
      </c>
      <c r="H218" s="13">
        <v>0</v>
      </c>
      <c r="I218" s="14">
        <f t="shared" si="30"/>
        <v>0</v>
      </c>
      <c r="J218" s="15">
        <v>0.05</v>
      </c>
      <c r="K218" s="15">
        <f t="shared" si="31"/>
        <v>1.2500000000000001E-2</v>
      </c>
      <c r="L218" s="14" t="s">
        <v>46</v>
      </c>
      <c r="M218" s="14">
        <f t="shared" si="29"/>
        <v>0</v>
      </c>
      <c r="N218" s="14">
        <f t="shared" si="27"/>
        <v>0</v>
      </c>
      <c r="O218" s="11" t="s">
        <v>27</v>
      </c>
      <c r="P218" s="11" t="s">
        <v>27</v>
      </c>
      <c r="Q218" s="11"/>
      <c r="R218" s="11">
        <v>12</v>
      </c>
      <c r="S218" s="11" t="s">
        <v>28</v>
      </c>
      <c r="T218" s="16" t="s">
        <v>44</v>
      </c>
    </row>
    <row r="219" spans="1:20" x14ac:dyDescent="0.3">
      <c r="A219" s="10">
        <v>45791</v>
      </c>
      <c r="B219" s="11">
        <v>123445</v>
      </c>
      <c r="C219" s="11" t="s">
        <v>44</v>
      </c>
      <c r="D219" s="11" t="s">
        <v>648</v>
      </c>
      <c r="E219" s="11" t="s">
        <v>48</v>
      </c>
      <c r="F219" s="11" t="s">
        <v>30</v>
      </c>
      <c r="G219" s="12">
        <v>1</v>
      </c>
      <c r="H219" s="13">
        <v>320.76</v>
      </c>
      <c r="I219" s="14">
        <f t="shared" si="30"/>
        <v>320.76</v>
      </c>
      <c r="J219" s="15">
        <v>1</v>
      </c>
      <c r="K219" s="15">
        <f t="shared" si="31"/>
        <v>0.25</v>
      </c>
      <c r="L219" s="14" t="s">
        <v>46</v>
      </c>
      <c r="M219" s="14">
        <f t="shared" si="29"/>
        <v>320.76</v>
      </c>
      <c r="N219" s="14">
        <f t="shared" si="27"/>
        <v>80.19</v>
      </c>
      <c r="O219" s="11" t="s">
        <v>27</v>
      </c>
      <c r="P219" s="11" t="s">
        <v>27</v>
      </c>
      <c r="Q219" s="11"/>
      <c r="R219" s="11">
        <v>1</v>
      </c>
      <c r="S219" s="11" t="s">
        <v>28</v>
      </c>
      <c r="T219" s="16" t="s">
        <v>44</v>
      </c>
    </row>
    <row r="220" spans="1:20" x14ac:dyDescent="0.3">
      <c r="A220" s="10">
        <v>45791</v>
      </c>
      <c r="B220" s="11">
        <v>123445</v>
      </c>
      <c r="C220" s="11" t="s">
        <v>44</v>
      </c>
      <c r="D220" s="11" t="s">
        <v>648</v>
      </c>
      <c r="E220" s="11" t="s">
        <v>63</v>
      </c>
      <c r="F220" s="11" t="s">
        <v>30</v>
      </c>
      <c r="G220" s="12">
        <v>11</v>
      </c>
      <c r="H220" s="13">
        <v>88.92</v>
      </c>
      <c r="I220" s="14">
        <f t="shared" si="30"/>
        <v>978.12</v>
      </c>
      <c r="J220" s="15">
        <v>1</v>
      </c>
      <c r="K220" s="15">
        <f t="shared" si="31"/>
        <v>0.25</v>
      </c>
      <c r="L220" s="14" t="s">
        <v>46</v>
      </c>
      <c r="M220" s="14">
        <f t="shared" si="29"/>
        <v>978.12</v>
      </c>
      <c r="N220" s="14">
        <f t="shared" si="27"/>
        <v>244.53</v>
      </c>
      <c r="O220" s="11" t="s">
        <v>27</v>
      </c>
      <c r="P220" s="11" t="s">
        <v>27</v>
      </c>
      <c r="Q220" s="11"/>
      <c r="R220" s="11">
        <v>1</v>
      </c>
      <c r="S220" s="11" t="s">
        <v>28</v>
      </c>
      <c r="T220" s="16" t="s">
        <v>44</v>
      </c>
    </row>
    <row r="221" spans="1:20" x14ac:dyDescent="0.3">
      <c r="A221" s="10">
        <v>45791</v>
      </c>
      <c r="B221" s="11">
        <v>123445</v>
      </c>
      <c r="C221" s="11" t="s">
        <v>44</v>
      </c>
      <c r="D221" s="11" t="s">
        <v>648</v>
      </c>
      <c r="E221" s="11" t="s">
        <v>24</v>
      </c>
      <c r="F221" s="11" t="s">
        <v>554</v>
      </c>
      <c r="G221" s="12">
        <v>56</v>
      </c>
      <c r="H221" s="13">
        <v>171.72</v>
      </c>
      <c r="I221" s="14">
        <f t="shared" si="30"/>
        <v>9616.32</v>
      </c>
      <c r="J221" s="15">
        <v>0.05</v>
      </c>
      <c r="K221" s="15">
        <f t="shared" si="31"/>
        <v>1.2500000000000001E-2</v>
      </c>
      <c r="L221" s="14" t="s">
        <v>46</v>
      </c>
      <c r="M221" s="14">
        <f t="shared" si="29"/>
        <v>480.81600000000003</v>
      </c>
      <c r="N221" s="14">
        <f t="shared" si="27"/>
        <v>120.20400000000001</v>
      </c>
      <c r="O221" s="11" t="s">
        <v>27</v>
      </c>
      <c r="P221" s="11" t="s">
        <v>27</v>
      </c>
      <c r="Q221" s="11"/>
      <c r="R221" s="11">
        <v>12</v>
      </c>
      <c r="S221" s="11" t="s">
        <v>28</v>
      </c>
      <c r="T221" s="16" t="s">
        <v>44</v>
      </c>
    </row>
    <row r="222" spans="1:20" x14ac:dyDescent="0.3">
      <c r="A222" s="10">
        <v>45791</v>
      </c>
      <c r="B222" s="11">
        <v>123447</v>
      </c>
      <c r="C222" s="11" t="s">
        <v>44</v>
      </c>
      <c r="D222" s="11" t="s">
        <v>648</v>
      </c>
      <c r="E222" s="11" t="s">
        <v>102</v>
      </c>
      <c r="F222" s="11" t="s">
        <v>41</v>
      </c>
      <c r="G222" s="12">
        <v>1</v>
      </c>
      <c r="H222" s="13">
        <v>1600</v>
      </c>
      <c r="I222" s="14">
        <f t="shared" si="30"/>
        <v>1600</v>
      </c>
      <c r="J222" s="15">
        <v>7.0000000000000007E-2</v>
      </c>
      <c r="K222" s="15">
        <f t="shared" si="31"/>
        <v>1.7500000000000002E-2</v>
      </c>
      <c r="L222" s="14" t="s">
        <v>46</v>
      </c>
      <c r="M222" s="14">
        <f t="shared" si="29"/>
        <v>112.00000000000001</v>
      </c>
      <c r="N222" s="14">
        <f t="shared" si="27"/>
        <v>28.000000000000004</v>
      </c>
      <c r="O222" s="11" t="s">
        <v>27</v>
      </c>
      <c r="P222" s="11" t="s">
        <v>27</v>
      </c>
      <c r="Q222" s="11"/>
      <c r="R222" s="11">
        <v>12</v>
      </c>
      <c r="S222" s="11" t="s">
        <v>28</v>
      </c>
      <c r="T222" s="16" t="s">
        <v>44</v>
      </c>
    </row>
    <row r="223" spans="1:20" x14ac:dyDescent="0.3">
      <c r="A223" s="10">
        <v>45791</v>
      </c>
      <c r="B223" s="11">
        <v>123447</v>
      </c>
      <c r="C223" s="11" t="s">
        <v>44</v>
      </c>
      <c r="D223" s="11" t="s">
        <v>648</v>
      </c>
      <c r="E223" s="11" t="s">
        <v>102</v>
      </c>
      <c r="F223" s="11" t="s">
        <v>30</v>
      </c>
      <c r="G223" s="12">
        <v>5</v>
      </c>
      <c r="H223" s="13">
        <v>80</v>
      </c>
      <c r="I223" s="14">
        <f t="shared" si="30"/>
        <v>400</v>
      </c>
      <c r="J223" s="15">
        <v>1</v>
      </c>
      <c r="K223" s="15">
        <f t="shared" si="31"/>
        <v>0.25</v>
      </c>
      <c r="L223" s="14" t="s">
        <v>46</v>
      </c>
      <c r="M223" s="14">
        <f t="shared" si="29"/>
        <v>400</v>
      </c>
      <c r="N223" s="14">
        <f t="shared" si="27"/>
        <v>100</v>
      </c>
      <c r="O223" s="11" t="s">
        <v>27</v>
      </c>
      <c r="P223" s="11" t="s">
        <v>27</v>
      </c>
      <c r="Q223" s="11"/>
      <c r="R223" s="11">
        <v>1</v>
      </c>
      <c r="S223" s="11" t="s">
        <v>28</v>
      </c>
      <c r="T223" s="16" t="s">
        <v>44</v>
      </c>
    </row>
    <row r="224" spans="1:20" x14ac:dyDescent="0.3">
      <c r="A224" s="10">
        <v>45791</v>
      </c>
      <c r="B224" s="11">
        <v>123447</v>
      </c>
      <c r="C224" s="11" t="s">
        <v>44</v>
      </c>
      <c r="D224" s="11" t="s">
        <v>648</v>
      </c>
      <c r="E224" s="11" t="s">
        <v>102</v>
      </c>
      <c r="F224" s="11" t="s">
        <v>30</v>
      </c>
      <c r="G224" s="12">
        <v>1</v>
      </c>
      <c r="H224" s="13">
        <v>1404.13</v>
      </c>
      <c r="I224" s="14">
        <f t="shared" si="30"/>
        <v>1404.13</v>
      </c>
      <c r="J224" s="15">
        <v>1</v>
      </c>
      <c r="K224" s="15">
        <f t="shared" si="31"/>
        <v>0.25</v>
      </c>
      <c r="L224" s="14" t="s">
        <v>46</v>
      </c>
      <c r="M224" s="14">
        <f t="shared" si="29"/>
        <v>1404.13</v>
      </c>
      <c r="N224" s="14">
        <f t="shared" si="27"/>
        <v>351.03250000000003</v>
      </c>
      <c r="O224" s="11" t="s">
        <v>27</v>
      </c>
      <c r="P224" s="11" t="s">
        <v>27</v>
      </c>
      <c r="Q224" s="11"/>
      <c r="R224" s="11">
        <v>1</v>
      </c>
      <c r="S224" s="11" t="s">
        <v>28</v>
      </c>
      <c r="T224" s="16" t="s">
        <v>44</v>
      </c>
    </row>
    <row r="225" spans="1:20" x14ac:dyDescent="0.3">
      <c r="A225" s="10">
        <v>45792</v>
      </c>
      <c r="B225" s="11">
        <v>123670</v>
      </c>
      <c r="C225" s="11" t="s">
        <v>22</v>
      </c>
      <c r="D225" s="11" t="s">
        <v>634</v>
      </c>
      <c r="E225" s="11" t="s">
        <v>567</v>
      </c>
      <c r="F225" s="11" t="s">
        <v>30</v>
      </c>
      <c r="G225" s="12">
        <v>1</v>
      </c>
      <c r="H225" s="13">
        <v>534.6</v>
      </c>
      <c r="I225" s="14">
        <f t="shared" si="30"/>
        <v>534.6</v>
      </c>
      <c r="J225" s="15">
        <v>1</v>
      </c>
      <c r="K225" s="15">
        <v>0</v>
      </c>
      <c r="L225" s="14" t="s">
        <v>46</v>
      </c>
      <c r="M225" s="14">
        <f t="shared" si="29"/>
        <v>534.6</v>
      </c>
      <c r="N225" s="14">
        <f t="shared" si="27"/>
        <v>0</v>
      </c>
      <c r="O225" s="11" t="s">
        <v>27</v>
      </c>
      <c r="P225" s="11" t="s">
        <v>27</v>
      </c>
      <c r="Q225" s="11"/>
      <c r="R225" s="11">
        <v>1</v>
      </c>
      <c r="S225" s="11" t="s">
        <v>28</v>
      </c>
      <c r="T225" s="16" t="s">
        <v>22</v>
      </c>
    </row>
    <row r="226" spans="1:20" x14ac:dyDescent="0.3">
      <c r="A226" s="10">
        <v>45792</v>
      </c>
      <c r="B226" s="11">
        <v>123670</v>
      </c>
      <c r="C226" s="11" t="s">
        <v>22</v>
      </c>
      <c r="D226" s="11" t="s">
        <v>634</v>
      </c>
      <c r="E226" s="11" t="s">
        <v>567</v>
      </c>
      <c r="F226" s="11" t="s">
        <v>41</v>
      </c>
      <c r="G226" s="12">
        <v>1</v>
      </c>
      <c r="H226" s="13">
        <v>2880</v>
      </c>
      <c r="I226" s="14">
        <f t="shared" si="30"/>
        <v>2880</v>
      </c>
      <c r="J226" s="15">
        <v>7.0000000000000007E-2</v>
      </c>
      <c r="K226" s="15">
        <v>0</v>
      </c>
      <c r="L226" s="14" t="s">
        <v>46</v>
      </c>
      <c r="M226" s="14">
        <f t="shared" ref="M226:M257" si="32">J226*I226</f>
        <v>201.60000000000002</v>
      </c>
      <c r="N226" s="14">
        <f t="shared" si="27"/>
        <v>0</v>
      </c>
      <c r="O226" s="11" t="s">
        <v>27</v>
      </c>
      <c r="P226" s="11" t="s">
        <v>27</v>
      </c>
      <c r="Q226" s="11"/>
      <c r="R226" s="11">
        <v>6</v>
      </c>
      <c r="S226" s="11" t="s">
        <v>28</v>
      </c>
      <c r="T226" s="16" t="s">
        <v>22</v>
      </c>
    </row>
    <row r="227" spans="1:20" x14ac:dyDescent="0.3">
      <c r="A227" s="10">
        <v>45799</v>
      </c>
      <c r="B227" s="11">
        <v>123885</v>
      </c>
      <c r="C227" s="11" t="s">
        <v>31</v>
      </c>
      <c r="D227" s="11" t="s">
        <v>114</v>
      </c>
      <c r="E227" s="11" t="s">
        <v>24</v>
      </c>
      <c r="F227" s="11" t="s">
        <v>554</v>
      </c>
      <c r="G227" s="12">
        <v>4</v>
      </c>
      <c r="H227" s="13">
        <v>210</v>
      </c>
      <c r="I227" s="14">
        <f t="shared" si="30"/>
        <v>840</v>
      </c>
      <c r="J227" s="15">
        <v>7.0000000000000007E-2</v>
      </c>
      <c r="K227" s="15">
        <f t="shared" ref="K227:K240" si="33">J227*0.25</f>
        <v>1.7500000000000002E-2</v>
      </c>
      <c r="L227" s="14" t="s">
        <v>46</v>
      </c>
      <c r="M227" s="14">
        <f t="shared" si="32"/>
        <v>58.800000000000004</v>
      </c>
      <c r="N227" s="14">
        <f t="shared" si="27"/>
        <v>14.700000000000001</v>
      </c>
      <c r="O227" s="11" t="s">
        <v>27</v>
      </c>
      <c r="P227" s="11" t="s">
        <v>27</v>
      </c>
      <c r="Q227" s="11"/>
      <c r="R227" s="11">
        <v>1</v>
      </c>
      <c r="S227" s="11" t="s">
        <v>597</v>
      </c>
      <c r="T227" s="16" t="s">
        <v>31</v>
      </c>
    </row>
    <row r="228" spans="1:20" x14ac:dyDescent="0.3">
      <c r="A228" s="10">
        <v>45799</v>
      </c>
      <c r="B228" s="11">
        <v>117029</v>
      </c>
      <c r="C228" s="11" t="s">
        <v>31</v>
      </c>
      <c r="D228" s="11" t="s">
        <v>604</v>
      </c>
      <c r="E228" s="11" t="s">
        <v>35</v>
      </c>
      <c r="F228" s="11" t="s">
        <v>35</v>
      </c>
      <c r="G228" s="12">
        <v>16</v>
      </c>
      <c r="H228" s="13">
        <v>142.12</v>
      </c>
      <c r="I228" s="14">
        <f t="shared" si="30"/>
        <v>2273.92</v>
      </c>
      <c r="J228" s="15">
        <v>0.01</v>
      </c>
      <c r="K228" s="15">
        <f t="shared" si="33"/>
        <v>2.5000000000000001E-3</v>
      </c>
      <c r="L228" s="14" t="s">
        <v>46</v>
      </c>
      <c r="M228" s="14">
        <f t="shared" si="32"/>
        <v>22.7392</v>
      </c>
      <c r="N228" s="14">
        <f t="shared" si="27"/>
        <v>5.6848000000000001</v>
      </c>
      <c r="O228" s="11" t="s">
        <v>597</v>
      </c>
      <c r="P228" s="11" t="s">
        <v>597</v>
      </c>
      <c r="Q228" s="11"/>
      <c r="R228" s="11">
        <v>1</v>
      </c>
      <c r="S228" s="11" t="s">
        <v>597</v>
      </c>
      <c r="T228" s="16" t="s">
        <v>31</v>
      </c>
    </row>
    <row r="229" spans="1:20" x14ac:dyDescent="0.3">
      <c r="A229" s="10">
        <v>45799</v>
      </c>
      <c r="B229" s="11">
        <v>102185</v>
      </c>
      <c r="C229" s="11" t="s">
        <v>44</v>
      </c>
      <c r="D229" s="11" t="s">
        <v>622</v>
      </c>
      <c r="E229" s="11" t="s">
        <v>24</v>
      </c>
      <c r="F229" s="11" t="s">
        <v>554</v>
      </c>
      <c r="G229" s="12">
        <v>64.5</v>
      </c>
      <c r="H229" s="13">
        <v>190.8</v>
      </c>
      <c r="I229" s="14">
        <f t="shared" si="30"/>
        <v>12306.6</v>
      </c>
      <c r="J229" s="15">
        <v>7.0000000000000007E-2</v>
      </c>
      <c r="K229" s="15">
        <f t="shared" si="33"/>
        <v>1.7500000000000002E-2</v>
      </c>
      <c r="L229" s="14" t="s">
        <v>46</v>
      </c>
      <c r="M229" s="14">
        <f t="shared" si="32"/>
        <v>861.4620000000001</v>
      </c>
      <c r="N229" s="14">
        <f t="shared" si="27"/>
        <v>215.36550000000003</v>
      </c>
      <c r="O229" s="11" t="s">
        <v>27</v>
      </c>
      <c r="P229" s="11" t="s">
        <v>27</v>
      </c>
      <c r="Q229" s="11"/>
      <c r="R229" s="11">
        <v>1</v>
      </c>
      <c r="S229" s="11" t="s">
        <v>597</v>
      </c>
      <c r="T229" s="16" t="s">
        <v>44</v>
      </c>
    </row>
    <row r="230" spans="1:20" x14ac:dyDescent="0.3">
      <c r="A230" s="10">
        <v>45799</v>
      </c>
      <c r="B230" s="11">
        <v>123390</v>
      </c>
      <c r="C230" s="11" t="s">
        <v>31</v>
      </c>
      <c r="D230" s="11" t="s">
        <v>614</v>
      </c>
      <c r="E230" s="11" t="s">
        <v>35</v>
      </c>
      <c r="F230" s="11" t="s">
        <v>35</v>
      </c>
      <c r="G230" s="12">
        <v>2</v>
      </c>
      <c r="H230" s="13">
        <v>176</v>
      </c>
      <c r="I230" s="14">
        <f t="shared" si="30"/>
        <v>352</v>
      </c>
      <c r="J230" s="15">
        <v>0.01</v>
      </c>
      <c r="K230" s="15">
        <f t="shared" si="33"/>
        <v>2.5000000000000001E-3</v>
      </c>
      <c r="L230" s="14" t="s">
        <v>46</v>
      </c>
      <c r="M230" s="14">
        <f t="shared" si="32"/>
        <v>3.52</v>
      </c>
      <c r="N230" s="14">
        <f t="shared" si="27"/>
        <v>0.88</v>
      </c>
      <c r="O230" s="11" t="s">
        <v>27</v>
      </c>
      <c r="P230" s="11" t="s">
        <v>27</v>
      </c>
      <c r="Q230" s="11"/>
      <c r="R230" s="11">
        <v>1</v>
      </c>
      <c r="S230" s="11" t="s">
        <v>597</v>
      </c>
      <c r="T230" s="16" t="s">
        <v>31</v>
      </c>
    </row>
    <row r="231" spans="1:20" x14ac:dyDescent="0.3">
      <c r="A231" s="10">
        <v>45799</v>
      </c>
      <c r="B231" s="11">
        <v>123389</v>
      </c>
      <c r="C231" s="11" t="s">
        <v>31</v>
      </c>
      <c r="D231" s="11" t="s">
        <v>614</v>
      </c>
      <c r="E231" s="11" t="s">
        <v>35</v>
      </c>
      <c r="F231" s="11" t="s">
        <v>35</v>
      </c>
      <c r="G231" s="12">
        <v>2</v>
      </c>
      <c r="H231" s="13">
        <v>176</v>
      </c>
      <c r="I231" s="14">
        <f t="shared" si="30"/>
        <v>352</v>
      </c>
      <c r="J231" s="15">
        <v>0.01</v>
      </c>
      <c r="K231" s="15">
        <f t="shared" si="33"/>
        <v>2.5000000000000001E-3</v>
      </c>
      <c r="L231" s="14" t="s">
        <v>46</v>
      </c>
      <c r="M231" s="14">
        <f t="shared" si="32"/>
        <v>3.52</v>
      </c>
      <c r="N231" s="14">
        <f t="shared" si="27"/>
        <v>0.88</v>
      </c>
      <c r="O231" s="11" t="s">
        <v>27</v>
      </c>
      <c r="P231" s="11" t="s">
        <v>27</v>
      </c>
      <c r="Q231" s="11"/>
      <c r="R231" s="11">
        <v>1</v>
      </c>
      <c r="S231" s="11" t="s">
        <v>597</v>
      </c>
      <c r="T231" s="16" t="s">
        <v>31</v>
      </c>
    </row>
    <row r="232" spans="1:20" x14ac:dyDescent="0.3">
      <c r="A232" s="10">
        <v>45799</v>
      </c>
      <c r="B232" s="11">
        <v>123517</v>
      </c>
      <c r="C232" s="11" t="s">
        <v>31</v>
      </c>
      <c r="D232" s="11" t="s">
        <v>614</v>
      </c>
      <c r="E232" s="11" t="s">
        <v>24</v>
      </c>
      <c r="F232" s="11" t="s">
        <v>554</v>
      </c>
      <c r="G232" s="12">
        <v>2</v>
      </c>
      <c r="H232" s="13">
        <v>210</v>
      </c>
      <c r="I232" s="14">
        <f t="shared" si="30"/>
        <v>420</v>
      </c>
      <c r="J232" s="15">
        <v>7.0000000000000007E-2</v>
      </c>
      <c r="K232" s="15">
        <f t="shared" si="33"/>
        <v>1.7500000000000002E-2</v>
      </c>
      <c r="L232" s="14" t="s">
        <v>46</v>
      </c>
      <c r="M232" s="14">
        <f t="shared" si="32"/>
        <v>29.400000000000002</v>
      </c>
      <c r="N232" s="14">
        <f t="shared" si="27"/>
        <v>7.3500000000000005</v>
      </c>
      <c r="O232" s="11" t="s">
        <v>27</v>
      </c>
      <c r="P232" s="11" t="s">
        <v>27</v>
      </c>
      <c r="Q232" s="11"/>
      <c r="R232" s="11">
        <v>1</v>
      </c>
      <c r="S232" s="11" t="s">
        <v>597</v>
      </c>
      <c r="T232" s="16" t="s">
        <v>31</v>
      </c>
    </row>
    <row r="233" spans="1:20" x14ac:dyDescent="0.3">
      <c r="A233" s="10">
        <v>45807</v>
      </c>
      <c r="B233" s="11">
        <v>123159</v>
      </c>
      <c r="C233" s="11" t="s">
        <v>31</v>
      </c>
      <c r="D233" s="11" t="s">
        <v>105</v>
      </c>
      <c r="E233" s="11" t="s">
        <v>35</v>
      </c>
      <c r="F233" s="11" t="s">
        <v>35</v>
      </c>
      <c r="G233" s="12">
        <v>12</v>
      </c>
      <c r="H233" s="13">
        <v>176</v>
      </c>
      <c r="I233" s="14">
        <f t="shared" si="30"/>
        <v>2112</v>
      </c>
      <c r="J233" s="15">
        <v>0.01</v>
      </c>
      <c r="K233" s="15">
        <f t="shared" si="33"/>
        <v>2.5000000000000001E-3</v>
      </c>
      <c r="L233" s="14" t="s">
        <v>46</v>
      </c>
      <c r="M233" s="14">
        <f t="shared" si="32"/>
        <v>21.12</v>
      </c>
      <c r="N233" s="14">
        <f t="shared" si="27"/>
        <v>5.28</v>
      </c>
      <c r="O233" s="11" t="s">
        <v>597</v>
      </c>
      <c r="P233" s="11" t="s">
        <v>597</v>
      </c>
      <c r="Q233" s="11"/>
      <c r="R233" s="11">
        <v>3</v>
      </c>
      <c r="S233" s="11" t="s">
        <v>597</v>
      </c>
      <c r="T233" s="16" t="s">
        <v>31</v>
      </c>
    </row>
    <row r="234" spans="1:20" x14ac:dyDescent="0.3">
      <c r="A234" s="10">
        <v>45807</v>
      </c>
      <c r="B234" s="11">
        <v>120574</v>
      </c>
      <c r="C234" s="11" t="s">
        <v>31</v>
      </c>
      <c r="D234" s="11" t="s">
        <v>108</v>
      </c>
      <c r="E234" s="11" t="s">
        <v>35</v>
      </c>
      <c r="F234" s="11" t="s">
        <v>35</v>
      </c>
      <c r="G234" s="12">
        <v>2</v>
      </c>
      <c r="H234" s="13">
        <v>176</v>
      </c>
      <c r="I234" s="14">
        <f t="shared" si="30"/>
        <v>352</v>
      </c>
      <c r="J234" s="15">
        <v>0.01</v>
      </c>
      <c r="K234" s="15">
        <f t="shared" si="33"/>
        <v>2.5000000000000001E-3</v>
      </c>
      <c r="L234" s="14" t="s">
        <v>46</v>
      </c>
      <c r="M234" s="14">
        <f t="shared" si="32"/>
        <v>3.52</v>
      </c>
      <c r="N234" s="14">
        <f t="shared" si="27"/>
        <v>0.88</v>
      </c>
      <c r="O234" s="11" t="s">
        <v>597</v>
      </c>
      <c r="P234" s="11" t="s">
        <v>597</v>
      </c>
      <c r="Q234" s="11"/>
      <c r="R234" s="11">
        <v>1</v>
      </c>
      <c r="S234" s="11" t="s">
        <v>597</v>
      </c>
      <c r="T234" s="16" t="s">
        <v>31</v>
      </c>
    </row>
    <row r="235" spans="1:20" x14ac:dyDescent="0.3">
      <c r="A235" s="10">
        <v>45807</v>
      </c>
      <c r="B235" s="11">
        <v>124175</v>
      </c>
      <c r="C235" s="11" t="s">
        <v>31</v>
      </c>
      <c r="D235" s="11" t="s">
        <v>100</v>
      </c>
      <c r="E235" s="11" t="s">
        <v>24</v>
      </c>
      <c r="F235" s="11" t="s">
        <v>554</v>
      </c>
      <c r="G235" s="12">
        <v>8</v>
      </c>
      <c r="H235" s="13">
        <v>210</v>
      </c>
      <c r="I235" s="14">
        <f t="shared" si="30"/>
        <v>1680</v>
      </c>
      <c r="J235" s="15">
        <v>7.0000000000000007E-2</v>
      </c>
      <c r="K235" s="15">
        <f t="shared" si="33"/>
        <v>1.7500000000000002E-2</v>
      </c>
      <c r="L235" s="14" t="s">
        <v>46</v>
      </c>
      <c r="M235" s="14">
        <f t="shared" si="32"/>
        <v>117.60000000000001</v>
      </c>
      <c r="N235" s="14">
        <f t="shared" si="27"/>
        <v>29.400000000000002</v>
      </c>
      <c r="O235" s="11" t="s">
        <v>597</v>
      </c>
      <c r="P235" s="11" t="s">
        <v>597</v>
      </c>
      <c r="Q235" s="11"/>
      <c r="R235" s="11">
        <v>2</v>
      </c>
      <c r="S235" s="11" t="s">
        <v>597</v>
      </c>
      <c r="T235" s="16" t="s">
        <v>31</v>
      </c>
    </row>
    <row r="236" spans="1:20" x14ac:dyDescent="0.3">
      <c r="A236" s="10">
        <v>45807</v>
      </c>
      <c r="B236" s="11">
        <v>121955</v>
      </c>
      <c r="C236" s="11" t="s">
        <v>31</v>
      </c>
      <c r="D236" s="11" t="s">
        <v>649</v>
      </c>
      <c r="E236" s="11" t="s">
        <v>35</v>
      </c>
      <c r="F236" s="11" t="s">
        <v>35</v>
      </c>
      <c r="G236" s="12">
        <v>20</v>
      </c>
      <c r="H236" s="13">
        <v>176</v>
      </c>
      <c r="I236" s="14">
        <f t="shared" si="30"/>
        <v>3520</v>
      </c>
      <c r="J236" s="15">
        <v>0.01</v>
      </c>
      <c r="K236" s="15">
        <f t="shared" si="33"/>
        <v>2.5000000000000001E-3</v>
      </c>
      <c r="L236" s="14" t="s">
        <v>46</v>
      </c>
      <c r="M236" s="14">
        <f t="shared" si="32"/>
        <v>35.200000000000003</v>
      </c>
      <c r="N236" s="14">
        <f t="shared" si="27"/>
        <v>8.8000000000000007</v>
      </c>
      <c r="O236" s="11" t="s">
        <v>597</v>
      </c>
      <c r="P236" s="11" t="s">
        <v>597</v>
      </c>
      <c r="Q236" s="11"/>
      <c r="R236" s="11">
        <v>6</v>
      </c>
      <c r="S236" s="11" t="s">
        <v>597</v>
      </c>
      <c r="T236" s="16" t="s">
        <v>31</v>
      </c>
    </row>
    <row r="237" spans="1:20" x14ac:dyDescent="0.3">
      <c r="A237" s="10">
        <v>45807</v>
      </c>
      <c r="B237" s="11">
        <v>120975</v>
      </c>
      <c r="C237" s="11" t="s">
        <v>31</v>
      </c>
      <c r="D237" s="11" t="s">
        <v>650</v>
      </c>
      <c r="E237" s="11" t="s">
        <v>35</v>
      </c>
      <c r="F237" s="11" t="s">
        <v>35</v>
      </c>
      <c r="G237" s="12">
        <v>1</v>
      </c>
      <c r="H237" s="13">
        <v>176</v>
      </c>
      <c r="I237" s="14">
        <f t="shared" si="30"/>
        <v>176</v>
      </c>
      <c r="J237" s="15">
        <v>0.01</v>
      </c>
      <c r="K237" s="15">
        <f t="shared" si="33"/>
        <v>2.5000000000000001E-3</v>
      </c>
      <c r="L237" s="14" t="s">
        <v>46</v>
      </c>
      <c r="M237" s="14">
        <f t="shared" si="32"/>
        <v>1.76</v>
      </c>
      <c r="N237" s="14">
        <f t="shared" si="27"/>
        <v>0.44</v>
      </c>
      <c r="O237" s="11" t="s">
        <v>597</v>
      </c>
      <c r="P237" s="11" t="s">
        <v>597</v>
      </c>
      <c r="Q237" s="11"/>
      <c r="R237" s="11">
        <v>1</v>
      </c>
      <c r="S237" s="11" t="s">
        <v>597</v>
      </c>
      <c r="T237" s="16" t="s">
        <v>31</v>
      </c>
    </row>
    <row r="238" spans="1:20" x14ac:dyDescent="0.3">
      <c r="A238" s="10">
        <v>45807</v>
      </c>
      <c r="B238" s="11">
        <v>122163</v>
      </c>
      <c r="C238" s="11" t="s">
        <v>31</v>
      </c>
      <c r="D238" s="11" t="s">
        <v>93</v>
      </c>
      <c r="E238" s="11" t="s">
        <v>35</v>
      </c>
      <c r="F238" s="11" t="s">
        <v>35</v>
      </c>
      <c r="G238" s="12">
        <v>80</v>
      </c>
      <c r="H238" s="13">
        <v>176</v>
      </c>
      <c r="I238" s="14">
        <f t="shared" si="30"/>
        <v>14080</v>
      </c>
      <c r="J238" s="15">
        <v>0.01</v>
      </c>
      <c r="K238" s="15">
        <f t="shared" si="33"/>
        <v>2.5000000000000001E-3</v>
      </c>
      <c r="L238" s="14" t="s">
        <v>46</v>
      </c>
      <c r="M238" s="14">
        <f t="shared" si="32"/>
        <v>140.80000000000001</v>
      </c>
      <c r="N238" s="14">
        <f t="shared" si="27"/>
        <v>35.200000000000003</v>
      </c>
      <c r="O238" s="11" t="s">
        <v>597</v>
      </c>
      <c r="P238" s="11" t="s">
        <v>597</v>
      </c>
      <c r="Q238" s="11"/>
      <c r="R238" s="11">
        <v>6</v>
      </c>
      <c r="S238" s="11" t="s">
        <v>597</v>
      </c>
      <c r="T238" s="16" t="s">
        <v>31</v>
      </c>
    </row>
    <row r="239" spans="1:20" x14ac:dyDescent="0.3">
      <c r="A239" s="18">
        <v>45809</v>
      </c>
      <c r="B239" s="11">
        <v>123185</v>
      </c>
      <c r="C239" s="11" t="s">
        <v>31</v>
      </c>
      <c r="D239" s="11" t="s">
        <v>146</v>
      </c>
      <c r="E239" s="11" t="s">
        <v>348</v>
      </c>
      <c r="F239" s="11" t="s">
        <v>554</v>
      </c>
      <c r="G239" s="12">
        <v>324</v>
      </c>
      <c r="H239" s="13">
        <v>180</v>
      </c>
      <c r="I239" s="14">
        <f t="shared" si="30"/>
        <v>58320</v>
      </c>
      <c r="J239" s="15">
        <v>7.0000000000000007E-2</v>
      </c>
      <c r="K239" s="15">
        <f t="shared" si="33"/>
        <v>1.7500000000000002E-2</v>
      </c>
      <c r="L239" s="14" t="s">
        <v>26</v>
      </c>
      <c r="M239" s="14">
        <f t="shared" si="32"/>
        <v>4082.4000000000005</v>
      </c>
      <c r="N239" s="14">
        <f t="shared" si="27"/>
        <v>1020.6000000000001</v>
      </c>
      <c r="O239" s="11" t="s">
        <v>27</v>
      </c>
      <c r="P239" s="11" t="s">
        <v>27</v>
      </c>
      <c r="Q239" s="11"/>
      <c r="R239" s="11">
        <v>6</v>
      </c>
      <c r="S239" s="11" t="s">
        <v>28</v>
      </c>
      <c r="T239" s="16" t="s">
        <v>31</v>
      </c>
    </row>
    <row r="240" spans="1:20" x14ac:dyDescent="0.3">
      <c r="A240" s="10">
        <v>45809</v>
      </c>
      <c r="B240" s="11">
        <v>123185</v>
      </c>
      <c r="C240" s="11" t="s">
        <v>31</v>
      </c>
      <c r="D240" s="11" t="s">
        <v>146</v>
      </c>
      <c r="E240" s="11" t="s">
        <v>348</v>
      </c>
      <c r="F240" s="11" t="s">
        <v>30</v>
      </c>
      <c r="G240" s="12">
        <v>1</v>
      </c>
      <c r="H240" s="13">
        <v>689.04</v>
      </c>
      <c r="I240" s="14">
        <f t="shared" si="30"/>
        <v>689.04</v>
      </c>
      <c r="J240" s="15">
        <v>1</v>
      </c>
      <c r="K240" s="15">
        <f t="shared" si="33"/>
        <v>0.25</v>
      </c>
      <c r="L240" s="14" t="s">
        <v>26</v>
      </c>
      <c r="M240" s="14">
        <f t="shared" si="32"/>
        <v>689.04</v>
      </c>
      <c r="N240" s="14">
        <f t="shared" si="27"/>
        <v>172.26</v>
      </c>
      <c r="O240" s="11" t="s">
        <v>27</v>
      </c>
      <c r="P240" s="11" t="s">
        <v>27</v>
      </c>
      <c r="Q240" s="11"/>
      <c r="R240" s="11">
        <v>1</v>
      </c>
      <c r="S240" s="11" t="s">
        <v>28</v>
      </c>
      <c r="T240" s="16" t="s">
        <v>31</v>
      </c>
    </row>
    <row r="241" spans="1:20" x14ac:dyDescent="0.3">
      <c r="A241" s="10">
        <v>45809</v>
      </c>
      <c r="B241" s="11">
        <v>123833</v>
      </c>
      <c r="C241" s="11" t="s">
        <v>22</v>
      </c>
      <c r="D241" s="11" t="s">
        <v>651</v>
      </c>
      <c r="E241" s="11" t="s">
        <v>102</v>
      </c>
      <c r="F241" s="11" t="s">
        <v>41</v>
      </c>
      <c r="G241" s="12">
        <v>1</v>
      </c>
      <c r="H241" s="13">
        <v>1520</v>
      </c>
      <c r="I241" s="14">
        <f t="shared" ref="I241:I272" si="34">G241*H241</f>
        <v>1520</v>
      </c>
      <c r="J241" s="15">
        <v>7.0000000000000007E-2</v>
      </c>
      <c r="K241" s="15">
        <v>0</v>
      </c>
      <c r="L241" s="14" t="s">
        <v>46</v>
      </c>
      <c r="M241" s="14">
        <f t="shared" si="32"/>
        <v>106.4</v>
      </c>
      <c r="N241" s="14">
        <f t="shared" si="27"/>
        <v>0</v>
      </c>
      <c r="O241" s="11" t="s">
        <v>27</v>
      </c>
      <c r="P241" s="11" t="s">
        <v>27</v>
      </c>
      <c r="Q241" s="11"/>
      <c r="R241" s="11">
        <v>1</v>
      </c>
      <c r="S241" s="11" t="s">
        <v>28</v>
      </c>
      <c r="T241" s="16" t="s">
        <v>22</v>
      </c>
    </row>
    <row r="242" spans="1:20" x14ac:dyDescent="0.3">
      <c r="A242" s="10">
        <v>45809</v>
      </c>
      <c r="B242" s="11">
        <v>123833</v>
      </c>
      <c r="C242" s="11" t="s">
        <v>22</v>
      </c>
      <c r="D242" s="11" t="s">
        <v>651</v>
      </c>
      <c r="E242" s="11" t="s">
        <v>102</v>
      </c>
      <c r="F242" s="11" t="s">
        <v>30</v>
      </c>
      <c r="G242" s="12">
        <v>5</v>
      </c>
      <c r="H242" s="13">
        <v>80</v>
      </c>
      <c r="I242" s="14">
        <f t="shared" si="34"/>
        <v>400</v>
      </c>
      <c r="J242" s="15">
        <v>1</v>
      </c>
      <c r="K242" s="15">
        <v>0</v>
      </c>
      <c r="L242" s="14" t="s">
        <v>46</v>
      </c>
      <c r="M242" s="14">
        <f t="shared" si="32"/>
        <v>400</v>
      </c>
      <c r="N242" s="14">
        <f t="shared" si="27"/>
        <v>0</v>
      </c>
      <c r="O242" s="11" t="s">
        <v>27</v>
      </c>
      <c r="P242" s="11" t="s">
        <v>27</v>
      </c>
      <c r="Q242" s="11"/>
      <c r="R242" s="11">
        <v>1</v>
      </c>
      <c r="S242" s="11" t="s">
        <v>28</v>
      </c>
      <c r="T242" s="16" t="s">
        <v>22</v>
      </c>
    </row>
    <row r="243" spans="1:20" x14ac:dyDescent="0.3">
      <c r="A243" s="10">
        <v>45809</v>
      </c>
      <c r="B243" s="11">
        <v>123833</v>
      </c>
      <c r="C243" s="11" t="s">
        <v>22</v>
      </c>
      <c r="D243" s="11" t="s">
        <v>651</v>
      </c>
      <c r="E243" s="11" t="s">
        <v>102</v>
      </c>
      <c r="F243" s="11" t="s">
        <v>30</v>
      </c>
      <c r="G243" s="12">
        <v>1</v>
      </c>
      <c r="H243" s="13">
        <v>1404.43</v>
      </c>
      <c r="I243" s="14">
        <f t="shared" si="34"/>
        <v>1404.43</v>
      </c>
      <c r="J243" s="15">
        <v>1</v>
      </c>
      <c r="K243" s="15">
        <v>0</v>
      </c>
      <c r="L243" s="14" t="s">
        <v>46</v>
      </c>
      <c r="M243" s="14">
        <f t="shared" si="32"/>
        <v>1404.43</v>
      </c>
      <c r="N243" s="14">
        <f t="shared" si="27"/>
        <v>0</v>
      </c>
      <c r="O243" s="11" t="s">
        <v>27</v>
      </c>
      <c r="P243" s="11" t="s">
        <v>27</v>
      </c>
      <c r="Q243" s="11"/>
      <c r="R243" s="11">
        <v>1</v>
      </c>
      <c r="S243" s="11" t="s">
        <v>28</v>
      </c>
      <c r="T243" s="16" t="s">
        <v>22</v>
      </c>
    </row>
    <row r="244" spans="1:20" x14ac:dyDescent="0.3">
      <c r="A244" s="10">
        <v>45809</v>
      </c>
      <c r="B244" s="11">
        <v>123835</v>
      </c>
      <c r="C244" s="11" t="s">
        <v>22</v>
      </c>
      <c r="D244" s="11" t="s">
        <v>651</v>
      </c>
      <c r="E244" s="11" t="s">
        <v>47</v>
      </c>
      <c r="F244" s="11" t="s">
        <v>30</v>
      </c>
      <c r="G244" s="12">
        <v>5</v>
      </c>
      <c r="H244" s="13">
        <v>275.62</v>
      </c>
      <c r="I244" s="14">
        <f t="shared" si="34"/>
        <v>1378.1</v>
      </c>
      <c r="J244" s="15">
        <v>1</v>
      </c>
      <c r="K244" s="15">
        <v>0</v>
      </c>
      <c r="L244" s="14" t="s">
        <v>46</v>
      </c>
      <c r="M244" s="14">
        <f t="shared" si="32"/>
        <v>1378.1</v>
      </c>
      <c r="N244" s="14">
        <f t="shared" si="27"/>
        <v>0</v>
      </c>
      <c r="O244" s="11" t="s">
        <v>27</v>
      </c>
      <c r="P244" s="11" t="s">
        <v>27</v>
      </c>
      <c r="Q244" s="11"/>
      <c r="R244" s="11">
        <v>1</v>
      </c>
      <c r="S244" s="11" t="s">
        <v>28</v>
      </c>
      <c r="T244" s="16" t="s">
        <v>22</v>
      </c>
    </row>
    <row r="245" spans="1:20" x14ac:dyDescent="0.3">
      <c r="A245" s="10">
        <v>45809</v>
      </c>
      <c r="B245" s="11">
        <v>123835</v>
      </c>
      <c r="C245" s="11" t="s">
        <v>22</v>
      </c>
      <c r="D245" s="11" t="s">
        <v>651</v>
      </c>
      <c r="E245" s="11" t="s">
        <v>24</v>
      </c>
      <c r="F245" s="11" t="s">
        <v>554</v>
      </c>
      <c r="G245" s="12">
        <v>176</v>
      </c>
      <c r="H245" s="13">
        <v>200</v>
      </c>
      <c r="I245" s="14">
        <f t="shared" si="34"/>
        <v>35200</v>
      </c>
      <c r="J245" s="15">
        <v>7.0000000000000007E-2</v>
      </c>
      <c r="K245" s="15">
        <v>0</v>
      </c>
      <c r="L245" s="14" t="s">
        <v>46</v>
      </c>
      <c r="M245" s="14">
        <f t="shared" si="32"/>
        <v>2464.0000000000005</v>
      </c>
      <c r="N245" s="14">
        <f t="shared" si="27"/>
        <v>0</v>
      </c>
      <c r="O245" s="11" t="s">
        <v>27</v>
      </c>
      <c r="P245" s="11" t="s">
        <v>27</v>
      </c>
      <c r="Q245" s="11"/>
      <c r="R245" s="11">
        <v>1</v>
      </c>
      <c r="S245" s="11" t="s">
        <v>28</v>
      </c>
      <c r="T245" s="16" t="s">
        <v>22</v>
      </c>
    </row>
    <row r="246" spans="1:20" x14ac:dyDescent="0.3">
      <c r="A246" s="10">
        <v>45809</v>
      </c>
      <c r="B246" s="11">
        <v>123835</v>
      </c>
      <c r="C246" s="11" t="s">
        <v>22</v>
      </c>
      <c r="D246" s="11" t="s">
        <v>651</v>
      </c>
      <c r="E246" s="11" t="s">
        <v>63</v>
      </c>
      <c r="F246" s="11" t="s">
        <v>30</v>
      </c>
      <c r="G246" s="12">
        <v>10</v>
      </c>
      <c r="H246" s="13">
        <v>98</v>
      </c>
      <c r="I246" s="14">
        <f t="shared" si="34"/>
        <v>980</v>
      </c>
      <c r="J246" s="15">
        <v>1</v>
      </c>
      <c r="K246" s="15">
        <v>0</v>
      </c>
      <c r="L246" s="14" t="s">
        <v>46</v>
      </c>
      <c r="M246" s="14">
        <f t="shared" si="32"/>
        <v>980</v>
      </c>
      <c r="N246" s="14">
        <f t="shared" ref="N246:N309" si="35">I246*K246</f>
        <v>0</v>
      </c>
      <c r="O246" s="11" t="s">
        <v>27</v>
      </c>
      <c r="P246" s="11" t="s">
        <v>27</v>
      </c>
      <c r="Q246" s="11"/>
      <c r="R246" s="11">
        <v>1</v>
      </c>
      <c r="S246" s="11" t="s">
        <v>28</v>
      </c>
      <c r="T246" s="16" t="s">
        <v>22</v>
      </c>
    </row>
    <row r="247" spans="1:20" x14ac:dyDescent="0.3">
      <c r="A247" s="10">
        <v>45809</v>
      </c>
      <c r="B247" s="11">
        <v>123835</v>
      </c>
      <c r="C247" s="11" t="s">
        <v>22</v>
      </c>
      <c r="D247" s="11" t="s">
        <v>651</v>
      </c>
      <c r="E247" s="11" t="s">
        <v>24</v>
      </c>
      <c r="F247" s="11" t="s">
        <v>554</v>
      </c>
      <c r="G247" s="12">
        <v>24</v>
      </c>
      <c r="H247" s="13">
        <v>200</v>
      </c>
      <c r="I247" s="14">
        <f t="shared" si="34"/>
        <v>4800</v>
      </c>
      <c r="J247" s="15">
        <v>7.0000000000000007E-2</v>
      </c>
      <c r="K247" s="15">
        <v>0</v>
      </c>
      <c r="L247" s="14" t="s">
        <v>46</v>
      </c>
      <c r="M247" s="14">
        <f t="shared" si="32"/>
        <v>336.00000000000006</v>
      </c>
      <c r="N247" s="14">
        <f t="shared" si="35"/>
        <v>0</v>
      </c>
      <c r="O247" s="11" t="s">
        <v>27</v>
      </c>
      <c r="P247" s="11" t="s">
        <v>27</v>
      </c>
      <c r="Q247" s="11"/>
      <c r="R247" s="11">
        <v>1</v>
      </c>
      <c r="S247" s="11" t="s">
        <v>28</v>
      </c>
      <c r="T247" s="16" t="s">
        <v>22</v>
      </c>
    </row>
    <row r="248" spans="1:20" x14ac:dyDescent="0.3">
      <c r="A248" s="10">
        <v>45809</v>
      </c>
      <c r="B248" s="11">
        <v>123936</v>
      </c>
      <c r="C248" s="11" t="s">
        <v>22</v>
      </c>
      <c r="D248" s="11" t="s">
        <v>652</v>
      </c>
      <c r="E248" s="11" t="s">
        <v>52</v>
      </c>
      <c r="F248" s="11" t="s">
        <v>41</v>
      </c>
      <c r="G248" s="12">
        <v>1</v>
      </c>
      <c r="H248" s="13">
        <v>11000</v>
      </c>
      <c r="I248" s="14">
        <f t="shared" si="34"/>
        <v>11000</v>
      </c>
      <c r="J248" s="15">
        <v>7.0000000000000007E-2</v>
      </c>
      <c r="K248" s="15">
        <v>0</v>
      </c>
      <c r="L248" s="14" t="s">
        <v>46</v>
      </c>
      <c r="M248" s="14">
        <f t="shared" si="32"/>
        <v>770.00000000000011</v>
      </c>
      <c r="N248" s="14">
        <f t="shared" si="35"/>
        <v>0</v>
      </c>
      <c r="O248" s="11" t="s">
        <v>27</v>
      </c>
      <c r="P248" s="11" t="s">
        <v>27</v>
      </c>
      <c r="Q248" s="11"/>
      <c r="R248" s="11">
        <v>6</v>
      </c>
      <c r="S248" s="11" t="s">
        <v>28</v>
      </c>
      <c r="T248" s="16" t="s">
        <v>22</v>
      </c>
    </row>
    <row r="249" spans="1:20" x14ac:dyDescent="0.3">
      <c r="A249" s="10">
        <v>45809</v>
      </c>
      <c r="B249" s="11">
        <v>123936</v>
      </c>
      <c r="C249" s="11" t="s">
        <v>22</v>
      </c>
      <c r="D249" s="11" t="s">
        <v>652</v>
      </c>
      <c r="E249" s="11" t="s">
        <v>52</v>
      </c>
      <c r="F249" s="11" t="s">
        <v>30</v>
      </c>
      <c r="G249" s="12">
        <v>1</v>
      </c>
      <c r="H249" s="13">
        <v>2100</v>
      </c>
      <c r="I249" s="14">
        <f t="shared" si="34"/>
        <v>2100</v>
      </c>
      <c r="J249" s="15">
        <v>1</v>
      </c>
      <c r="K249" s="15">
        <v>0</v>
      </c>
      <c r="L249" s="14" t="s">
        <v>46</v>
      </c>
      <c r="M249" s="14">
        <f t="shared" si="32"/>
        <v>2100</v>
      </c>
      <c r="N249" s="14">
        <f t="shared" si="35"/>
        <v>0</v>
      </c>
      <c r="O249" s="11" t="s">
        <v>27</v>
      </c>
      <c r="P249" s="11" t="s">
        <v>27</v>
      </c>
      <c r="Q249" s="11"/>
      <c r="R249" s="11">
        <v>1</v>
      </c>
      <c r="S249" s="11" t="s">
        <v>28</v>
      </c>
      <c r="T249" s="16" t="s">
        <v>22</v>
      </c>
    </row>
    <row r="250" spans="1:20" x14ac:dyDescent="0.3">
      <c r="A250" s="10">
        <v>45809</v>
      </c>
      <c r="B250" s="11">
        <v>123935</v>
      </c>
      <c r="C250" s="11" t="s">
        <v>22</v>
      </c>
      <c r="D250" s="11" t="s">
        <v>652</v>
      </c>
      <c r="E250" s="11" t="s">
        <v>69</v>
      </c>
      <c r="F250" s="11" t="s">
        <v>41</v>
      </c>
      <c r="G250" s="12">
        <v>1</v>
      </c>
      <c r="H250" s="13">
        <v>16000</v>
      </c>
      <c r="I250" s="14">
        <f t="shared" si="34"/>
        <v>16000</v>
      </c>
      <c r="J250" s="15">
        <v>7.0000000000000007E-2</v>
      </c>
      <c r="K250" s="15">
        <v>0</v>
      </c>
      <c r="L250" s="14" t="s">
        <v>46</v>
      </c>
      <c r="M250" s="14">
        <f t="shared" si="32"/>
        <v>1120</v>
      </c>
      <c r="N250" s="14">
        <f t="shared" si="35"/>
        <v>0</v>
      </c>
      <c r="O250" s="11" t="s">
        <v>27</v>
      </c>
      <c r="P250" s="11" t="s">
        <v>27</v>
      </c>
      <c r="Q250" s="11"/>
      <c r="R250" s="11">
        <v>6</v>
      </c>
      <c r="S250" s="11" t="s">
        <v>28</v>
      </c>
      <c r="T250" s="16" t="s">
        <v>22</v>
      </c>
    </row>
    <row r="251" spans="1:20" x14ac:dyDescent="0.3">
      <c r="A251" s="10">
        <v>45809</v>
      </c>
      <c r="B251" s="11">
        <v>123935</v>
      </c>
      <c r="C251" s="11" t="s">
        <v>22</v>
      </c>
      <c r="D251" s="11" t="s">
        <v>652</v>
      </c>
      <c r="E251" s="11" t="s">
        <v>69</v>
      </c>
      <c r="F251" s="11" t="s">
        <v>30</v>
      </c>
      <c r="G251" s="12">
        <v>1</v>
      </c>
      <c r="H251" s="13">
        <v>3400</v>
      </c>
      <c r="I251" s="14">
        <f t="shared" si="34"/>
        <v>3400</v>
      </c>
      <c r="J251" s="15">
        <v>1</v>
      </c>
      <c r="K251" s="15">
        <v>0</v>
      </c>
      <c r="L251" s="14" t="s">
        <v>46</v>
      </c>
      <c r="M251" s="14">
        <f t="shared" si="32"/>
        <v>3400</v>
      </c>
      <c r="N251" s="14">
        <f t="shared" si="35"/>
        <v>0</v>
      </c>
      <c r="O251" s="11" t="s">
        <v>27</v>
      </c>
      <c r="P251" s="11" t="s">
        <v>27</v>
      </c>
      <c r="Q251" s="11"/>
      <c r="R251" s="11">
        <v>1</v>
      </c>
      <c r="S251" s="11" t="s">
        <v>28</v>
      </c>
      <c r="T251" s="16" t="s">
        <v>22</v>
      </c>
    </row>
    <row r="252" spans="1:20" x14ac:dyDescent="0.3">
      <c r="A252" s="10">
        <v>45809</v>
      </c>
      <c r="B252" s="11">
        <v>123934</v>
      </c>
      <c r="C252" s="11" t="s">
        <v>22</v>
      </c>
      <c r="D252" s="11" t="s">
        <v>652</v>
      </c>
      <c r="E252" s="11" t="s">
        <v>63</v>
      </c>
      <c r="F252" s="11" t="s">
        <v>554</v>
      </c>
      <c r="G252" s="12">
        <v>24</v>
      </c>
      <c r="H252" s="13">
        <v>178</v>
      </c>
      <c r="I252" s="14">
        <f t="shared" si="34"/>
        <v>4272</v>
      </c>
      <c r="J252" s="15">
        <v>7.0000000000000007E-2</v>
      </c>
      <c r="K252" s="15">
        <v>0</v>
      </c>
      <c r="L252" s="14" t="s">
        <v>46</v>
      </c>
      <c r="M252" s="14">
        <f t="shared" si="32"/>
        <v>299.04000000000002</v>
      </c>
      <c r="N252" s="14">
        <f t="shared" si="35"/>
        <v>0</v>
      </c>
      <c r="O252" s="11" t="s">
        <v>27</v>
      </c>
      <c r="P252" s="11" t="s">
        <v>27</v>
      </c>
      <c r="Q252" s="11"/>
      <c r="R252" s="11">
        <v>6</v>
      </c>
      <c r="S252" s="11" t="s">
        <v>28</v>
      </c>
      <c r="T252" s="16" t="s">
        <v>22</v>
      </c>
    </row>
    <row r="253" spans="1:20" x14ac:dyDescent="0.3">
      <c r="A253" s="10">
        <v>45809</v>
      </c>
      <c r="B253" s="11">
        <v>123934</v>
      </c>
      <c r="C253" s="11" t="s">
        <v>22</v>
      </c>
      <c r="D253" s="11" t="s">
        <v>652</v>
      </c>
      <c r="E253" s="11" t="s">
        <v>63</v>
      </c>
      <c r="F253" s="11" t="s">
        <v>30</v>
      </c>
      <c r="G253" s="12">
        <v>30</v>
      </c>
      <c r="H253" s="13">
        <v>69.599999999999994</v>
      </c>
      <c r="I253" s="14">
        <f t="shared" si="34"/>
        <v>2088</v>
      </c>
      <c r="J253" s="15">
        <v>1</v>
      </c>
      <c r="K253" s="15">
        <v>0</v>
      </c>
      <c r="L253" s="14" t="s">
        <v>46</v>
      </c>
      <c r="M253" s="14">
        <f t="shared" si="32"/>
        <v>2088</v>
      </c>
      <c r="N253" s="14">
        <f t="shared" si="35"/>
        <v>0</v>
      </c>
      <c r="O253" s="11" t="s">
        <v>27</v>
      </c>
      <c r="P253" s="11" t="s">
        <v>27</v>
      </c>
      <c r="Q253" s="11"/>
      <c r="R253" s="11">
        <v>1</v>
      </c>
      <c r="S253" s="11" t="s">
        <v>28</v>
      </c>
      <c r="T253" s="16" t="s">
        <v>22</v>
      </c>
    </row>
    <row r="254" spans="1:20" x14ac:dyDescent="0.3">
      <c r="A254" s="10">
        <v>45809</v>
      </c>
      <c r="B254" s="11">
        <v>123934</v>
      </c>
      <c r="C254" s="11" t="s">
        <v>22</v>
      </c>
      <c r="D254" s="11" t="s">
        <v>652</v>
      </c>
      <c r="E254" s="11" t="s">
        <v>47</v>
      </c>
      <c r="F254" s="11" t="s">
        <v>554</v>
      </c>
      <c r="G254" s="12">
        <v>612</v>
      </c>
      <c r="H254" s="13">
        <v>178</v>
      </c>
      <c r="I254" s="14">
        <f t="shared" si="34"/>
        <v>108936</v>
      </c>
      <c r="J254" s="15">
        <v>7.0000000000000007E-2</v>
      </c>
      <c r="K254" s="15">
        <v>0</v>
      </c>
      <c r="L254" s="14" t="s">
        <v>46</v>
      </c>
      <c r="M254" s="14">
        <f t="shared" si="32"/>
        <v>7625.52</v>
      </c>
      <c r="N254" s="14">
        <f t="shared" si="35"/>
        <v>0</v>
      </c>
      <c r="O254" s="11" t="s">
        <v>27</v>
      </c>
      <c r="P254" s="11" t="s">
        <v>27</v>
      </c>
      <c r="Q254" s="11"/>
      <c r="R254" s="11">
        <v>6</v>
      </c>
      <c r="S254" s="11" t="s">
        <v>28</v>
      </c>
      <c r="T254" s="16" t="s">
        <v>22</v>
      </c>
    </row>
    <row r="255" spans="1:20" x14ac:dyDescent="0.3">
      <c r="A255" s="10">
        <v>45809</v>
      </c>
      <c r="B255" s="11">
        <v>123934</v>
      </c>
      <c r="C255" s="11" t="s">
        <v>22</v>
      </c>
      <c r="D255" s="11" t="s">
        <v>652</v>
      </c>
      <c r="E255" s="11" t="s">
        <v>47</v>
      </c>
      <c r="F255" s="11" t="s">
        <v>30</v>
      </c>
      <c r="G255" s="12">
        <v>26</v>
      </c>
      <c r="H255" s="13">
        <v>216</v>
      </c>
      <c r="I255" s="14">
        <f t="shared" si="34"/>
        <v>5616</v>
      </c>
      <c r="J255" s="15">
        <v>1</v>
      </c>
      <c r="K255" s="15">
        <v>0</v>
      </c>
      <c r="L255" s="14" t="s">
        <v>46</v>
      </c>
      <c r="M255" s="14">
        <f t="shared" si="32"/>
        <v>5616</v>
      </c>
      <c r="N255" s="14">
        <f t="shared" si="35"/>
        <v>0</v>
      </c>
      <c r="O255" s="11" t="s">
        <v>27</v>
      </c>
      <c r="P255" s="11" t="s">
        <v>27</v>
      </c>
      <c r="Q255" s="11"/>
      <c r="R255" s="11">
        <v>1</v>
      </c>
      <c r="S255" s="11" t="s">
        <v>28</v>
      </c>
      <c r="T255" s="16" t="s">
        <v>22</v>
      </c>
    </row>
    <row r="256" spans="1:20" x14ac:dyDescent="0.3">
      <c r="A256" s="10">
        <v>45809</v>
      </c>
      <c r="B256" s="11">
        <v>123934</v>
      </c>
      <c r="C256" s="11" t="s">
        <v>22</v>
      </c>
      <c r="D256" s="11" t="s">
        <v>652</v>
      </c>
      <c r="E256" s="11" t="s">
        <v>145</v>
      </c>
      <c r="F256" s="11" t="s">
        <v>30</v>
      </c>
      <c r="G256" s="12">
        <v>1</v>
      </c>
      <c r="H256" s="13">
        <v>0</v>
      </c>
      <c r="I256" s="14">
        <f t="shared" si="34"/>
        <v>0</v>
      </c>
      <c r="J256" s="15">
        <v>1</v>
      </c>
      <c r="K256" s="15">
        <v>0</v>
      </c>
      <c r="L256" s="14" t="s">
        <v>46</v>
      </c>
      <c r="M256" s="14">
        <f t="shared" si="32"/>
        <v>0</v>
      </c>
      <c r="N256" s="14">
        <f t="shared" si="35"/>
        <v>0</v>
      </c>
      <c r="O256" s="11" t="s">
        <v>27</v>
      </c>
      <c r="P256" s="11" t="s">
        <v>27</v>
      </c>
      <c r="Q256" s="11"/>
      <c r="R256" s="11">
        <v>1</v>
      </c>
      <c r="S256" s="11" t="s">
        <v>28</v>
      </c>
      <c r="T256" s="16" t="s">
        <v>22</v>
      </c>
    </row>
    <row r="257" spans="1:20" x14ac:dyDescent="0.3">
      <c r="A257" s="10">
        <v>45809</v>
      </c>
      <c r="B257" s="11">
        <v>123934</v>
      </c>
      <c r="C257" s="11" t="s">
        <v>22</v>
      </c>
      <c r="D257" s="11" t="s">
        <v>652</v>
      </c>
      <c r="E257" s="11" t="s">
        <v>48</v>
      </c>
      <c r="F257" s="11" t="s">
        <v>30</v>
      </c>
      <c r="G257" s="12">
        <v>1</v>
      </c>
      <c r="H257" s="13">
        <v>0</v>
      </c>
      <c r="I257" s="14">
        <f t="shared" si="34"/>
        <v>0</v>
      </c>
      <c r="J257" s="15">
        <v>1</v>
      </c>
      <c r="K257" s="15">
        <v>0</v>
      </c>
      <c r="L257" s="14" t="s">
        <v>46</v>
      </c>
      <c r="M257" s="14">
        <f t="shared" si="32"/>
        <v>0</v>
      </c>
      <c r="N257" s="14">
        <f t="shared" si="35"/>
        <v>0</v>
      </c>
      <c r="O257" s="11" t="s">
        <v>27</v>
      </c>
      <c r="P257" s="11" t="s">
        <v>27</v>
      </c>
      <c r="Q257" s="11"/>
      <c r="R257" s="11">
        <v>1</v>
      </c>
      <c r="S257" s="11" t="s">
        <v>28</v>
      </c>
      <c r="T257" s="16" t="s">
        <v>22</v>
      </c>
    </row>
    <row r="258" spans="1:20" x14ac:dyDescent="0.3">
      <c r="A258" s="10">
        <v>45809</v>
      </c>
      <c r="B258" s="11">
        <v>123934</v>
      </c>
      <c r="C258" s="11" t="s">
        <v>22</v>
      </c>
      <c r="D258" s="11" t="s">
        <v>652</v>
      </c>
      <c r="E258" s="11" t="s">
        <v>653</v>
      </c>
      <c r="F258" s="11" t="s">
        <v>30</v>
      </c>
      <c r="G258" s="12">
        <v>1</v>
      </c>
      <c r="H258" s="13">
        <v>0</v>
      </c>
      <c r="I258" s="14">
        <f t="shared" si="34"/>
        <v>0</v>
      </c>
      <c r="J258" s="15">
        <v>1</v>
      </c>
      <c r="K258" s="15">
        <v>0</v>
      </c>
      <c r="L258" s="14" t="s">
        <v>46</v>
      </c>
      <c r="M258" s="14">
        <f t="shared" ref="M258:M292" si="36">J258*I258</f>
        <v>0</v>
      </c>
      <c r="N258" s="14">
        <f t="shared" si="35"/>
        <v>0</v>
      </c>
      <c r="O258" s="11" t="s">
        <v>27</v>
      </c>
      <c r="P258" s="11" t="s">
        <v>27</v>
      </c>
      <c r="Q258" s="11"/>
      <c r="R258" s="11">
        <v>1</v>
      </c>
      <c r="S258" s="11" t="s">
        <v>28</v>
      </c>
      <c r="T258" s="16" t="s">
        <v>22</v>
      </c>
    </row>
    <row r="259" spans="1:20" x14ac:dyDescent="0.3">
      <c r="A259" s="10">
        <v>45809</v>
      </c>
      <c r="B259" s="11">
        <v>123934</v>
      </c>
      <c r="C259" s="11" t="s">
        <v>22</v>
      </c>
      <c r="D259" s="11" t="s">
        <v>652</v>
      </c>
      <c r="E259" s="11" t="s">
        <v>583</v>
      </c>
      <c r="F259" s="11" t="s">
        <v>30</v>
      </c>
      <c r="G259" s="12">
        <v>1</v>
      </c>
      <c r="H259" s="13">
        <v>0</v>
      </c>
      <c r="I259" s="14">
        <f t="shared" si="34"/>
        <v>0</v>
      </c>
      <c r="J259" s="15">
        <v>1</v>
      </c>
      <c r="K259" s="15">
        <v>0</v>
      </c>
      <c r="L259" s="14" t="s">
        <v>46</v>
      </c>
      <c r="M259" s="14">
        <f t="shared" si="36"/>
        <v>0</v>
      </c>
      <c r="N259" s="14">
        <f t="shared" si="35"/>
        <v>0</v>
      </c>
      <c r="O259" s="11" t="s">
        <v>27</v>
      </c>
      <c r="P259" s="11" t="s">
        <v>27</v>
      </c>
      <c r="Q259" s="11"/>
      <c r="R259" s="11">
        <v>1</v>
      </c>
      <c r="S259" s="11" t="s">
        <v>28</v>
      </c>
      <c r="T259" s="16" t="s">
        <v>22</v>
      </c>
    </row>
    <row r="260" spans="1:20" x14ac:dyDescent="0.3">
      <c r="A260" s="10">
        <v>45809</v>
      </c>
      <c r="B260" s="11">
        <v>123934</v>
      </c>
      <c r="C260" s="11" t="s">
        <v>22</v>
      </c>
      <c r="D260" s="11" t="s">
        <v>652</v>
      </c>
      <c r="E260" s="11" t="s">
        <v>348</v>
      </c>
      <c r="F260" s="11" t="s">
        <v>30</v>
      </c>
      <c r="G260" s="12">
        <v>1</v>
      </c>
      <c r="H260" s="13">
        <v>599.78</v>
      </c>
      <c r="I260" s="14">
        <f t="shared" si="34"/>
        <v>599.78</v>
      </c>
      <c r="J260" s="15">
        <v>1</v>
      </c>
      <c r="K260" s="15">
        <v>0</v>
      </c>
      <c r="L260" s="14" t="s">
        <v>46</v>
      </c>
      <c r="M260" s="14">
        <f t="shared" si="36"/>
        <v>599.78</v>
      </c>
      <c r="N260" s="14">
        <f t="shared" si="35"/>
        <v>0</v>
      </c>
      <c r="O260" s="11" t="s">
        <v>27</v>
      </c>
      <c r="P260" s="11" t="s">
        <v>27</v>
      </c>
      <c r="Q260" s="11"/>
      <c r="R260" s="11">
        <v>1</v>
      </c>
      <c r="S260" s="11" t="s">
        <v>28</v>
      </c>
      <c r="T260" s="16" t="s">
        <v>22</v>
      </c>
    </row>
    <row r="261" spans="1:20" x14ac:dyDescent="0.3">
      <c r="A261" s="10">
        <v>45809</v>
      </c>
      <c r="B261" s="11">
        <v>123934</v>
      </c>
      <c r="C261" s="11" t="s">
        <v>22</v>
      </c>
      <c r="D261" s="11" t="s">
        <v>652</v>
      </c>
      <c r="E261" s="11" t="s">
        <v>580</v>
      </c>
      <c r="F261" s="11" t="s">
        <v>30</v>
      </c>
      <c r="G261" s="12">
        <v>1</v>
      </c>
      <c r="H261" s="13">
        <v>620.14</v>
      </c>
      <c r="I261" s="14">
        <f t="shared" si="34"/>
        <v>620.14</v>
      </c>
      <c r="J261" s="15">
        <v>1</v>
      </c>
      <c r="K261" s="15">
        <v>0</v>
      </c>
      <c r="L261" s="14" t="s">
        <v>46</v>
      </c>
      <c r="M261" s="14">
        <f t="shared" si="36"/>
        <v>620.14</v>
      </c>
      <c r="N261" s="14">
        <f t="shared" si="35"/>
        <v>0</v>
      </c>
      <c r="O261" s="11" t="s">
        <v>27</v>
      </c>
      <c r="P261" s="11" t="s">
        <v>27</v>
      </c>
      <c r="Q261" s="11"/>
      <c r="R261" s="11">
        <v>1</v>
      </c>
      <c r="S261" s="11" t="s">
        <v>28</v>
      </c>
      <c r="T261" s="16" t="s">
        <v>22</v>
      </c>
    </row>
    <row r="262" spans="1:20" x14ac:dyDescent="0.3">
      <c r="A262" s="10">
        <v>45809</v>
      </c>
      <c r="B262" s="11">
        <v>123934</v>
      </c>
      <c r="C262" s="11" t="s">
        <v>22</v>
      </c>
      <c r="D262" s="11" t="s">
        <v>652</v>
      </c>
      <c r="E262" s="11" t="s">
        <v>144</v>
      </c>
      <c r="F262" s="11" t="s">
        <v>30</v>
      </c>
      <c r="G262" s="12">
        <v>1</v>
      </c>
      <c r="H262" s="13">
        <v>576.09</v>
      </c>
      <c r="I262" s="14">
        <f t="shared" si="34"/>
        <v>576.09</v>
      </c>
      <c r="J262" s="15">
        <v>1</v>
      </c>
      <c r="K262" s="15">
        <v>0</v>
      </c>
      <c r="L262" s="14" t="s">
        <v>46</v>
      </c>
      <c r="M262" s="14">
        <f t="shared" si="36"/>
        <v>576.09</v>
      </c>
      <c r="N262" s="14">
        <f t="shared" si="35"/>
        <v>0</v>
      </c>
      <c r="O262" s="11" t="s">
        <v>27</v>
      </c>
      <c r="P262" s="11" t="s">
        <v>27</v>
      </c>
      <c r="Q262" s="11"/>
      <c r="R262" s="11">
        <v>1</v>
      </c>
      <c r="S262" s="11" t="s">
        <v>28</v>
      </c>
      <c r="T262" s="16" t="s">
        <v>22</v>
      </c>
    </row>
    <row r="263" spans="1:20" x14ac:dyDescent="0.3">
      <c r="A263" s="10">
        <v>45809</v>
      </c>
      <c r="B263" s="11">
        <v>123755</v>
      </c>
      <c r="C263" s="11" t="s">
        <v>44</v>
      </c>
      <c r="D263" s="11" t="s">
        <v>654</v>
      </c>
      <c r="E263" s="11" t="s">
        <v>102</v>
      </c>
      <c r="F263" s="11" t="s">
        <v>41</v>
      </c>
      <c r="G263" s="12">
        <v>1</v>
      </c>
      <c r="H263" s="13">
        <v>1520</v>
      </c>
      <c r="I263" s="14">
        <f t="shared" si="34"/>
        <v>1520</v>
      </c>
      <c r="J263" s="15">
        <v>7.0000000000000007E-2</v>
      </c>
      <c r="K263" s="15">
        <f t="shared" ref="K263:K278" si="37">J263*0.25</f>
        <v>1.7500000000000002E-2</v>
      </c>
      <c r="L263" s="14" t="s">
        <v>46</v>
      </c>
      <c r="M263" s="14">
        <f t="shared" si="36"/>
        <v>106.4</v>
      </c>
      <c r="N263" s="14">
        <f t="shared" si="35"/>
        <v>26.6</v>
      </c>
      <c r="O263" s="11" t="s">
        <v>27</v>
      </c>
      <c r="P263" s="11" t="s">
        <v>27</v>
      </c>
      <c r="Q263" s="11"/>
      <c r="R263" s="11">
        <v>1</v>
      </c>
      <c r="S263" s="11" t="s">
        <v>28</v>
      </c>
      <c r="T263" s="16" t="s">
        <v>44</v>
      </c>
    </row>
    <row r="264" spans="1:20" x14ac:dyDescent="0.3">
      <c r="A264" s="10">
        <v>45809</v>
      </c>
      <c r="B264" s="11">
        <v>123755</v>
      </c>
      <c r="C264" s="11" t="s">
        <v>44</v>
      </c>
      <c r="D264" s="11" t="s">
        <v>654</v>
      </c>
      <c r="E264" s="11" t="s">
        <v>102</v>
      </c>
      <c r="F264" s="11" t="s">
        <v>30</v>
      </c>
      <c r="G264" s="12">
        <v>1</v>
      </c>
      <c r="H264" s="13">
        <v>1682.13</v>
      </c>
      <c r="I264" s="14">
        <f t="shared" si="34"/>
        <v>1682.13</v>
      </c>
      <c r="J264" s="15">
        <v>1</v>
      </c>
      <c r="K264" s="15">
        <f t="shared" si="37"/>
        <v>0.25</v>
      </c>
      <c r="L264" s="14" t="s">
        <v>46</v>
      </c>
      <c r="M264" s="14">
        <f t="shared" si="36"/>
        <v>1682.13</v>
      </c>
      <c r="N264" s="14">
        <f t="shared" si="35"/>
        <v>420.53250000000003</v>
      </c>
      <c r="O264" s="11" t="s">
        <v>27</v>
      </c>
      <c r="P264" s="11" t="s">
        <v>27</v>
      </c>
      <c r="Q264" s="11"/>
      <c r="R264" s="11">
        <v>1</v>
      </c>
      <c r="S264" s="11" t="s">
        <v>28</v>
      </c>
      <c r="T264" s="16" t="s">
        <v>44</v>
      </c>
    </row>
    <row r="265" spans="1:20" x14ac:dyDescent="0.3">
      <c r="A265" s="10">
        <v>45809</v>
      </c>
      <c r="B265" s="11">
        <v>123755</v>
      </c>
      <c r="C265" s="11" t="s">
        <v>44</v>
      </c>
      <c r="D265" s="11" t="s">
        <v>654</v>
      </c>
      <c r="E265" s="11" t="s">
        <v>102</v>
      </c>
      <c r="F265" s="11" t="s">
        <v>30</v>
      </c>
      <c r="G265" s="12">
        <v>1</v>
      </c>
      <c r="H265" s="13">
        <v>400</v>
      </c>
      <c r="I265" s="14">
        <f t="shared" si="34"/>
        <v>400</v>
      </c>
      <c r="J265" s="15">
        <v>1</v>
      </c>
      <c r="K265" s="15">
        <f t="shared" si="37"/>
        <v>0.25</v>
      </c>
      <c r="L265" s="14" t="s">
        <v>46</v>
      </c>
      <c r="M265" s="14">
        <f t="shared" si="36"/>
        <v>400</v>
      </c>
      <c r="N265" s="14">
        <f t="shared" si="35"/>
        <v>100</v>
      </c>
      <c r="O265" s="11" t="s">
        <v>27</v>
      </c>
      <c r="P265" s="11" t="s">
        <v>27</v>
      </c>
      <c r="Q265" s="11"/>
      <c r="R265" s="11">
        <v>1</v>
      </c>
      <c r="S265" s="11" t="s">
        <v>28</v>
      </c>
      <c r="T265" s="16" t="s">
        <v>44</v>
      </c>
    </row>
    <row r="266" spans="1:20" x14ac:dyDescent="0.3">
      <c r="A266" s="10">
        <v>45809</v>
      </c>
      <c r="B266" s="11">
        <v>123751</v>
      </c>
      <c r="C266" s="11" t="s">
        <v>44</v>
      </c>
      <c r="D266" s="11" t="s">
        <v>654</v>
      </c>
      <c r="E266" s="11" t="s">
        <v>47</v>
      </c>
      <c r="F266" s="11" t="s">
        <v>554</v>
      </c>
      <c r="G266" s="12">
        <v>162</v>
      </c>
      <c r="H266" s="13">
        <v>173.69</v>
      </c>
      <c r="I266" s="14">
        <f t="shared" si="34"/>
        <v>28137.78</v>
      </c>
      <c r="J266" s="15">
        <v>0.05</v>
      </c>
      <c r="K266" s="15">
        <f t="shared" si="37"/>
        <v>1.2500000000000001E-2</v>
      </c>
      <c r="L266" s="14" t="s">
        <v>46</v>
      </c>
      <c r="M266" s="14">
        <f t="shared" si="36"/>
        <v>1406.8890000000001</v>
      </c>
      <c r="N266" s="14">
        <f t="shared" si="35"/>
        <v>351.72225000000003</v>
      </c>
      <c r="O266" s="11" t="s">
        <v>27</v>
      </c>
      <c r="P266" s="11" t="s">
        <v>27</v>
      </c>
      <c r="Q266" s="11"/>
      <c r="R266" s="11">
        <v>1</v>
      </c>
      <c r="S266" s="11" t="s">
        <v>28</v>
      </c>
      <c r="T266" s="16" t="s">
        <v>44</v>
      </c>
    </row>
    <row r="267" spans="1:20" x14ac:dyDescent="0.3">
      <c r="A267" s="10">
        <v>45809</v>
      </c>
      <c r="B267" s="11">
        <v>123751</v>
      </c>
      <c r="C267" s="11" t="s">
        <v>44</v>
      </c>
      <c r="D267" s="11" t="s">
        <v>654</v>
      </c>
      <c r="E267" s="11" t="s">
        <v>47</v>
      </c>
      <c r="F267" s="11" t="s">
        <v>30</v>
      </c>
      <c r="G267" s="12">
        <v>5</v>
      </c>
      <c r="H267" s="13">
        <v>275.62</v>
      </c>
      <c r="I267" s="14">
        <f t="shared" si="34"/>
        <v>1378.1</v>
      </c>
      <c r="J267" s="15">
        <v>1</v>
      </c>
      <c r="K267" s="15">
        <f t="shared" si="37"/>
        <v>0.25</v>
      </c>
      <c r="L267" s="14" t="s">
        <v>46</v>
      </c>
      <c r="M267" s="14">
        <f t="shared" si="36"/>
        <v>1378.1</v>
      </c>
      <c r="N267" s="14">
        <f t="shared" si="35"/>
        <v>344.52499999999998</v>
      </c>
      <c r="O267" s="11" t="s">
        <v>27</v>
      </c>
      <c r="P267" s="11" t="s">
        <v>27</v>
      </c>
      <c r="Q267" s="11"/>
      <c r="R267" s="11">
        <v>1</v>
      </c>
      <c r="S267" s="11" t="s">
        <v>28</v>
      </c>
      <c r="T267" s="16" t="s">
        <v>44</v>
      </c>
    </row>
    <row r="268" spans="1:20" x14ac:dyDescent="0.3">
      <c r="A268" s="10">
        <v>45809</v>
      </c>
      <c r="B268" s="11">
        <v>123751</v>
      </c>
      <c r="C268" s="11" t="s">
        <v>44</v>
      </c>
      <c r="D268" s="11" t="s">
        <v>654</v>
      </c>
      <c r="E268" s="11" t="s">
        <v>63</v>
      </c>
      <c r="F268" s="11" t="s">
        <v>554</v>
      </c>
      <c r="G268" s="12">
        <v>24</v>
      </c>
      <c r="H268" s="13">
        <v>173.69</v>
      </c>
      <c r="I268" s="14">
        <f t="shared" si="34"/>
        <v>4168.5599999999995</v>
      </c>
      <c r="J268" s="15">
        <v>0.05</v>
      </c>
      <c r="K268" s="15">
        <f t="shared" si="37"/>
        <v>1.2500000000000001E-2</v>
      </c>
      <c r="L268" s="14" t="s">
        <v>46</v>
      </c>
      <c r="M268" s="14">
        <f t="shared" si="36"/>
        <v>208.428</v>
      </c>
      <c r="N268" s="14">
        <f t="shared" si="35"/>
        <v>52.106999999999999</v>
      </c>
      <c r="O268" s="11" t="s">
        <v>27</v>
      </c>
      <c r="P268" s="11" t="s">
        <v>27</v>
      </c>
      <c r="Q268" s="11"/>
      <c r="R268" s="11">
        <v>1</v>
      </c>
      <c r="S268" s="11" t="s">
        <v>28</v>
      </c>
      <c r="T268" s="16" t="s">
        <v>44</v>
      </c>
    </row>
    <row r="269" spans="1:20" x14ac:dyDescent="0.3">
      <c r="A269" s="10">
        <v>45809</v>
      </c>
      <c r="B269" s="11">
        <v>123751</v>
      </c>
      <c r="C269" s="11" t="s">
        <v>44</v>
      </c>
      <c r="D269" s="11" t="s">
        <v>654</v>
      </c>
      <c r="E269" s="11" t="s">
        <v>63</v>
      </c>
      <c r="F269" s="11" t="s">
        <v>30</v>
      </c>
      <c r="G269" s="12">
        <v>5</v>
      </c>
      <c r="H269" s="13">
        <v>78.5</v>
      </c>
      <c r="I269" s="14">
        <f t="shared" si="34"/>
        <v>392.5</v>
      </c>
      <c r="J269" s="15">
        <v>1</v>
      </c>
      <c r="K269" s="15">
        <f t="shared" si="37"/>
        <v>0.25</v>
      </c>
      <c r="L269" s="14" t="s">
        <v>46</v>
      </c>
      <c r="M269" s="14">
        <f t="shared" si="36"/>
        <v>392.5</v>
      </c>
      <c r="N269" s="14">
        <f t="shared" si="35"/>
        <v>98.125</v>
      </c>
      <c r="O269" s="11" t="s">
        <v>27</v>
      </c>
      <c r="P269" s="11" t="s">
        <v>27</v>
      </c>
      <c r="Q269" s="11"/>
      <c r="R269" s="11">
        <v>1</v>
      </c>
      <c r="S269" s="11" t="s">
        <v>28</v>
      </c>
      <c r="T269" s="16" t="s">
        <v>44</v>
      </c>
    </row>
    <row r="270" spans="1:20" x14ac:dyDescent="0.3">
      <c r="A270" s="10">
        <v>45810</v>
      </c>
      <c r="B270" s="11">
        <v>124056</v>
      </c>
      <c r="C270" s="11" t="s">
        <v>31</v>
      </c>
      <c r="D270" s="11" t="s">
        <v>625</v>
      </c>
      <c r="E270" s="11" t="s">
        <v>575</v>
      </c>
      <c r="F270" s="11" t="s">
        <v>30</v>
      </c>
      <c r="G270" s="12">
        <v>159</v>
      </c>
      <c r="H270" s="13">
        <v>15.84</v>
      </c>
      <c r="I270" s="14">
        <f t="shared" si="34"/>
        <v>2518.56</v>
      </c>
      <c r="J270" s="15">
        <v>1</v>
      </c>
      <c r="K270" s="15">
        <f t="shared" si="37"/>
        <v>0.25</v>
      </c>
      <c r="L270" s="14" t="s">
        <v>46</v>
      </c>
      <c r="M270" s="14">
        <f t="shared" si="36"/>
        <v>2518.56</v>
      </c>
      <c r="N270" s="14">
        <f t="shared" si="35"/>
        <v>629.64</v>
      </c>
      <c r="O270" s="11" t="s">
        <v>27</v>
      </c>
      <c r="P270" s="11" t="s">
        <v>27</v>
      </c>
      <c r="Q270" s="11"/>
      <c r="R270" s="11">
        <v>1</v>
      </c>
      <c r="S270" s="11" t="s">
        <v>28</v>
      </c>
      <c r="T270" s="16" t="s">
        <v>31</v>
      </c>
    </row>
    <row r="271" spans="1:20" x14ac:dyDescent="0.3">
      <c r="A271" s="10">
        <v>45810</v>
      </c>
      <c r="B271" s="11">
        <v>124056</v>
      </c>
      <c r="C271" s="11" t="s">
        <v>31</v>
      </c>
      <c r="D271" s="11" t="s">
        <v>625</v>
      </c>
      <c r="E271" s="11" t="s">
        <v>575</v>
      </c>
      <c r="F271" s="11" t="s">
        <v>30</v>
      </c>
      <c r="G271" s="12">
        <v>74</v>
      </c>
      <c r="H271" s="13">
        <v>9.9</v>
      </c>
      <c r="I271" s="14">
        <f t="shared" si="34"/>
        <v>732.6</v>
      </c>
      <c r="J271" s="15">
        <v>1</v>
      </c>
      <c r="K271" s="15">
        <f t="shared" si="37"/>
        <v>0.25</v>
      </c>
      <c r="L271" s="14" t="s">
        <v>46</v>
      </c>
      <c r="M271" s="14">
        <f t="shared" si="36"/>
        <v>732.6</v>
      </c>
      <c r="N271" s="14">
        <f t="shared" si="35"/>
        <v>183.15</v>
      </c>
      <c r="O271" s="11" t="s">
        <v>27</v>
      </c>
      <c r="P271" s="11" t="s">
        <v>27</v>
      </c>
      <c r="Q271" s="11"/>
      <c r="R271" s="11">
        <v>1</v>
      </c>
      <c r="S271" s="11" t="s">
        <v>28</v>
      </c>
      <c r="T271" s="16" t="s">
        <v>31</v>
      </c>
    </row>
    <row r="272" spans="1:20" x14ac:dyDescent="0.3">
      <c r="A272" s="10">
        <v>45813</v>
      </c>
      <c r="B272" s="11">
        <v>124731</v>
      </c>
      <c r="C272" s="11" t="s">
        <v>31</v>
      </c>
      <c r="D272" s="11" t="s">
        <v>655</v>
      </c>
      <c r="E272" s="11" t="s">
        <v>589</v>
      </c>
      <c r="F272" s="11" t="s">
        <v>554</v>
      </c>
      <c r="G272" s="12">
        <v>12</v>
      </c>
      <c r="H272" s="13">
        <v>166.66</v>
      </c>
      <c r="I272" s="14">
        <f t="shared" si="34"/>
        <v>1999.92</v>
      </c>
      <c r="J272" s="15">
        <v>4.0599999999999997E-2</v>
      </c>
      <c r="K272" s="15">
        <f t="shared" si="37"/>
        <v>1.0149999999999999E-2</v>
      </c>
      <c r="L272" s="14" t="s">
        <v>26</v>
      </c>
      <c r="M272" s="14">
        <f t="shared" si="36"/>
        <v>81.196752000000004</v>
      </c>
      <c r="N272" s="14">
        <f t="shared" si="35"/>
        <v>20.299188000000001</v>
      </c>
      <c r="O272" s="11" t="s">
        <v>27</v>
      </c>
      <c r="P272" s="11" t="s">
        <v>27</v>
      </c>
      <c r="Q272" s="11"/>
      <c r="R272" s="11">
        <v>1</v>
      </c>
      <c r="S272" s="11" t="s">
        <v>28</v>
      </c>
      <c r="T272" s="16" t="s">
        <v>31</v>
      </c>
    </row>
    <row r="273" spans="1:20" x14ac:dyDescent="0.3">
      <c r="A273" s="10">
        <v>45813</v>
      </c>
      <c r="B273" s="11">
        <v>97135</v>
      </c>
      <c r="C273" s="11" t="s">
        <v>31</v>
      </c>
      <c r="D273" s="11" t="s">
        <v>77</v>
      </c>
      <c r="E273" s="11" t="s">
        <v>24</v>
      </c>
      <c r="F273" s="11" t="s">
        <v>554</v>
      </c>
      <c r="G273" s="12">
        <v>20</v>
      </c>
      <c r="H273" s="13">
        <v>189</v>
      </c>
      <c r="I273" s="14">
        <f t="shared" ref="I273:I292" si="38">G273*H273</f>
        <v>3780</v>
      </c>
      <c r="J273" s="15">
        <v>7.0000000000000007E-2</v>
      </c>
      <c r="K273" s="15">
        <f t="shared" si="37"/>
        <v>1.7500000000000002E-2</v>
      </c>
      <c r="L273" s="14" t="s">
        <v>26</v>
      </c>
      <c r="M273" s="14">
        <f t="shared" si="36"/>
        <v>264.60000000000002</v>
      </c>
      <c r="N273" s="14">
        <f t="shared" si="35"/>
        <v>66.150000000000006</v>
      </c>
      <c r="O273" s="11" t="s">
        <v>597</v>
      </c>
      <c r="P273" s="11" t="s">
        <v>597</v>
      </c>
      <c r="Q273" s="11"/>
      <c r="R273" s="11">
        <v>2</v>
      </c>
      <c r="S273" s="11" t="s">
        <v>597</v>
      </c>
      <c r="T273" s="16" t="s">
        <v>31</v>
      </c>
    </row>
    <row r="274" spans="1:20" x14ac:dyDescent="0.3">
      <c r="A274" s="10">
        <v>45813</v>
      </c>
      <c r="B274" s="11">
        <v>124686</v>
      </c>
      <c r="C274" s="11" t="s">
        <v>31</v>
      </c>
      <c r="D274" s="11" t="s">
        <v>656</v>
      </c>
      <c r="E274" s="11" t="s">
        <v>145</v>
      </c>
      <c r="F274" s="11" t="s">
        <v>30</v>
      </c>
      <c r="G274" s="12">
        <v>1</v>
      </c>
      <c r="H274" s="13">
        <v>320.76</v>
      </c>
      <c r="I274" s="14">
        <f t="shared" si="38"/>
        <v>320.76</v>
      </c>
      <c r="J274" s="15">
        <v>1</v>
      </c>
      <c r="K274" s="15">
        <f t="shared" si="37"/>
        <v>0.25</v>
      </c>
      <c r="L274" s="14" t="s">
        <v>26</v>
      </c>
      <c r="M274" s="14">
        <f t="shared" si="36"/>
        <v>320.76</v>
      </c>
      <c r="N274" s="14">
        <f t="shared" si="35"/>
        <v>80.19</v>
      </c>
      <c r="O274" s="11" t="s">
        <v>27</v>
      </c>
      <c r="P274" s="11" t="s">
        <v>27</v>
      </c>
      <c r="Q274" s="11"/>
      <c r="R274" s="11">
        <v>1</v>
      </c>
      <c r="S274" s="11" t="s">
        <v>28</v>
      </c>
      <c r="T274" s="16" t="s">
        <v>31</v>
      </c>
    </row>
    <row r="275" spans="1:20" x14ac:dyDescent="0.3">
      <c r="A275" s="10">
        <v>45813</v>
      </c>
      <c r="B275" s="11">
        <v>124686</v>
      </c>
      <c r="C275" s="11" t="s">
        <v>31</v>
      </c>
      <c r="D275" s="11" t="s">
        <v>656</v>
      </c>
      <c r="E275" s="11" t="s">
        <v>24</v>
      </c>
      <c r="F275" s="11" t="s">
        <v>554</v>
      </c>
      <c r="G275" s="12">
        <v>4</v>
      </c>
      <c r="H275" s="13">
        <v>178.5</v>
      </c>
      <c r="I275" s="14">
        <f t="shared" si="38"/>
        <v>714</v>
      </c>
      <c r="J275" s="15">
        <v>6.7900000000000002E-2</v>
      </c>
      <c r="K275" s="15">
        <f t="shared" si="37"/>
        <v>1.6975000000000001E-2</v>
      </c>
      <c r="L275" s="14" t="s">
        <v>26</v>
      </c>
      <c r="M275" s="14">
        <f t="shared" si="36"/>
        <v>48.480600000000003</v>
      </c>
      <c r="N275" s="14">
        <f t="shared" si="35"/>
        <v>12.120150000000001</v>
      </c>
      <c r="O275" s="11" t="s">
        <v>27</v>
      </c>
      <c r="P275" s="11" t="s">
        <v>27</v>
      </c>
      <c r="Q275" s="11"/>
      <c r="R275" s="11">
        <v>1</v>
      </c>
      <c r="S275" s="11" t="s">
        <v>28</v>
      </c>
      <c r="T275" s="16" t="s">
        <v>31</v>
      </c>
    </row>
    <row r="276" spans="1:20" x14ac:dyDescent="0.3">
      <c r="A276" s="10">
        <v>45813</v>
      </c>
      <c r="B276" s="11">
        <v>123775</v>
      </c>
      <c r="C276" s="11" t="s">
        <v>31</v>
      </c>
      <c r="D276" s="11" t="s">
        <v>657</v>
      </c>
      <c r="E276" s="11" t="s">
        <v>24</v>
      </c>
      <c r="F276" s="11" t="s">
        <v>554</v>
      </c>
      <c r="G276" s="12">
        <v>10</v>
      </c>
      <c r="H276" s="13">
        <v>176</v>
      </c>
      <c r="I276" s="14">
        <f t="shared" si="38"/>
        <v>1760</v>
      </c>
      <c r="J276" s="15">
        <v>0.01</v>
      </c>
      <c r="K276" s="15">
        <f t="shared" si="37"/>
        <v>2.5000000000000001E-3</v>
      </c>
      <c r="L276" s="14" t="s">
        <v>26</v>
      </c>
      <c r="M276" s="14">
        <f t="shared" si="36"/>
        <v>17.600000000000001</v>
      </c>
      <c r="N276" s="14">
        <f t="shared" si="35"/>
        <v>4.4000000000000004</v>
      </c>
      <c r="O276" s="11" t="s">
        <v>27</v>
      </c>
      <c r="P276" s="11" t="s">
        <v>27</v>
      </c>
      <c r="Q276" s="11"/>
      <c r="R276" s="11">
        <v>3</v>
      </c>
      <c r="S276" s="11" t="s">
        <v>597</v>
      </c>
      <c r="T276" s="16" t="s">
        <v>31</v>
      </c>
    </row>
    <row r="277" spans="1:20" x14ac:dyDescent="0.3">
      <c r="A277" s="10">
        <v>45813</v>
      </c>
      <c r="B277" s="11">
        <v>124630</v>
      </c>
      <c r="C277" s="11" t="s">
        <v>31</v>
      </c>
      <c r="D277" s="11" t="s">
        <v>658</v>
      </c>
      <c r="E277" s="11" t="s">
        <v>24</v>
      </c>
      <c r="F277" s="11" t="s">
        <v>554</v>
      </c>
      <c r="G277" s="12">
        <v>2</v>
      </c>
      <c r="H277" s="13">
        <v>148.52000000000001</v>
      </c>
      <c r="I277" s="14">
        <f t="shared" si="38"/>
        <v>297.04000000000002</v>
      </c>
      <c r="J277" s="15">
        <v>6.6900000000000001E-2</v>
      </c>
      <c r="K277" s="15">
        <f t="shared" si="37"/>
        <v>1.6725E-2</v>
      </c>
      <c r="L277" s="14" t="s">
        <v>26</v>
      </c>
      <c r="M277" s="14">
        <f t="shared" si="36"/>
        <v>19.871976</v>
      </c>
      <c r="N277" s="14">
        <f t="shared" si="35"/>
        <v>4.967994</v>
      </c>
      <c r="O277" s="11" t="s">
        <v>27</v>
      </c>
      <c r="P277" s="11" t="s">
        <v>27</v>
      </c>
      <c r="Q277" s="11"/>
      <c r="R277" s="11">
        <v>6</v>
      </c>
      <c r="S277" s="11" t="s">
        <v>597</v>
      </c>
      <c r="T277" s="16" t="s">
        <v>31</v>
      </c>
    </row>
    <row r="278" spans="1:20" x14ac:dyDescent="0.3">
      <c r="A278" s="10">
        <v>45814</v>
      </c>
      <c r="B278" s="11">
        <v>124832</v>
      </c>
      <c r="C278" s="11" t="s">
        <v>31</v>
      </c>
      <c r="D278" s="11" t="s">
        <v>613</v>
      </c>
      <c r="E278" s="11" t="s">
        <v>24</v>
      </c>
      <c r="F278" s="11" t="s">
        <v>554</v>
      </c>
      <c r="G278" s="12">
        <v>9</v>
      </c>
      <c r="H278" s="13">
        <v>189</v>
      </c>
      <c r="I278" s="14">
        <f t="shared" si="38"/>
        <v>1701</v>
      </c>
      <c r="J278" s="15">
        <v>7.0000000000000007E-2</v>
      </c>
      <c r="K278" s="15">
        <f t="shared" si="37"/>
        <v>1.7500000000000002E-2</v>
      </c>
      <c r="L278" s="14" t="s">
        <v>26</v>
      </c>
      <c r="M278" s="14">
        <f t="shared" si="36"/>
        <v>119.07000000000001</v>
      </c>
      <c r="N278" s="14">
        <f t="shared" si="35"/>
        <v>29.767500000000002</v>
      </c>
      <c r="O278" s="11" t="s">
        <v>597</v>
      </c>
      <c r="P278" s="11" t="s">
        <v>597</v>
      </c>
      <c r="Q278" s="11"/>
      <c r="R278" s="11">
        <v>3</v>
      </c>
      <c r="S278" s="11" t="s">
        <v>597</v>
      </c>
      <c r="T278" s="16" t="s">
        <v>31</v>
      </c>
    </row>
    <row r="279" spans="1:20" x14ac:dyDescent="0.3">
      <c r="A279" s="10">
        <v>45814</v>
      </c>
      <c r="B279" s="11">
        <v>93140</v>
      </c>
      <c r="C279" s="11" t="s">
        <v>22</v>
      </c>
      <c r="D279" s="11" t="s">
        <v>621</v>
      </c>
      <c r="E279" s="11" t="s">
        <v>578</v>
      </c>
      <c r="F279" s="11" t="s">
        <v>41</v>
      </c>
      <c r="G279" s="12">
        <v>1</v>
      </c>
      <c r="H279" s="13">
        <v>2068</v>
      </c>
      <c r="I279" s="14">
        <f t="shared" si="38"/>
        <v>2068</v>
      </c>
      <c r="J279" s="15">
        <v>5.2499999999999998E-2</v>
      </c>
      <c r="K279" s="15">
        <v>0</v>
      </c>
      <c r="L279" s="14" t="s">
        <v>26</v>
      </c>
      <c r="M279" s="14">
        <f t="shared" si="36"/>
        <v>108.57</v>
      </c>
      <c r="N279" s="14">
        <f t="shared" si="35"/>
        <v>0</v>
      </c>
      <c r="O279" s="11" t="s">
        <v>597</v>
      </c>
      <c r="P279" s="11" t="s">
        <v>597</v>
      </c>
      <c r="Q279" s="11"/>
      <c r="R279" s="11">
        <v>6</v>
      </c>
      <c r="S279" s="11" t="s">
        <v>597</v>
      </c>
      <c r="T279" s="16" t="s">
        <v>22</v>
      </c>
    </row>
    <row r="280" spans="1:20" x14ac:dyDescent="0.3">
      <c r="A280" s="10">
        <v>45814</v>
      </c>
      <c r="B280" s="11">
        <v>93140</v>
      </c>
      <c r="C280" s="11" t="s">
        <v>22</v>
      </c>
      <c r="D280" s="11" t="s">
        <v>621</v>
      </c>
      <c r="E280" s="11" t="s">
        <v>578</v>
      </c>
      <c r="F280" s="11" t="s">
        <v>30</v>
      </c>
      <c r="G280" s="12">
        <v>1</v>
      </c>
      <c r="H280" s="13">
        <v>262.35000000000002</v>
      </c>
      <c r="I280" s="14">
        <f t="shared" si="38"/>
        <v>262.35000000000002</v>
      </c>
      <c r="J280" s="15">
        <v>0.75</v>
      </c>
      <c r="K280" s="15">
        <v>0</v>
      </c>
      <c r="L280" s="14" t="s">
        <v>26</v>
      </c>
      <c r="M280" s="14">
        <f t="shared" si="36"/>
        <v>196.76250000000002</v>
      </c>
      <c r="N280" s="14">
        <f t="shared" si="35"/>
        <v>0</v>
      </c>
      <c r="O280" s="11" t="s">
        <v>597</v>
      </c>
      <c r="P280" s="11" t="s">
        <v>597</v>
      </c>
      <c r="Q280" s="11"/>
      <c r="R280" s="11">
        <v>1</v>
      </c>
      <c r="S280" s="11" t="s">
        <v>597</v>
      </c>
      <c r="T280" s="16" t="s">
        <v>22</v>
      </c>
    </row>
    <row r="281" spans="1:20" x14ac:dyDescent="0.3">
      <c r="A281" s="10">
        <v>45818</v>
      </c>
      <c r="B281" s="11">
        <v>123317</v>
      </c>
      <c r="C281" s="11" t="s">
        <v>31</v>
      </c>
      <c r="D281" s="11" t="s">
        <v>65</v>
      </c>
      <c r="E281" s="11" t="s">
        <v>35</v>
      </c>
      <c r="F281" s="11" t="s">
        <v>35</v>
      </c>
      <c r="G281" s="12">
        <v>72</v>
      </c>
      <c r="H281" s="13">
        <v>176</v>
      </c>
      <c r="I281" s="14">
        <f t="shared" si="38"/>
        <v>12672</v>
      </c>
      <c r="J281" s="15">
        <v>0.01</v>
      </c>
      <c r="K281" s="15">
        <f>J281*0.25</f>
        <v>2.5000000000000001E-3</v>
      </c>
      <c r="L281" s="14" t="s">
        <v>26</v>
      </c>
      <c r="M281" s="14">
        <f t="shared" si="36"/>
        <v>126.72</v>
      </c>
      <c r="N281" s="14">
        <f t="shared" si="35"/>
        <v>31.68</v>
      </c>
      <c r="O281" s="11" t="s">
        <v>597</v>
      </c>
      <c r="P281" s="11" t="s">
        <v>597</v>
      </c>
      <c r="Q281" s="11"/>
      <c r="R281" s="11">
        <v>3</v>
      </c>
      <c r="S281" s="11" t="s">
        <v>597</v>
      </c>
      <c r="T281" s="16" t="s">
        <v>31</v>
      </c>
    </row>
    <row r="282" spans="1:20" x14ac:dyDescent="0.3">
      <c r="A282" s="10">
        <v>45819</v>
      </c>
      <c r="B282" s="11">
        <v>125122</v>
      </c>
      <c r="C282" s="11" t="s">
        <v>22</v>
      </c>
      <c r="D282" s="11" t="s">
        <v>621</v>
      </c>
      <c r="E282" s="11" t="s">
        <v>24</v>
      </c>
      <c r="F282" s="11" t="s">
        <v>554</v>
      </c>
      <c r="G282" s="12">
        <v>16</v>
      </c>
      <c r="H282" s="13">
        <v>180</v>
      </c>
      <c r="I282" s="14">
        <f t="shared" si="38"/>
        <v>2880</v>
      </c>
      <c r="J282" s="15">
        <v>7.0000000000000007E-2</v>
      </c>
      <c r="K282" s="15">
        <v>0</v>
      </c>
      <c r="L282" s="14" t="s">
        <v>26</v>
      </c>
      <c r="M282" s="14">
        <f t="shared" si="36"/>
        <v>201.60000000000002</v>
      </c>
      <c r="N282" s="14">
        <f t="shared" si="35"/>
        <v>0</v>
      </c>
      <c r="O282" s="11" t="s">
        <v>27</v>
      </c>
      <c r="P282" s="11" t="s">
        <v>27</v>
      </c>
      <c r="Q282" s="11"/>
      <c r="R282" s="11">
        <v>3</v>
      </c>
      <c r="S282" s="11" t="s">
        <v>28</v>
      </c>
      <c r="T282" s="16" t="s">
        <v>22</v>
      </c>
    </row>
    <row r="283" spans="1:20" x14ac:dyDescent="0.3">
      <c r="A283" s="10">
        <v>45824</v>
      </c>
      <c r="B283" s="11">
        <v>105949</v>
      </c>
      <c r="C283" s="11" t="s">
        <v>44</v>
      </c>
      <c r="D283" s="11" t="s">
        <v>649</v>
      </c>
      <c r="E283" s="11" t="s">
        <v>653</v>
      </c>
      <c r="F283" s="11" t="s">
        <v>30</v>
      </c>
      <c r="G283" s="12">
        <v>1</v>
      </c>
      <c r="H283" s="13">
        <v>178.2</v>
      </c>
      <c r="I283" s="14">
        <f t="shared" si="38"/>
        <v>178.2</v>
      </c>
      <c r="J283" s="15">
        <v>0</v>
      </c>
      <c r="K283" s="15">
        <v>0</v>
      </c>
      <c r="L283" s="14" t="s">
        <v>26</v>
      </c>
      <c r="M283" s="14">
        <f t="shared" si="36"/>
        <v>0</v>
      </c>
      <c r="N283" s="14">
        <f t="shared" si="35"/>
        <v>0</v>
      </c>
      <c r="O283" s="11" t="s">
        <v>27</v>
      </c>
      <c r="P283" s="11" t="s">
        <v>27</v>
      </c>
      <c r="Q283" s="11"/>
      <c r="R283" s="11">
        <v>1</v>
      </c>
      <c r="S283" s="11" t="s">
        <v>28</v>
      </c>
      <c r="T283" s="16" t="s">
        <v>44</v>
      </c>
    </row>
    <row r="284" spans="1:20" x14ac:dyDescent="0.3">
      <c r="A284" s="10">
        <v>45831</v>
      </c>
      <c r="B284" s="11">
        <v>124942</v>
      </c>
      <c r="C284" s="11" t="s">
        <v>31</v>
      </c>
      <c r="D284" s="11" t="s">
        <v>620</v>
      </c>
      <c r="E284" s="11" t="s">
        <v>35</v>
      </c>
      <c r="F284" s="11" t="s">
        <v>35</v>
      </c>
      <c r="G284" s="12">
        <v>8</v>
      </c>
      <c r="H284" s="13">
        <v>176</v>
      </c>
      <c r="I284" s="14">
        <f t="shared" si="38"/>
        <v>1408</v>
      </c>
      <c r="J284" s="15">
        <v>0.01</v>
      </c>
      <c r="K284" s="15">
        <f>J284*0.25</f>
        <v>2.5000000000000001E-3</v>
      </c>
      <c r="L284" s="14" t="s">
        <v>26</v>
      </c>
      <c r="M284" s="14">
        <f t="shared" si="36"/>
        <v>14.08</v>
      </c>
      <c r="N284" s="14">
        <f t="shared" si="35"/>
        <v>3.52</v>
      </c>
      <c r="O284" s="11" t="s">
        <v>597</v>
      </c>
      <c r="P284" s="11" t="s">
        <v>597</v>
      </c>
      <c r="Q284" s="11"/>
      <c r="R284" s="11">
        <v>3</v>
      </c>
      <c r="S284" s="11" t="s">
        <v>597</v>
      </c>
      <c r="T284" s="16" t="s">
        <v>31</v>
      </c>
    </row>
    <row r="285" spans="1:20" x14ac:dyDescent="0.3">
      <c r="A285" s="10">
        <v>45832</v>
      </c>
      <c r="B285" s="11">
        <v>125596</v>
      </c>
      <c r="C285" s="11" t="s">
        <v>22</v>
      </c>
      <c r="D285" s="11" t="s">
        <v>67</v>
      </c>
      <c r="E285" s="11" t="s">
        <v>47</v>
      </c>
      <c r="F285" s="11" t="s">
        <v>554</v>
      </c>
      <c r="G285" s="12">
        <v>120</v>
      </c>
      <c r="H285" s="13">
        <v>180</v>
      </c>
      <c r="I285" s="14">
        <f t="shared" si="38"/>
        <v>21600</v>
      </c>
      <c r="J285" s="15">
        <v>7.0000000000000007E-2</v>
      </c>
      <c r="K285" s="15">
        <v>0</v>
      </c>
      <c r="L285" s="14" t="s">
        <v>46</v>
      </c>
      <c r="M285" s="14">
        <f t="shared" si="36"/>
        <v>1512.0000000000002</v>
      </c>
      <c r="N285" s="14">
        <f t="shared" si="35"/>
        <v>0</v>
      </c>
      <c r="O285" s="11" t="s">
        <v>27</v>
      </c>
      <c r="P285" s="11" t="s">
        <v>27</v>
      </c>
      <c r="Q285" s="11"/>
      <c r="R285" s="11">
        <v>6</v>
      </c>
      <c r="S285" s="11" t="s">
        <v>28</v>
      </c>
      <c r="T285" s="16" t="s">
        <v>22</v>
      </c>
    </row>
    <row r="286" spans="1:20" x14ac:dyDescent="0.3">
      <c r="A286" s="10">
        <v>45832</v>
      </c>
      <c r="B286" s="11">
        <v>125596</v>
      </c>
      <c r="C286" s="11" t="s">
        <v>22</v>
      </c>
      <c r="D286" s="11" t="s">
        <v>67</v>
      </c>
      <c r="E286" s="11" t="s">
        <v>47</v>
      </c>
      <c r="F286" s="11" t="s">
        <v>30</v>
      </c>
      <c r="G286" s="12">
        <v>6</v>
      </c>
      <c r="H286" s="13">
        <v>275.62</v>
      </c>
      <c r="I286" s="14">
        <f t="shared" si="38"/>
        <v>1653.72</v>
      </c>
      <c r="J286" s="15">
        <v>1</v>
      </c>
      <c r="K286" s="15">
        <v>0</v>
      </c>
      <c r="L286" s="14" t="s">
        <v>46</v>
      </c>
      <c r="M286" s="14">
        <f t="shared" si="36"/>
        <v>1653.72</v>
      </c>
      <c r="N286" s="14">
        <f t="shared" si="35"/>
        <v>0</v>
      </c>
      <c r="O286" s="11" t="s">
        <v>27</v>
      </c>
      <c r="P286" s="11" t="s">
        <v>27</v>
      </c>
      <c r="Q286" s="11"/>
      <c r="R286" s="11">
        <v>1</v>
      </c>
      <c r="S286" s="11" t="s">
        <v>28</v>
      </c>
      <c r="T286" s="16" t="s">
        <v>22</v>
      </c>
    </row>
    <row r="287" spans="1:20" x14ac:dyDescent="0.3">
      <c r="A287" s="10">
        <v>45832</v>
      </c>
      <c r="B287" s="11">
        <v>125596</v>
      </c>
      <c r="C287" s="11" t="s">
        <v>22</v>
      </c>
      <c r="D287" s="11" t="s">
        <v>67</v>
      </c>
      <c r="E287" s="11" t="s">
        <v>48</v>
      </c>
      <c r="F287" s="11" t="s">
        <v>30</v>
      </c>
      <c r="G287" s="12">
        <v>1</v>
      </c>
      <c r="H287" s="13">
        <v>356.4</v>
      </c>
      <c r="I287" s="14">
        <f t="shared" si="38"/>
        <v>356.4</v>
      </c>
      <c r="J287" s="15">
        <v>1</v>
      </c>
      <c r="K287" s="15">
        <v>0</v>
      </c>
      <c r="L287" s="14" t="s">
        <v>46</v>
      </c>
      <c r="M287" s="14">
        <f t="shared" si="36"/>
        <v>356.4</v>
      </c>
      <c r="N287" s="14">
        <f t="shared" si="35"/>
        <v>0</v>
      </c>
      <c r="O287" s="11" t="s">
        <v>27</v>
      </c>
      <c r="P287" s="11" t="s">
        <v>27</v>
      </c>
      <c r="Q287" s="11"/>
      <c r="R287" s="11">
        <v>1</v>
      </c>
      <c r="S287" s="11" t="s">
        <v>28</v>
      </c>
      <c r="T287" s="16" t="s">
        <v>22</v>
      </c>
    </row>
    <row r="288" spans="1:20" x14ac:dyDescent="0.3">
      <c r="A288" s="10">
        <v>45832</v>
      </c>
      <c r="B288" s="11">
        <v>113688</v>
      </c>
      <c r="C288" s="11" t="s">
        <v>31</v>
      </c>
      <c r="D288" s="11" t="s">
        <v>659</v>
      </c>
      <c r="E288" s="11" t="s">
        <v>24</v>
      </c>
      <c r="F288" s="11" t="s">
        <v>554</v>
      </c>
      <c r="G288" s="12">
        <v>7</v>
      </c>
      <c r="H288" s="13">
        <v>166.66</v>
      </c>
      <c r="I288" s="14">
        <f t="shared" si="38"/>
        <v>1166.6199999999999</v>
      </c>
      <c r="J288" s="15">
        <v>3.32E-2</v>
      </c>
      <c r="K288" s="15">
        <f>J288*0.25</f>
        <v>8.3000000000000001E-3</v>
      </c>
      <c r="L288" s="14" t="s">
        <v>46</v>
      </c>
      <c r="M288" s="14">
        <f t="shared" si="36"/>
        <v>38.731783999999998</v>
      </c>
      <c r="N288" s="14">
        <f t="shared" si="35"/>
        <v>9.6829459999999994</v>
      </c>
      <c r="O288" s="11" t="s">
        <v>597</v>
      </c>
      <c r="P288" s="11" t="s">
        <v>597</v>
      </c>
      <c r="Q288" s="11"/>
      <c r="R288" s="11">
        <v>6</v>
      </c>
      <c r="S288" s="11" t="s">
        <v>597</v>
      </c>
      <c r="T288" s="16" t="s">
        <v>31</v>
      </c>
    </row>
    <row r="289" spans="1:20" x14ac:dyDescent="0.3">
      <c r="A289" s="10">
        <v>45832</v>
      </c>
      <c r="B289" s="11">
        <v>119299</v>
      </c>
      <c r="C289" s="11" t="s">
        <v>31</v>
      </c>
      <c r="D289" s="11" t="s">
        <v>660</v>
      </c>
      <c r="E289" s="11" t="s">
        <v>24</v>
      </c>
      <c r="F289" s="11" t="s">
        <v>554</v>
      </c>
      <c r="G289" s="12">
        <v>10</v>
      </c>
      <c r="H289" s="13">
        <v>210</v>
      </c>
      <c r="I289" s="14">
        <f t="shared" si="38"/>
        <v>2100</v>
      </c>
      <c r="J289" s="15">
        <v>7.0000000000000007E-2</v>
      </c>
      <c r="K289" s="15">
        <f>J289*0.25</f>
        <v>1.7500000000000002E-2</v>
      </c>
      <c r="L289" s="14" t="s">
        <v>46</v>
      </c>
      <c r="M289" s="14">
        <f t="shared" si="36"/>
        <v>147</v>
      </c>
      <c r="N289" s="14">
        <f t="shared" si="35"/>
        <v>36.75</v>
      </c>
      <c r="O289" s="11" t="s">
        <v>597</v>
      </c>
      <c r="P289" s="11" t="s">
        <v>597</v>
      </c>
      <c r="Q289" s="11"/>
      <c r="R289" s="11">
        <v>6</v>
      </c>
      <c r="S289" s="11" t="s">
        <v>597</v>
      </c>
      <c r="T289" s="16" t="s">
        <v>31</v>
      </c>
    </row>
    <row r="290" spans="1:20" x14ac:dyDescent="0.3">
      <c r="A290" s="10">
        <v>45833</v>
      </c>
      <c r="B290" s="11">
        <v>105949</v>
      </c>
      <c r="C290" s="11" t="s">
        <v>44</v>
      </c>
      <c r="D290" s="11" t="s">
        <v>649</v>
      </c>
      <c r="E290" s="11" t="s">
        <v>63</v>
      </c>
      <c r="F290" s="11" t="s">
        <v>30</v>
      </c>
      <c r="G290" s="12">
        <v>7</v>
      </c>
      <c r="H290" s="13">
        <v>78.41</v>
      </c>
      <c r="I290" s="14">
        <f t="shared" si="38"/>
        <v>548.87</v>
      </c>
      <c r="J290" s="15">
        <v>1</v>
      </c>
      <c r="K290" s="15">
        <f>J290*0.25</f>
        <v>0.25</v>
      </c>
      <c r="L290" s="14" t="s">
        <v>46</v>
      </c>
      <c r="M290" s="14">
        <f t="shared" si="36"/>
        <v>548.87</v>
      </c>
      <c r="N290" s="14">
        <f t="shared" si="35"/>
        <v>137.2175</v>
      </c>
      <c r="O290" s="11" t="s">
        <v>597</v>
      </c>
      <c r="P290" s="11" t="s">
        <v>597</v>
      </c>
      <c r="Q290" s="11"/>
      <c r="R290" s="11">
        <v>1</v>
      </c>
      <c r="S290" s="11" t="s">
        <v>597</v>
      </c>
      <c r="T290" s="16" t="s">
        <v>44</v>
      </c>
    </row>
    <row r="291" spans="1:20" x14ac:dyDescent="0.3">
      <c r="A291" s="18">
        <v>45835</v>
      </c>
      <c r="B291" s="11">
        <v>97135</v>
      </c>
      <c r="C291" s="11" t="s">
        <v>22</v>
      </c>
      <c r="D291" s="11" t="s">
        <v>77</v>
      </c>
      <c r="E291" s="11" t="s">
        <v>24</v>
      </c>
      <c r="F291" s="11" t="s">
        <v>554</v>
      </c>
      <c r="G291" s="12">
        <v>16.5</v>
      </c>
      <c r="H291" s="13">
        <v>180</v>
      </c>
      <c r="I291" s="14">
        <f t="shared" si="38"/>
        <v>2970</v>
      </c>
      <c r="J291" s="15">
        <v>7.0000000000000007E-2</v>
      </c>
      <c r="K291" s="15">
        <v>0</v>
      </c>
      <c r="L291" s="14" t="s">
        <v>26</v>
      </c>
      <c r="M291" s="14">
        <f t="shared" si="36"/>
        <v>207.9</v>
      </c>
      <c r="N291" s="14">
        <f t="shared" si="35"/>
        <v>0</v>
      </c>
      <c r="O291" s="11" t="s">
        <v>597</v>
      </c>
      <c r="P291" s="11" t="s">
        <v>597</v>
      </c>
      <c r="Q291" s="11"/>
      <c r="R291" s="11">
        <v>8</v>
      </c>
      <c r="S291" s="11" t="s">
        <v>597</v>
      </c>
      <c r="T291" s="16" t="s">
        <v>22</v>
      </c>
    </row>
    <row r="292" spans="1:20" x14ac:dyDescent="0.3">
      <c r="A292" s="10">
        <v>45839</v>
      </c>
      <c r="B292" s="11">
        <v>124762</v>
      </c>
      <c r="C292" s="11" t="s">
        <v>31</v>
      </c>
      <c r="D292" s="11" t="s">
        <v>661</v>
      </c>
      <c r="E292" s="11" t="s">
        <v>35</v>
      </c>
      <c r="F292" s="11" t="s">
        <v>35</v>
      </c>
      <c r="G292" s="12">
        <v>32</v>
      </c>
      <c r="H292" s="13">
        <v>149.6</v>
      </c>
      <c r="I292" s="14">
        <f t="shared" si="38"/>
        <v>4787.2</v>
      </c>
      <c r="J292" s="15">
        <v>6.8999999999999999E-3</v>
      </c>
      <c r="K292" s="15">
        <f>J292*0.25</f>
        <v>1.725E-3</v>
      </c>
      <c r="L292" s="14" t="s">
        <v>46</v>
      </c>
      <c r="M292" s="14">
        <f t="shared" si="36"/>
        <v>33.031680000000001</v>
      </c>
      <c r="N292" s="14">
        <f t="shared" si="35"/>
        <v>8.2579200000000004</v>
      </c>
      <c r="O292" s="11" t="s">
        <v>597</v>
      </c>
      <c r="P292" s="11" t="s">
        <v>597</v>
      </c>
      <c r="Q292" s="11"/>
      <c r="R292" s="11">
        <v>3</v>
      </c>
      <c r="S292" s="11" t="s">
        <v>597</v>
      </c>
      <c r="T292" s="16" t="s">
        <v>31</v>
      </c>
    </row>
    <row r="293" spans="1:20" x14ac:dyDescent="0.3">
      <c r="A293" s="10">
        <v>45854</v>
      </c>
      <c r="B293" s="11">
        <v>126563</v>
      </c>
      <c r="C293" s="11" t="s">
        <v>22</v>
      </c>
      <c r="D293" s="11" t="s">
        <v>662</v>
      </c>
      <c r="E293" s="11" t="s">
        <v>578</v>
      </c>
      <c r="F293" s="11" t="s">
        <v>41</v>
      </c>
      <c r="G293" s="12">
        <v>1</v>
      </c>
      <c r="H293" s="13">
        <v>10975</v>
      </c>
      <c r="I293" s="14">
        <f>Vendas2025[[#This Row],[VlrUnitário]]</f>
        <v>10975</v>
      </c>
      <c r="J293" s="15">
        <v>7.0000000000000007E-2</v>
      </c>
      <c r="K293" s="15">
        <v>0</v>
      </c>
      <c r="L293" s="14" t="s">
        <v>46</v>
      </c>
      <c r="M293" s="14">
        <f>J293*4390</f>
        <v>307.3</v>
      </c>
      <c r="N293" s="14">
        <f t="shared" si="35"/>
        <v>0</v>
      </c>
      <c r="O293" s="11" t="s">
        <v>27</v>
      </c>
      <c r="P293" s="11" t="s">
        <v>27</v>
      </c>
      <c r="Q293" s="11"/>
      <c r="R293" s="11">
        <v>6</v>
      </c>
      <c r="S293" s="11" t="s">
        <v>28</v>
      </c>
      <c r="T293" s="16" t="s">
        <v>22</v>
      </c>
    </row>
    <row r="294" spans="1:20" x14ac:dyDescent="0.3">
      <c r="A294" s="10">
        <v>45854</v>
      </c>
      <c r="B294" s="11">
        <v>126563</v>
      </c>
      <c r="C294" s="11" t="s">
        <v>22</v>
      </c>
      <c r="D294" s="11" t="s">
        <v>662</v>
      </c>
      <c r="E294" s="11" t="s">
        <v>578</v>
      </c>
      <c r="F294" s="11" t="s">
        <v>30</v>
      </c>
      <c r="G294" s="12">
        <v>6</v>
      </c>
      <c r="H294" s="13">
        <v>280</v>
      </c>
      <c r="I294" s="14">
        <f t="shared" ref="I294:I325" si="39">G294*H294</f>
        <v>1680</v>
      </c>
      <c r="J294" s="15">
        <v>1</v>
      </c>
      <c r="K294" s="15">
        <v>0</v>
      </c>
      <c r="L294" s="14" t="s">
        <v>46</v>
      </c>
      <c r="M294" s="14">
        <f>(J294*0.3669)*I294</f>
        <v>616.39200000000005</v>
      </c>
      <c r="N294" s="14">
        <f t="shared" si="35"/>
        <v>0</v>
      </c>
      <c r="O294" s="11" t="s">
        <v>27</v>
      </c>
      <c r="P294" s="11" t="s">
        <v>27</v>
      </c>
      <c r="Q294" s="11"/>
      <c r="R294" s="11">
        <v>1</v>
      </c>
      <c r="S294" s="11" t="s">
        <v>28</v>
      </c>
      <c r="T294" s="16" t="s">
        <v>22</v>
      </c>
    </row>
    <row r="295" spans="1:20" x14ac:dyDescent="0.3">
      <c r="A295" s="10">
        <v>45854</v>
      </c>
      <c r="B295" s="11">
        <v>126563</v>
      </c>
      <c r="C295" s="11" t="s">
        <v>22</v>
      </c>
      <c r="D295" s="11" t="s">
        <v>662</v>
      </c>
      <c r="E295" s="11" t="s">
        <v>582</v>
      </c>
      <c r="F295" s="11" t="s">
        <v>30</v>
      </c>
      <c r="G295" s="12">
        <v>2</v>
      </c>
      <c r="H295" s="13">
        <v>170</v>
      </c>
      <c r="I295" s="14">
        <f t="shared" si="39"/>
        <v>340</v>
      </c>
      <c r="J295" s="15">
        <v>1</v>
      </c>
      <c r="K295" s="15">
        <v>0</v>
      </c>
      <c r="L295" s="14" t="s">
        <v>46</v>
      </c>
      <c r="M295" s="14">
        <f>(J295*0.3669)*I295</f>
        <v>124.746</v>
      </c>
      <c r="N295" s="14">
        <f t="shared" si="35"/>
        <v>0</v>
      </c>
      <c r="O295" s="11" t="s">
        <v>27</v>
      </c>
      <c r="P295" s="11" t="s">
        <v>27</v>
      </c>
      <c r="Q295" s="11"/>
      <c r="R295" s="11">
        <v>1</v>
      </c>
      <c r="S295" s="11" t="s">
        <v>28</v>
      </c>
      <c r="T295" s="16" t="s">
        <v>22</v>
      </c>
    </row>
    <row r="296" spans="1:20" x14ac:dyDescent="0.3">
      <c r="A296" s="10">
        <v>45854</v>
      </c>
      <c r="B296" s="11">
        <v>126563</v>
      </c>
      <c r="C296" s="11" t="s">
        <v>22</v>
      </c>
      <c r="D296" s="11" t="s">
        <v>662</v>
      </c>
      <c r="E296" s="11" t="s">
        <v>577</v>
      </c>
      <c r="F296" s="11" t="s">
        <v>30</v>
      </c>
      <c r="G296" s="12">
        <v>15</v>
      </c>
      <c r="H296" s="13">
        <v>120</v>
      </c>
      <c r="I296" s="14">
        <f t="shared" si="39"/>
        <v>1800</v>
      </c>
      <c r="J296" s="15">
        <v>1</v>
      </c>
      <c r="K296" s="15">
        <v>0</v>
      </c>
      <c r="L296" s="14" t="s">
        <v>46</v>
      </c>
      <c r="M296" s="14">
        <f>(J296*0.3669)*I296</f>
        <v>660.42</v>
      </c>
      <c r="N296" s="14">
        <f t="shared" si="35"/>
        <v>0</v>
      </c>
      <c r="O296" s="11" t="s">
        <v>27</v>
      </c>
      <c r="P296" s="11" t="s">
        <v>27</v>
      </c>
      <c r="Q296" s="11"/>
      <c r="R296" s="11">
        <v>1</v>
      </c>
      <c r="S296" s="11" t="s">
        <v>28</v>
      </c>
      <c r="T296" s="16" t="s">
        <v>22</v>
      </c>
    </row>
    <row r="297" spans="1:20" x14ac:dyDescent="0.3">
      <c r="A297" s="10">
        <v>45854</v>
      </c>
      <c r="B297" s="11">
        <v>126563</v>
      </c>
      <c r="C297" s="11" t="s">
        <v>22</v>
      </c>
      <c r="D297" s="11" t="s">
        <v>662</v>
      </c>
      <c r="E297" s="11" t="s">
        <v>47</v>
      </c>
      <c r="F297" s="11" t="s">
        <v>554</v>
      </c>
      <c r="G297" s="12">
        <v>284</v>
      </c>
      <c r="H297" s="13">
        <v>190</v>
      </c>
      <c r="I297" s="14">
        <f t="shared" si="39"/>
        <v>53960</v>
      </c>
      <c r="J297" s="15">
        <v>7.0000000000000007E-2</v>
      </c>
      <c r="K297" s="15">
        <v>0</v>
      </c>
      <c r="L297" s="14" t="s">
        <v>46</v>
      </c>
      <c r="M297" s="14">
        <f t="shared" ref="M297:M328" si="40">J297*I297</f>
        <v>3777.2000000000003</v>
      </c>
      <c r="N297" s="14">
        <f t="shared" si="35"/>
        <v>0</v>
      </c>
      <c r="O297" s="11" t="s">
        <v>27</v>
      </c>
      <c r="P297" s="11" t="s">
        <v>27</v>
      </c>
      <c r="Q297" s="11"/>
      <c r="R297" s="11">
        <v>6</v>
      </c>
      <c r="S297" s="11" t="s">
        <v>28</v>
      </c>
      <c r="T297" s="16" t="s">
        <v>22</v>
      </c>
    </row>
    <row r="298" spans="1:20" x14ac:dyDescent="0.3">
      <c r="A298" s="10">
        <v>45854</v>
      </c>
      <c r="B298" s="11" t="s">
        <v>663</v>
      </c>
      <c r="C298" s="11" t="s">
        <v>22</v>
      </c>
      <c r="D298" s="11" t="s">
        <v>662</v>
      </c>
      <c r="E298" s="11" t="s">
        <v>47</v>
      </c>
      <c r="F298" s="11" t="s">
        <v>554</v>
      </c>
      <c r="G298" s="12">
        <v>56</v>
      </c>
      <c r="H298" s="13">
        <v>95</v>
      </c>
      <c r="I298" s="14">
        <f t="shared" si="39"/>
        <v>5320</v>
      </c>
      <c r="J298" s="15">
        <v>7.0000000000000007E-2</v>
      </c>
      <c r="K298" s="15">
        <v>0</v>
      </c>
      <c r="L298" s="14" t="s">
        <v>46</v>
      </c>
      <c r="M298" s="14">
        <f t="shared" si="40"/>
        <v>372.40000000000003</v>
      </c>
      <c r="N298" s="14">
        <f t="shared" si="35"/>
        <v>0</v>
      </c>
      <c r="O298" s="11" t="s">
        <v>27</v>
      </c>
      <c r="P298" s="11" t="s">
        <v>27</v>
      </c>
      <c r="Q298" s="11"/>
      <c r="R298" s="11">
        <v>6</v>
      </c>
      <c r="S298" s="11" t="s">
        <v>28</v>
      </c>
      <c r="T298" s="16" t="s">
        <v>22</v>
      </c>
    </row>
    <row r="299" spans="1:20" x14ac:dyDescent="0.3">
      <c r="A299" s="10">
        <v>45854</v>
      </c>
      <c r="B299" s="11">
        <v>126564</v>
      </c>
      <c r="C299" s="11" t="s">
        <v>22</v>
      </c>
      <c r="D299" s="11" t="s">
        <v>662</v>
      </c>
      <c r="E299" s="11" t="s">
        <v>52</v>
      </c>
      <c r="F299" s="11" t="s">
        <v>41</v>
      </c>
      <c r="G299" s="12">
        <v>1</v>
      </c>
      <c r="H299" s="13">
        <v>16000</v>
      </c>
      <c r="I299" s="14">
        <f t="shared" si="39"/>
        <v>16000</v>
      </c>
      <c r="J299" s="15">
        <v>7.0000000000000007E-2</v>
      </c>
      <c r="K299" s="15">
        <v>0</v>
      </c>
      <c r="L299" s="14" t="s">
        <v>46</v>
      </c>
      <c r="M299" s="14">
        <f t="shared" si="40"/>
        <v>1120</v>
      </c>
      <c r="N299" s="14">
        <f t="shared" si="35"/>
        <v>0</v>
      </c>
      <c r="O299" s="11" t="s">
        <v>27</v>
      </c>
      <c r="P299" s="11" t="s">
        <v>27</v>
      </c>
      <c r="Q299" s="11"/>
      <c r="R299" s="11">
        <v>6</v>
      </c>
      <c r="S299" s="11" t="s">
        <v>28</v>
      </c>
      <c r="T299" s="16" t="s">
        <v>22</v>
      </c>
    </row>
    <row r="300" spans="1:20" x14ac:dyDescent="0.3">
      <c r="A300" s="10">
        <v>45854</v>
      </c>
      <c r="B300" s="11">
        <v>126563</v>
      </c>
      <c r="C300" s="11" t="s">
        <v>22</v>
      </c>
      <c r="D300" s="11" t="s">
        <v>662</v>
      </c>
      <c r="E300" s="11" t="s">
        <v>47</v>
      </c>
      <c r="F300" s="11" t="s">
        <v>30</v>
      </c>
      <c r="G300" s="12">
        <v>22</v>
      </c>
      <c r="H300" s="13">
        <v>216</v>
      </c>
      <c r="I300" s="14">
        <f t="shared" si="39"/>
        <v>4752</v>
      </c>
      <c r="J300" s="15">
        <v>1</v>
      </c>
      <c r="K300" s="15">
        <v>0</v>
      </c>
      <c r="L300" s="14" t="s">
        <v>46</v>
      </c>
      <c r="M300" s="14">
        <f t="shared" si="40"/>
        <v>4752</v>
      </c>
      <c r="N300" s="14">
        <f t="shared" si="35"/>
        <v>0</v>
      </c>
      <c r="O300" s="11" t="s">
        <v>27</v>
      </c>
      <c r="P300" s="11" t="s">
        <v>27</v>
      </c>
      <c r="Q300" s="11"/>
      <c r="R300" s="11">
        <v>1</v>
      </c>
      <c r="S300" s="11" t="s">
        <v>28</v>
      </c>
      <c r="T300" s="16" t="s">
        <v>22</v>
      </c>
    </row>
    <row r="301" spans="1:20" x14ac:dyDescent="0.3">
      <c r="A301" s="10">
        <v>45854</v>
      </c>
      <c r="B301" s="11">
        <v>126563</v>
      </c>
      <c r="C301" s="11" t="s">
        <v>22</v>
      </c>
      <c r="D301" s="11" t="s">
        <v>662</v>
      </c>
      <c r="E301" s="11" t="s">
        <v>89</v>
      </c>
      <c r="F301" s="11" t="s">
        <v>30</v>
      </c>
      <c r="G301" s="12">
        <v>1</v>
      </c>
      <c r="H301" s="13">
        <v>228</v>
      </c>
      <c r="I301" s="14">
        <f t="shared" si="39"/>
        <v>228</v>
      </c>
      <c r="J301" s="15">
        <v>1</v>
      </c>
      <c r="K301" s="15">
        <v>0</v>
      </c>
      <c r="L301" s="14" t="s">
        <v>46</v>
      </c>
      <c r="M301" s="14">
        <f t="shared" si="40"/>
        <v>228</v>
      </c>
      <c r="N301" s="14">
        <f t="shared" si="35"/>
        <v>0</v>
      </c>
      <c r="O301" s="11" t="s">
        <v>27</v>
      </c>
      <c r="P301" s="11" t="s">
        <v>27</v>
      </c>
      <c r="Q301" s="11"/>
      <c r="R301" s="11">
        <v>1</v>
      </c>
      <c r="S301" s="11" t="s">
        <v>28</v>
      </c>
      <c r="T301" s="16" t="s">
        <v>22</v>
      </c>
    </row>
    <row r="302" spans="1:20" x14ac:dyDescent="0.3">
      <c r="A302" s="10">
        <v>45854</v>
      </c>
      <c r="B302" s="11">
        <v>126564</v>
      </c>
      <c r="C302" s="11" t="s">
        <v>22</v>
      </c>
      <c r="D302" s="11" t="s">
        <v>662</v>
      </c>
      <c r="E302" s="11" t="s">
        <v>52</v>
      </c>
      <c r="F302" s="11" t="s">
        <v>30</v>
      </c>
      <c r="G302" s="12">
        <v>1</v>
      </c>
      <c r="H302" s="13">
        <v>1200</v>
      </c>
      <c r="I302" s="14">
        <f t="shared" si="39"/>
        <v>1200</v>
      </c>
      <c r="J302" s="15">
        <v>1</v>
      </c>
      <c r="K302" s="15">
        <v>0</v>
      </c>
      <c r="L302" s="14" t="s">
        <v>46</v>
      </c>
      <c r="M302" s="14">
        <f t="shared" si="40"/>
        <v>1200</v>
      </c>
      <c r="N302" s="14">
        <f t="shared" si="35"/>
        <v>0</v>
      </c>
      <c r="O302" s="11" t="s">
        <v>27</v>
      </c>
      <c r="P302" s="11" t="s">
        <v>27</v>
      </c>
      <c r="Q302" s="11"/>
      <c r="R302" s="11">
        <v>1</v>
      </c>
      <c r="S302" s="11" t="s">
        <v>28</v>
      </c>
      <c r="T302" s="16" t="s">
        <v>22</v>
      </c>
    </row>
    <row r="303" spans="1:20" x14ac:dyDescent="0.3">
      <c r="A303" s="10">
        <v>45855</v>
      </c>
      <c r="B303" s="11">
        <v>126878</v>
      </c>
      <c r="C303" s="11" t="s">
        <v>31</v>
      </c>
      <c r="D303" s="11" t="s">
        <v>75</v>
      </c>
      <c r="E303" s="11" t="s">
        <v>24</v>
      </c>
      <c r="F303" s="11" t="s">
        <v>554</v>
      </c>
      <c r="G303" s="12">
        <v>24</v>
      </c>
      <c r="H303" s="13">
        <v>180</v>
      </c>
      <c r="I303" s="14">
        <f t="shared" si="39"/>
        <v>4320</v>
      </c>
      <c r="J303" s="15">
        <v>7.0000000000000007E-2</v>
      </c>
      <c r="K303" s="15">
        <f t="shared" ref="K303:K323" si="41">J303*0.25</f>
        <v>1.7500000000000002E-2</v>
      </c>
      <c r="L303" s="14" t="s">
        <v>46</v>
      </c>
      <c r="M303" s="14">
        <f t="shared" si="40"/>
        <v>302.40000000000003</v>
      </c>
      <c r="N303" s="14">
        <f t="shared" si="35"/>
        <v>75.600000000000009</v>
      </c>
      <c r="O303" s="11" t="s">
        <v>597</v>
      </c>
      <c r="P303" s="11" t="s">
        <v>597</v>
      </c>
      <c r="Q303" s="11"/>
      <c r="R303" s="11">
        <v>6</v>
      </c>
      <c r="S303" s="11" t="s">
        <v>597</v>
      </c>
      <c r="T303" s="16" t="s">
        <v>31</v>
      </c>
    </row>
    <row r="304" spans="1:20" x14ac:dyDescent="0.3">
      <c r="A304" s="10">
        <v>45855</v>
      </c>
      <c r="B304" s="11">
        <v>126605</v>
      </c>
      <c r="C304" s="11" t="s">
        <v>31</v>
      </c>
      <c r="D304" s="11" t="s">
        <v>664</v>
      </c>
      <c r="E304" s="11" t="s">
        <v>587</v>
      </c>
      <c r="F304" s="11" t="s">
        <v>554</v>
      </c>
      <c r="G304" s="12">
        <v>8</v>
      </c>
      <c r="H304" s="13">
        <v>170</v>
      </c>
      <c r="I304" s="14">
        <f t="shared" si="39"/>
        <v>1360</v>
      </c>
      <c r="J304" s="15">
        <v>7.0000000000000007E-2</v>
      </c>
      <c r="K304" s="15">
        <f t="shared" si="41"/>
        <v>1.7500000000000002E-2</v>
      </c>
      <c r="L304" s="14" t="s">
        <v>26</v>
      </c>
      <c r="M304" s="14">
        <f t="shared" si="40"/>
        <v>95.2</v>
      </c>
      <c r="N304" s="14">
        <f t="shared" si="35"/>
        <v>23.8</v>
      </c>
      <c r="O304" s="11" t="s">
        <v>597</v>
      </c>
      <c r="P304" s="11" t="s">
        <v>597</v>
      </c>
      <c r="Q304" s="11"/>
      <c r="R304" s="11">
        <v>6</v>
      </c>
      <c r="S304" s="11" t="s">
        <v>28</v>
      </c>
      <c r="T304" s="16" t="s">
        <v>31</v>
      </c>
    </row>
    <row r="305" spans="1:20" x14ac:dyDescent="0.3">
      <c r="A305" s="10">
        <v>45855</v>
      </c>
      <c r="B305" s="11">
        <v>126605</v>
      </c>
      <c r="C305" s="11" t="s">
        <v>31</v>
      </c>
      <c r="D305" s="11" t="s">
        <v>664</v>
      </c>
      <c r="E305" s="11" t="s">
        <v>40</v>
      </c>
      <c r="F305" s="11" t="s">
        <v>41</v>
      </c>
      <c r="G305" s="12">
        <v>1</v>
      </c>
      <c r="H305" s="13">
        <v>1294.52</v>
      </c>
      <c r="I305" s="14">
        <f t="shared" si="39"/>
        <v>1294.52</v>
      </c>
      <c r="J305" s="15">
        <v>7.0000000000000007E-2</v>
      </c>
      <c r="K305" s="15">
        <f t="shared" si="41"/>
        <v>1.7500000000000002E-2</v>
      </c>
      <c r="L305" s="14" t="s">
        <v>26</v>
      </c>
      <c r="M305" s="14">
        <f t="shared" si="40"/>
        <v>90.616400000000013</v>
      </c>
      <c r="N305" s="14">
        <f t="shared" si="35"/>
        <v>22.654100000000003</v>
      </c>
      <c r="O305" s="11" t="s">
        <v>597</v>
      </c>
      <c r="P305" s="11" t="s">
        <v>597</v>
      </c>
      <c r="Q305" s="11"/>
      <c r="R305" s="11">
        <v>6</v>
      </c>
      <c r="S305" s="11" t="s">
        <v>28</v>
      </c>
      <c r="T305" s="16" t="s">
        <v>31</v>
      </c>
    </row>
    <row r="306" spans="1:20" x14ac:dyDescent="0.3">
      <c r="A306" s="10">
        <v>45855</v>
      </c>
      <c r="B306" s="11">
        <v>126605</v>
      </c>
      <c r="C306" s="11" t="s">
        <v>31</v>
      </c>
      <c r="D306" s="11" t="s">
        <v>664</v>
      </c>
      <c r="E306" s="11" t="s">
        <v>587</v>
      </c>
      <c r="F306" s="11" t="s">
        <v>30</v>
      </c>
      <c r="G306" s="12">
        <v>1</v>
      </c>
      <c r="H306" s="13">
        <v>302.94</v>
      </c>
      <c r="I306" s="14">
        <f t="shared" si="39"/>
        <v>302.94</v>
      </c>
      <c r="J306" s="15">
        <v>1</v>
      </c>
      <c r="K306" s="15">
        <f t="shared" si="41"/>
        <v>0.25</v>
      </c>
      <c r="L306" s="14" t="s">
        <v>26</v>
      </c>
      <c r="M306" s="14">
        <f t="shared" si="40"/>
        <v>302.94</v>
      </c>
      <c r="N306" s="14">
        <f t="shared" si="35"/>
        <v>75.734999999999999</v>
      </c>
      <c r="O306" s="11" t="s">
        <v>597</v>
      </c>
      <c r="P306" s="11" t="s">
        <v>597</v>
      </c>
      <c r="Q306" s="11"/>
      <c r="R306" s="11">
        <v>1</v>
      </c>
      <c r="S306" s="11" t="s">
        <v>28</v>
      </c>
      <c r="T306" s="16" t="s">
        <v>31</v>
      </c>
    </row>
    <row r="307" spans="1:20" x14ac:dyDescent="0.3">
      <c r="A307" s="10">
        <v>45859</v>
      </c>
      <c r="B307" s="11">
        <v>110971</v>
      </c>
      <c r="C307" s="11" t="s">
        <v>44</v>
      </c>
      <c r="D307" s="11" t="s">
        <v>665</v>
      </c>
      <c r="E307" s="11" t="s">
        <v>24</v>
      </c>
      <c r="F307" s="11" t="s">
        <v>554</v>
      </c>
      <c r="G307" s="12">
        <v>35.5</v>
      </c>
      <c r="H307" s="13">
        <v>171.02</v>
      </c>
      <c r="I307" s="14">
        <f t="shared" si="39"/>
        <v>6071.21</v>
      </c>
      <c r="J307" s="15">
        <v>0.05</v>
      </c>
      <c r="K307" s="15">
        <f t="shared" si="41"/>
        <v>1.2500000000000001E-2</v>
      </c>
      <c r="L307" s="14" t="s">
        <v>26</v>
      </c>
      <c r="M307" s="14">
        <f t="shared" si="40"/>
        <v>303.56049999999999</v>
      </c>
      <c r="N307" s="14">
        <f t="shared" si="35"/>
        <v>75.890124999999998</v>
      </c>
      <c r="O307" s="11" t="s">
        <v>597</v>
      </c>
      <c r="P307" s="11" t="s">
        <v>597</v>
      </c>
      <c r="Q307" s="11"/>
      <c r="R307" s="11">
        <v>10</v>
      </c>
      <c r="S307" s="11" t="s">
        <v>597</v>
      </c>
      <c r="T307" s="16" t="s">
        <v>44</v>
      </c>
    </row>
    <row r="308" spans="1:20" x14ac:dyDescent="0.3">
      <c r="A308" s="10">
        <v>45859</v>
      </c>
      <c r="B308" s="11">
        <v>125958</v>
      </c>
      <c r="C308" s="11" t="s">
        <v>31</v>
      </c>
      <c r="D308" s="11" t="s">
        <v>79</v>
      </c>
      <c r="E308" s="11" t="s">
        <v>35</v>
      </c>
      <c r="F308" s="11" t="s">
        <v>35</v>
      </c>
      <c r="G308" s="12">
        <v>4</v>
      </c>
      <c r="H308" s="13">
        <v>176</v>
      </c>
      <c r="I308" s="14">
        <f t="shared" si="39"/>
        <v>704</v>
      </c>
      <c r="J308" s="15">
        <v>0.01</v>
      </c>
      <c r="K308" s="15">
        <f t="shared" si="41"/>
        <v>2.5000000000000001E-3</v>
      </c>
      <c r="L308" s="14" t="s">
        <v>26</v>
      </c>
      <c r="M308" s="14">
        <f t="shared" si="40"/>
        <v>7.04</v>
      </c>
      <c r="N308" s="14">
        <f t="shared" si="35"/>
        <v>1.76</v>
      </c>
      <c r="O308" s="11" t="s">
        <v>597</v>
      </c>
      <c r="P308" s="11" t="s">
        <v>597</v>
      </c>
      <c r="Q308" s="11"/>
      <c r="R308" s="11">
        <v>1</v>
      </c>
      <c r="S308" s="11" t="s">
        <v>597</v>
      </c>
      <c r="T308" s="16" t="s">
        <v>31</v>
      </c>
    </row>
    <row r="309" spans="1:20" x14ac:dyDescent="0.3">
      <c r="A309" s="10">
        <v>45859</v>
      </c>
      <c r="B309" s="11">
        <v>126687</v>
      </c>
      <c r="C309" s="11" t="s">
        <v>44</v>
      </c>
      <c r="D309" s="11" t="s">
        <v>607</v>
      </c>
      <c r="E309" s="11" t="s">
        <v>54</v>
      </c>
      <c r="F309" s="11" t="s">
        <v>30</v>
      </c>
      <c r="G309" s="12">
        <v>1</v>
      </c>
      <c r="H309" s="13">
        <v>142.56</v>
      </c>
      <c r="I309" s="14">
        <f t="shared" si="39"/>
        <v>142.56</v>
      </c>
      <c r="J309" s="15">
        <v>1</v>
      </c>
      <c r="K309" s="15">
        <f t="shared" si="41"/>
        <v>0.25</v>
      </c>
      <c r="L309" s="14" t="s">
        <v>26</v>
      </c>
      <c r="M309" s="14">
        <f t="shared" si="40"/>
        <v>142.56</v>
      </c>
      <c r="N309" s="14">
        <f t="shared" si="35"/>
        <v>35.64</v>
      </c>
      <c r="O309" s="11" t="s">
        <v>27</v>
      </c>
      <c r="P309" s="11" t="s">
        <v>27</v>
      </c>
      <c r="Q309" s="11"/>
      <c r="R309" s="11">
        <v>1</v>
      </c>
      <c r="S309" s="11" t="s">
        <v>28</v>
      </c>
      <c r="T309" s="16" t="s">
        <v>44</v>
      </c>
    </row>
    <row r="310" spans="1:20" x14ac:dyDescent="0.3">
      <c r="A310" s="10">
        <v>45859</v>
      </c>
      <c r="B310" s="11">
        <v>125157</v>
      </c>
      <c r="C310" s="11" t="s">
        <v>31</v>
      </c>
      <c r="D310" s="11" t="s">
        <v>141</v>
      </c>
      <c r="E310" s="11" t="s">
        <v>35</v>
      </c>
      <c r="F310" s="11" t="s">
        <v>35</v>
      </c>
      <c r="G310" s="12">
        <v>16</v>
      </c>
      <c r="H310" s="13">
        <v>149.37</v>
      </c>
      <c r="I310" s="14">
        <f t="shared" si="39"/>
        <v>2389.92</v>
      </c>
      <c r="J310" s="15">
        <v>0.01</v>
      </c>
      <c r="K310" s="15">
        <f t="shared" si="41"/>
        <v>2.5000000000000001E-3</v>
      </c>
      <c r="L310" s="14" t="s">
        <v>46</v>
      </c>
      <c r="M310" s="14">
        <f t="shared" si="40"/>
        <v>23.8992</v>
      </c>
      <c r="N310" s="14">
        <f t="shared" ref="N310:N373" si="42">I310*K310</f>
        <v>5.9748000000000001</v>
      </c>
      <c r="O310" s="11" t="s">
        <v>597</v>
      </c>
      <c r="P310" s="11" t="s">
        <v>597</v>
      </c>
      <c r="Q310" s="11"/>
      <c r="R310" s="11">
        <v>1</v>
      </c>
      <c r="S310" s="11" t="s">
        <v>597</v>
      </c>
      <c r="T310" s="16" t="s">
        <v>31</v>
      </c>
    </row>
    <row r="311" spans="1:20" x14ac:dyDescent="0.3">
      <c r="A311" s="10">
        <v>45859</v>
      </c>
      <c r="B311" s="11">
        <v>126465</v>
      </c>
      <c r="C311" s="11" t="s">
        <v>31</v>
      </c>
      <c r="D311" s="11" t="s">
        <v>666</v>
      </c>
      <c r="E311" s="11" t="s">
        <v>40</v>
      </c>
      <c r="F311" s="11" t="s">
        <v>41</v>
      </c>
      <c r="G311" s="12">
        <v>1</v>
      </c>
      <c r="H311" s="13">
        <v>4127.5</v>
      </c>
      <c r="I311" s="14">
        <f t="shared" si="39"/>
        <v>4127.5</v>
      </c>
      <c r="J311" s="15">
        <v>7.0000000000000007E-2</v>
      </c>
      <c r="K311" s="15">
        <f t="shared" si="41"/>
        <v>1.7500000000000002E-2</v>
      </c>
      <c r="L311" s="14" t="s">
        <v>26</v>
      </c>
      <c r="M311" s="14">
        <f t="shared" si="40"/>
        <v>288.92500000000001</v>
      </c>
      <c r="N311" s="14">
        <f t="shared" si="42"/>
        <v>72.231250000000003</v>
      </c>
      <c r="O311" s="11" t="s">
        <v>27</v>
      </c>
      <c r="P311" s="11" t="s">
        <v>27</v>
      </c>
      <c r="Q311" s="11"/>
      <c r="R311" s="11">
        <v>1</v>
      </c>
      <c r="S311" s="11" t="s">
        <v>28</v>
      </c>
      <c r="T311" s="16" t="s">
        <v>31</v>
      </c>
    </row>
    <row r="312" spans="1:20" x14ac:dyDescent="0.3">
      <c r="A312" s="10">
        <v>45859</v>
      </c>
      <c r="B312" s="11">
        <v>123521</v>
      </c>
      <c r="C312" s="11" t="s">
        <v>31</v>
      </c>
      <c r="D312" s="11" t="s">
        <v>614</v>
      </c>
      <c r="E312" s="11" t="s">
        <v>35</v>
      </c>
      <c r="F312" s="11" t="s">
        <v>35</v>
      </c>
      <c r="G312" s="12">
        <v>88</v>
      </c>
      <c r="H312" s="13">
        <v>113.64</v>
      </c>
      <c r="I312" s="14">
        <f t="shared" si="39"/>
        <v>10000.32</v>
      </c>
      <c r="J312" s="15">
        <v>5.0000000000000001E-3</v>
      </c>
      <c r="K312" s="15">
        <f t="shared" si="41"/>
        <v>1.25E-3</v>
      </c>
      <c r="L312" s="14" t="s">
        <v>26</v>
      </c>
      <c r="M312" s="14">
        <f t="shared" si="40"/>
        <v>50.001599999999996</v>
      </c>
      <c r="N312" s="14">
        <f t="shared" si="42"/>
        <v>12.500399999999999</v>
      </c>
      <c r="O312" s="11" t="s">
        <v>597</v>
      </c>
      <c r="P312" s="11" t="s">
        <v>597</v>
      </c>
      <c r="Q312" s="11"/>
      <c r="R312" s="11">
        <v>5</v>
      </c>
      <c r="S312" s="11" t="s">
        <v>597</v>
      </c>
      <c r="T312" s="16" t="s">
        <v>31</v>
      </c>
    </row>
    <row r="313" spans="1:20" x14ac:dyDescent="0.3">
      <c r="A313" s="10">
        <v>45859</v>
      </c>
      <c r="B313" s="11">
        <v>126335</v>
      </c>
      <c r="C313" s="11" t="s">
        <v>31</v>
      </c>
      <c r="D313" s="11" t="s">
        <v>667</v>
      </c>
      <c r="E313" s="11" t="s">
        <v>24</v>
      </c>
      <c r="F313" s="11" t="s">
        <v>554</v>
      </c>
      <c r="G313" s="12">
        <v>8</v>
      </c>
      <c r="H313" s="13">
        <v>180</v>
      </c>
      <c r="I313" s="14">
        <f t="shared" si="39"/>
        <v>1440</v>
      </c>
      <c r="J313" s="15">
        <v>7.0000000000000007E-2</v>
      </c>
      <c r="K313" s="15">
        <f t="shared" si="41"/>
        <v>1.7500000000000002E-2</v>
      </c>
      <c r="L313" s="14" t="s">
        <v>26</v>
      </c>
      <c r="M313" s="14">
        <f t="shared" si="40"/>
        <v>100.80000000000001</v>
      </c>
      <c r="N313" s="14">
        <f t="shared" si="42"/>
        <v>25.200000000000003</v>
      </c>
      <c r="O313" s="11" t="s">
        <v>597</v>
      </c>
      <c r="P313" s="11" t="s">
        <v>597</v>
      </c>
      <c r="Q313" s="11"/>
      <c r="R313" s="11">
        <v>6</v>
      </c>
      <c r="S313" s="11" t="s">
        <v>597</v>
      </c>
      <c r="T313" s="16" t="s">
        <v>31</v>
      </c>
    </row>
    <row r="314" spans="1:20" x14ac:dyDescent="0.3">
      <c r="A314" s="10">
        <v>45859</v>
      </c>
      <c r="B314" s="11">
        <v>122723</v>
      </c>
      <c r="C314" s="11" t="s">
        <v>31</v>
      </c>
      <c r="D314" s="11" t="s">
        <v>229</v>
      </c>
      <c r="E314" s="11" t="s">
        <v>35</v>
      </c>
      <c r="F314" s="11" t="s">
        <v>35</v>
      </c>
      <c r="G314" s="12">
        <v>40</v>
      </c>
      <c r="H314" s="13">
        <v>125</v>
      </c>
      <c r="I314" s="14">
        <f t="shared" si="39"/>
        <v>5000</v>
      </c>
      <c r="J314" s="15">
        <v>6.0000000000000001E-3</v>
      </c>
      <c r="K314" s="15">
        <f t="shared" si="41"/>
        <v>1.5E-3</v>
      </c>
      <c r="L314" s="14" t="s">
        <v>26</v>
      </c>
      <c r="M314" s="14">
        <f t="shared" si="40"/>
        <v>30</v>
      </c>
      <c r="N314" s="14">
        <f t="shared" si="42"/>
        <v>7.5</v>
      </c>
      <c r="O314" s="11" t="s">
        <v>597</v>
      </c>
      <c r="P314" s="11" t="s">
        <v>597</v>
      </c>
      <c r="Q314" s="11"/>
      <c r="R314" s="11">
        <v>5</v>
      </c>
      <c r="S314" s="11" t="s">
        <v>597</v>
      </c>
      <c r="T314" s="16" t="s">
        <v>31</v>
      </c>
    </row>
    <row r="315" spans="1:20" x14ac:dyDescent="0.3">
      <c r="A315" s="10">
        <v>45859</v>
      </c>
      <c r="B315" s="11">
        <v>125711</v>
      </c>
      <c r="C315" s="11" t="s">
        <v>31</v>
      </c>
      <c r="D315" s="11" t="s">
        <v>667</v>
      </c>
      <c r="E315" s="11" t="s">
        <v>24</v>
      </c>
      <c r="F315" s="11" t="s">
        <v>554</v>
      </c>
      <c r="G315" s="12">
        <v>16</v>
      </c>
      <c r="H315" s="13">
        <v>180</v>
      </c>
      <c r="I315" s="14">
        <f t="shared" si="39"/>
        <v>2880</v>
      </c>
      <c r="J315" s="15">
        <v>6.0000000000000001E-3</v>
      </c>
      <c r="K315" s="15">
        <f t="shared" si="41"/>
        <v>1.5E-3</v>
      </c>
      <c r="L315" s="14" t="s">
        <v>26</v>
      </c>
      <c r="M315" s="14">
        <f t="shared" si="40"/>
        <v>17.28</v>
      </c>
      <c r="N315" s="14">
        <f t="shared" si="42"/>
        <v>4.32</v>
      </c>
      <c r="O315" s="11" t="s">
        <v>597</v>
      </c>
      <c r="P315" s="11" t="s">
        <v>597</v>
      </c>
      <c r="Q315" s="11"/>
      <c r="R315" s="11">
        <v>6</v>
      </c>
      <c r="S315" s="11" t="s">
        <v>597</v>
      </c>
      <c r="T315" s="16" t="s">
        <v>31</v>
      </c>
    </row>
    <row r="316" spans="1:20" x14ac:dyDescent="0.3">
      <c r="A316" s="10">
        <v>45860</v>
      </c>
      <c r="B316" s="11">
        <v>119015</v>
      </c>
      <c r="C316" s="11" t="s">
        <v>31</v>
      </c>
      <c r="D316" s="11" t="s">
        <v>668</v>
      </c>
      <c r="E316" s="11" t="s">
        <v>35</v>
      </c>
      <c r="F316" s="11" t="s">
        <v>35</v>
      </c>
      <c r="G316" s="12">
        <v>16</v>
      </c>
      <c r="H316" s="13">
        <v>176</v>
      </c>
      <c r="I316" s="14">
        <f t="shared" si="39"/>
        <v>2816</v>
      </c>
      <c r="J316" s="15">
        <v>0.01</v>
      </c>
      <c r="K316" s="15">
        <f t="shared" si="41"/>
        <v>2.5000000000000001E-3</v>
      </c>
      <c r="L316" s="14" t="s">
        <v>26</v>
      </c>
      <c r="M316" s="14">
        <f t="shared" si="40"/>
        <v>28.16</v>
      </c>
      <c r="N316" s="14">
        <f t="shared" si="42"/>
        <v>7.04</v>
      </c>
      <c r="O316" s="11" t="s">
        <v>597</v>
      </c>
      <c r="P316" s="11" t="s">
        <v>597</v>
      </c>
      <c r="Q316" s="11"/>
      <c r="R316" s="11">
        <v>3</v>
      </c>
      <c r="S316" s="11" t="s">
        <v>597</v>
      </c>
      <c r="T316" s="16" t="s">
        <v>31</v>
      </c>
    </row>
    <row r="317" spans="1:20" x14ac:dyDescent="0.3">
      <c r="A317" s="10">
        <v>45860</v>
      </c>
      <c r="B317" s="11">
        <v>124352</v>
      </c>
      <c r="C317" s="11" t="s">
        <v>31</v>
      </c>
      <c r="D317" s="11" t="s">
        <v>79</v>
      </c>
      <c r="E317" s="11" t="s">
        <v>35</v>
      </c>
      <c r="F317" s="11" t="s">
        <v>35</v>
      </c>
      <c r="G317" s="12">
        <v>60</v>
      </c>
      <c r="H317" s="13">
        <v>176</v>
      </c>
      <c r="I317" s="14">
        <f t="shared" si="39"/>
        <v>10560</v>
      </c>
      <c r="J317" s="15">
        <v>0.01</v>
      </c>
      <c r="K317" s="15">
        <f t="shared" si="41"/>
        <v>2.5000000000000001E-3</v>
      </c>
      <c r="L317" s="14" t="s">
        <v>26</v>
      </c>
      <c r="M317" s="14">
        <f t="shared" si="40"/>
        <v>105.60000000000001</v>
      </c>
      <c r="N317" s="14">
        <f t="shared" si="42"/>
        <v>26.400000000000002</v>
      </c>
      <c r="O317" s="11" t="s">
        <v>597</v>
      </c>
      <c r="P317" s="11" t="s">
        <v>597</v>
      </c>
      <c r="Q317" s="11"/>
      <c r="R317" s="11">
        <v>3</v>
      </c>
      <c r="S317" s="11" t="s">
        <v>597</v>
      </c>
      <c r="T317" s="16" t="s">
        <v>31</v>
      </c>
    </row>
    <row r="318" spans="1:20" x14ac:dyDescent="0.3">
      <c r="A318" s="10">
        <v>45860</v>
      </c>
      <c r="B318" s="11">
        <v>125073</v>
      </c>
      <c r="C318" s="11" t="s">
        <v>31</v>
      </c>
      <c r="D318" s="11" t="s">
        <v>665</v>
      </c>
      <c r="E318" s="11" t="s">
        <v>35</v>
      </c>
      <c r="F318" s="11" t="s">
        <v>35</v>
      </c>
      <c r="G318" s="12">
        <v>36</v>
      </c>
      <c r="H318" s="13">
        <v>138.88999999999999</v>
      </c>
      <c r="I318" s="14">
        <f t="shared" si="39"/>
        <v>5000.0399999999991</v>
      </c>
      <c r="J318" s="15">
        <v>6.8999999999999999E-3</v>
      </c>
      <c r="K318" s="15">
        <f t="shared" si="41"/>
        <v>1.725E-3</v>
      </c>
      <c r="L318" s="14" t="s">
        <v>26</v>
      </c>
      <c r="M318" s="14">
        <f t="shared" si="40"/>
        <v>34.500275999999992</v>
      </c>
      <c r="N318" s="14">
        <f t="shared" si="42"/>
        <v>8.6250689999999981</v>
      </c>
      <c r="O318" s="11" t="s">
        <v>597</v>
      </c>
      <c r="P318" s="11" t="s">
        <v>597</v>
      </c>
      <c r="Q318" s="11"/>
      <c r="R318" s="11">
        <v>5</v>
      </c>
      <c r="S318" s="11" t="s">
        <v>597</v>
      </c>
      <c r="T318" s="16" t="s">
        <v>31</v>
      </c>
    </row>
    <row r="319" spans="1:20" x14ac:dyDescent="0.3">
      <c r="A319" s="10">
        <v>45860</v>
      </c>
      <c r="B319" s="11">
        <v>126012</v>
      </c>
      <c r="C319" s="11" t="s">
        <v>31</v>
      </c>
      <c r="D319" s="11" t="s">
        <v>631</v>
      </c>
      <c r="E319" s="11" t="s">
        <v>581</v>
      </c>
      <c r="F319" s="11" t="s">
        <v>30</v>
      </c>
      <c r="G319" s="12">
        <v>3</v>
      </c>
      <c r="H319" s="13">
        <v>8.8000000000000007</v>
      </c>
      <c r="I319" s="14">
        <f t="shared" si="39"/>
        <v>26.400000000000002</v>
      </c>
      <c r="J319" s="15">
        <v>6.8999999999999999E-3</v>
      </c>
      <c r="K319" s="15">
        <f t="shared" si="41"/>
        <v>1.725E-3</v>
      </c>
      <c r="L319" s="14" t="s">
        <v>26</v>
      </c>
      <c r="M319" s="14">
        <f t="shared" si="40"/>
        <v>0.18216000000000002</v>
      </c>
      <c r="N319" s="14">
        <f t="shared" si="42"/>
        <v>4.5540000000000004E-2</v>
      </c>
      <c r="O319" s="11" t="s">
        <v>27</v>
      </c>
      <c r="P319" s="11" t="s">
        <v>27</v>
      </c>
      <c r="Q319" s="11"/>
      <c r="R319" s="11">
        <v>1</v>
      </c>
      <c r="S319" s="11" t="s">
        <v>28</v>
      </c>
      <c r="T319" s="16" t="s">
        <v>31</v>
      </c>
    </row>
    <row r="320" spans="1:20" x14ac:dyDescent="0.3">
      <c r="A320" s="10">
        <v>45860</v>
      </c>
      <c r="B320" s="11">
        <v>125955</v>
      </c>
      <c r="C320" s="11" t="s">
        <v>31</v>
      </c>
      <c r="D320" s="11" t="s">
        <v>57</v>
      </c>
      <c r="E320" s="11" t="s">
        <v>52</v>
      </c>
      <c r="F320" s="11" t="s">
        <v>41</v>
      </c>
      <c r="G320" s="12">
        <v>1</v>
      </c>
      <c r="H320" s="13">
        <v>9500</v>
      </c>
      <c r="I320" s="14">
        <f t="shared" si="39"/>
        <v>9500</v>
      </c>
      <c r="J320" s="15">
        <v>7.0000000000000007E-2</v>
      </c>
      <c r="K320" s="15">
        <f t="shared" si="41"/>
        <v>1.7500000000000002E-2</v>
      </c>
      <c r="L320" s="14" t="s">
        <v>26</v>
      </c>
      <c r="M320" s="14">
        <f t="shared" si="40"/>
        <v>665.00000000000011</v>
      </c>
      <c r="N320" s="14">
        <f t="shared" si="42"/>
        <v>166.25000000000003</v>
      </c>
      <c r="O320" s="11" t="s">
        <v>27</v>
      </c>
      <c r="P320" s="11" t="s">
        <v>27</v>
      </c>
      <c r="Q320" s="11"/>
      <c r="R320" s="11">
        <v>6</v>
      </c>
      <c r="S320" s="11" t="s">
        <v>28</v>
      </c>
      <c r="T320" s="16" t="s">
        <v>31</v>
      </c>
    </row>
    <row r="321" spans="1:20" x14ac:dyDescent="0.3">
      <c r="A321" s="10">
        <v>45860</v>
      </c>
      <c r="B321" s="11">
        <v>125955</v>
      </c>
      <c r="C321" s="11" t="s">
        <v>31</v>
      </c>
      <c r="D321" s="11" t="s">
        <v>57</v>
      </c>
      <c r="E321" s="11" t="s">
        <v>52</v>
      </c>
      <c r="F321" s="11" t="s">
        <v>554</v>
      </c>
      <c r="G321" s="12">
        <v>8</v>
      </c>
      <c r="H321" s="13">
        <v>210</v>
      </c>
      <c r="I321" s="14">
        <f t="shared" si="39"/>
        <v>1680</v>
      </c>
      <c r="J321" s="15">
        <v>7.0000000000000007E-2</v>
      </c>
      <c r="K321" s="15">
        <f t="shared" si="41"/>
        <v>1.7500000000000002E-2</v>
      </c>
      <c r="L321" s="14" t="s">
        <v>26</v>
      </c>
      <c r="M321" s="14">
        <f t="shared" si="40"/>
        <v>117.60000000000001</v>
      </c>
      <c r="N321" s="14">
        <f t="shared" si="42"/>
        <v>29.400000000000002</v>
      </c>
      <c r="O321" s="11" t="s">
        <v>27</v>
      </c>
      <c r="P321" s="11" t="s">
        <v>27</v>
      </c>
      <c r="Q321" s="11"/>
      <c r="R321" s="11">
        <v>6</v>
      </c>
      <c r="S321" s="11" t="s">
        <v>28</v>
      </c>
      <c r="T321" s="16" t="s">
        <v>31</v>
      </c>
    </row>
    <row r="322" spans="1:20" x14ac:dyDescent="0.3">
      <c r="A322" s="10">
        <v>45860</v>
      </c>
      <c r="B322" s="11">
        <v>125955</v>
      </c>
      <c r="C322" s="11" t="s">
        <v>31</v>
      </c>
      <c r="D322" s="11" t="s">
        <v>57</v>
      </c>
      <c r="E322" s="11" t="s">
        <v>52</v>
      </c>
      <c r="F322" s="11" t="s">
        <v>30</v>
      </c>
      <c r="G322" s="12">
        <v>1</v>
      </c>
      <c r="H322" s="13">
        <v>1404</v>
      </c>
      <c r="I322" s="14">
        <f t="shared" si="39"/>
        <v>1404</v>
      </c>
      <c r="J322" s="15">
        <v>1</v>
      </c>
      <c r="K322" s="15">
        <f t="shared" si="41"/>
        <v>0.25</v>
      </c>
      <c r="L322" s="14" t="s">
        <v>26</v>
      </c>
      <c r="M322" s="14">
        <f t="shared" si="40"/>
        <v>1404</v>
      </c>
      <c r="N322" s="14">
        <f t="shared" si="42"/>
        <v>351</v>
      </c>
      <c r="O322" s="11" t="s">
        <v>27</v>
      </c>
      <c r="P322" s="11" t="s">
        <v>27</v>
      </c>
      <c r="Q322" s="11"/>
      <c r="R322" s="11">
        <v>1</v>
      </c>
      <c r="S322" s="11" t="s">
        <v>28</v>
      </c>
      <c r="T322" s="16" t="s">
        <v>31</v>
      </c>
    </row>
    <row r="323" spans="1:20" x14ac:dyDescent="0.3">
      <c r="A323" s="10">
        <v>45860</v>
      </c>
      <c r="B323" s="11">
        <v>127177</v>
      </c>
      <c r="C323" s="11" t="s">
        <v>31</v>
      </c>
      <c r="D323" s="11" t="s">
        <v>60</v>
      </c>
      <c r="E323" s="11" t="s">
        <v>24</v>
      </c>
      <c r="F323" s="11" t="s">
        <v>554</v>
      </c>
      <c r="G323" s="12">
        <v>20</v>
      </c>
      <c r="H323" s="13">
        <v>210</v>
      </c>
      <c r="I323" s="14">
        <f t="shared" si="39"/>
        <v>4200</v>
      </c>
      <c r="J323" s="15">
        <v>7.0000000000000007E-2</v>
      </c>
      <c r="K323" s="15">
        <f t="shared" si="41"/>
        <v>1.7500000000000002E-2</v>
      </c>
      <c r="L323" s="14" t="s">
        <v>26</v>
      </c>
      <c r="M323" s="14">
        <f t="shared" si="40"/>
        <v>294</v>
      </c>
      <c r="N323" s="14">
        <f t="shared" si="42"/>
        <v>73.5</v>
      </c>
      <c r="O323" s="11" t="s">
        <v>597</v>
      </c>
      <c r="P323" s="11" t="s">
        <v>597</v>
      </c>
      <c r="Q323" s="11"/>
      <c r="R323" s="11">
        <v>6</v>
      </c>
      <c r="S323" s="11" t="s">
        <v>597</v>
      </c>
      <c r="T323" s="16" t="s">
        <v>31</v>
      </c>
    </row>
    <row r="324" spans="1:20" x14ac:dyDescent="0.3">
      <c r="A324" s="10">
        <v>45860</v>
      </c>
      <c r="B324" s="11">
        <v>127201</v>
      </c>
      <c r="C324" s="11" t="s">
        <v>22</v>
      </c>
      <c r="D324" s="11" t="s">
        <v>621</v>
      </c>
      <c r="E324" s="11" t="s">
        <v>24</v>
      </c>
      <c r="F324" s="11" t="s">
        <v>554</v>
      </c>
      <c r="G324" s="12">
        <v>24</v>
      </c>
      <c r="H324" s="13">
        <v>180</v>
      </c>
      <c r="I324" s="14">
        <f t="shared" si="39"/>
        <v>4320</v>
      </c>
      <c r="J324" s="15">
        <v>7.0000000000000007E-2</v>
      </c>
      <c r="K324" s="15">
        <v>0</v>
      </c>
      <c r="L324" s="14" t="s">
        <v>26</v>
      </c>
      <c r="M324" s="14">
        <f t="shared" si="40"/>
        <v>302.40000000000003</v>
      </c>
      <c r="N324" s="14">
        <f t="shared" si="42"/>
        <v>0</v>
      </c>
      <c r="O324" s="11" t="s">
        <v>27</v>
      </c>
      <c r="P324" s="11" t="s">
        <v>27</v>
      </c>
      <c r="Q324" s="11"/>
      <c r="R324" s="11">
        <v>6</v>
      </c>
      <c r="S324" s="11" t="s">
        <v>28</v>
      </c>
      <c r="T324" s="16" t="s">
        <v>22</v>
      </c>
    </row>
    <row r="325" spans="1:20" x14ac:dyDescent="0.3">
      <c r="A325" s="10">
        <v>45862</v>
      </c>
      <c r="B325" s="11">
        <v>127301</v>
      </c>
      <c r="C325" s="11" t="s">
        <v>31</v>
      </c>
      <c r="D325" s="11" t="s">
        <v>637</v>
      </c>
      <c r="E325" s="11" t="s">
        <v>40</v>
      </c>
      <c r="F325" s="11" t="s">
        <v>41</v>
      </c>
      <c r="G325" s="12">
        <v>1</v>
      </c>
      <c r="H325" s="13">
        <v>2457</v>
      </c>
      <c r="I325" s="14">
        <f t="shared" si="39"/>
        <v>2457</v>
      </c>
      <c r="J325" s="15">
        <v>7.0000000000000007E-2</v>
      </c>
      <c r="K325" s="15">
        <f t="shared" ref="K325:K343" si="43">J325*0.25</f>
        <v>1.7500000000000002E-2</v>
      </c>
      <c r="L325" s="14" t="s">
        <v>26</v>
      </c>
      <c r="M325" s="14">
        <f t="shared" si="40"/>
        <v>171.99</v>
      </c>
      <c r="N325" s="14">
        <f t="shared" si="42"/>
        <v>42.997500000000002</v>
      </c>
      <c r="O325" s="11" t="s">
        <v>27</v>
      </c>
      <c r="P325" s="11" t="s">
        <v>27</v>
      </c>
      <c r="Q325" s="11"/>
      <c r="R325" s="11">
        <v>6</v>
      </c>
      <c r="S325" s="11" t="s">
        <v>28</v>
      </c>
      <c r="T325" s="16" t="s">
        <v>31</v>
      </c>
    </row>
    <row r="326" spans="1:20" x14ac:dyDescent="0.3">
      <c r="A326" s="10">
        <v>45863</v>
      </c>
      <c r="B326" s="11">
        <v>127394</v>
      </c>
      <c r="C326" s="11" t="s">
        <v>31</v>
      </c>
      <c r="D326" s="11" t="s">
        <v>108</v>
      </c>
      <c r="E326" s="11" t="s">
        <v>24</v>
      </c>
      <c r="F326" s="11" t="s">
        <v>554</v>
      </c>
      <c r="G326" s="12">
        <v>32</v>
      </c>
      <c r="H326" s="13">
        <v>210</v>
      </c>
      <c r="I326" s="14">
        <f t="shared" ref="I326:I357" si="44">G326*H326</f>
        <v>6720</v>
      </c>
      <c r="J326" s="15">
        <v>0.05</v>
      </c>
      <c r="K326" s="15">
        <f t="shared" si="43"/>
        <v>1.2500000000000001E-2</v>
      </c>
      <c r="L326" s="14" t="s">
        <v>26</v>
      </c>
      <c r="M326" s="14">
        <f t="shared" si="40"/>
        <v>336</v>
      </c>
      <c r="N326" s="14">
        <f t="shared" si="42"/>
        <v>84</v>
      </c>
      <c r="O326" s="11" t="s">
        <v>597</v>
      </c>
      <c r="P326" s="11" t="s">
        <v>597</v>
      </c>
      <c r="Q326" s="11"/>
      <c r="R326" s="11">
        <v>1</v>
      </c>
      <c r="S326" s="11" t="s">
        <v>597</v>
      </c>
      <c r="T326" s="16" t="s">
        <v>31</v>
      </c>
    </row>
    <row r="327" spans="1:20" x14ac:dyDescent="0.3">
      <c r="A327" s="10">
        <v>45863</v>
      </c>
      <c r="B327" s="11">
        <v>127383</v>
      </c>
      <c r="C327" s="11" t="s">
        <v>31</v>
      </c>
      <c r="D327" s="11" t="s">
        <v>73</v>
      </c>
      <c r="E327" s="11" t="s">
        <v>24</v>
      </c>
      <c r="F327" s="11" t="s">
        <v>554</v>
      </c>
      <c r="G327" s="12">
        <v>8</v>
      </c>
      <c r="H327" s="13">
        <v>180</v>
      </c>
      <c r="I327" s="14">
        <f t="shared" si="44"/>
        <v>1440</v>
      </c>
      <c r="J327" s="15">
        <v>7.0000000000000007E-2</v>
      </c>
      <c r="K327" s="15">
        <f t="shared" si="43"/>
        <v>1.7500000000000002E-2</v>
      </c>
      <c r="L327" s="14" t="s">
        <v>26</v>
      </c>
      <c r="M327" s="14">
        <f t="shared" si="40"/>
        <v>100.80000000000001</v>
      </c>
      <c r="N327" s="14">
        <f t="shared" si="42"/>
        <v>25.200000000000003</v>
      </c>
      <c r="O327" s="11" t="s">
        <v>597</v>
      </c>
      <c r="P327" s="11" t="s">
        <v>597</v>
      </c>
      <c r="Q327" s="11"/>
      <c r="R327" s="11">
        <v>4</v>
      </c>
      <c r="S327" s="11" t="s">
        <v>597</v>
      </c>
      <c r="T327" s="16" t="s">
        <v>31</v>
      </c>
    </row>
    <row r="328" spans="1:20" x14ac:dyDescent="0.3">
      <c r="A328" s="10">
        <v>45863</v>
      </c>
      <c r="B328" s="11">
        <v>127380</v>
      </c>
      <c r="C328" s="11" t="s">
        <v>31</v>
      </c>
      <c r="D328" s="11" t="s">
        <v>669</v>
      </c>
      <c r="E328" s="11" t="s">
        <v>24</v>
      </c>
      <c r="F328" s="11" t="s">
        <v>554</v>
      </c>
      <c r="G328" s="12">
        <v>4</v>
      </c>
      <c r="H328" s="13">
        <v>210</v>
      </c>
      <c r="I328" s="14">
        <f t="shared" si="44"/>
        <v>840</v>
      </c>
      <c r="J328" s="15">
        <v>7.0000000000000007E-2</v>
      </c>
      <c r="K328" s="15">
        <f t="shared" si="43"/>
        <v>1.7500000000000002E-2</v>
      </c>
      <c r="L328" s="14" t="s">
        <v>26</v>
      </c>
      <c r="M328" s="14">
        <f t="shared" si="40"/>
        <v>58.800000000000004</v>
      </c>
      <c r="N328" s="14">
        <f t="shared" si="42"/>
        <v>14.700000000000001</v>
      </c>
      <c r="O328" s="11" t="s">
        <v>597</v>
      </c>
      <c r="P328" s="11" t="s">
        <v>597</v>
      </c>
      <c r="Q328" s="11"/>
      <c r="R328" s="11">
        <v>2</v>
      </c>
      <c r="S328" s="11" t="s">
        <v>597</v>
      </c>
      <c r="T328" s="16" t="s">
        <v>31</v>
      </c>
    </row>
    <row r="329" spans="1:20" x14ac:dyDescent="0.3">
      <c r="A329" s="10">
        <v>45868</v>
      </c>
      <c r="B329" s="11">
        <v>124673</v>
      </c>
      <c r="C329" s="11" t="s">
        <v>31</v>
      </c>
      <c r="D329" s="11" t="s">
        <v>127</v>
      </c>
      <c r="E329" s="11" t="s">
        <v>35</v>
      </c>
      <c r="F329" s="11" t="s">
        <v>35</v>
      </c>
      <c r="G329" s="12">
        <v>16</v>
      </c>
      <c r="H329" s="13">
        <v>176</v>
      </c>
      <c r="I329" s="14">
        <f t="shared" si="44"/>
        <v>2816</v>
      </c>
      <c r="J329" s="15">
        <v>0.01</v>
      </c>
      <c r="K329" s="15">
        <f t="shared" si="43"/>
        <v>2.5000000000000001E-3</v>
      </c>
      <c r="L329" s="14" t="s">
        <v>26</v>
      </c>
      <c r="M329" s="14">
        <f t="shared" ref="M329:M365" si="45">J329*I329</f>
        <v>28.16</v>
      </c>
      <c r="N329" s="14">
        <f t="shared" si="42"/>
        <v>7.04</v>
      </c>
      <c r="O329" s="11" t="s">
        <v>597</v>
      </c>
      <c r="P329" s="11" t="s">
        <v>597</v>
      </c>
      <c r="Q329" s="11"/>
      <c r="R329" s="11">
        <v>3</v>
      </c>
      <c r="S329" s="11" t="s">
        <v>597</v>
      </c>
      <c r="T329" s="16" t="s">
        <v>31</v>
      </c>
    </row>
    <row r="330" spans="1:20" x14ac:dyDescent="0.3">
      <c r="A330" s="10">
        <v>45869</v>
      </c>
      <c r="B330" s="11">
        <v>127610</v>
      </c>
      <c r="C330" s="11" t="s">
        <v>31</v>
      </c>
      <c r="D330" s="11" t="s">
        <v>670</v>
      </c>
      <c r="E330" s="11" t="s">
        <v>35</v>
      </c>
      <c r="F330" s="11" t="s">
        <v>35</v>
      </c>
      <c r="G330" s="12">
        <v>4</v>
      </c>
      <c r="H330" s="13">
        <v>150</v>
      </c>
      <c r="I330" s="14">
        <f t="shared" si="44"/>
        <v>600</v>
      </c>
      <c r="J330" s="15">
        <v>6.3E-3</v>
      </c>
      <c r="K330" s="15">
        <f t="shared" si="43"/>
        <v>1.575E-3</v>
      </c>
      <c r="L330" s="14" t="s">
        <v>26</v>
      </c>
      <c r="M330" s="14">
        <f t="shared" si="45"/>
        <v>3.7800000000000002</v>
      </c>
      <c r="N330" s="14">
        <f t="shared" si="42"/>
        <v>0.94500000000000006</v>
      </c>
      <c r="O330" s="11" t="s">
        <v>597</v>
      </c>
      <c r="P330" s="11" t="s">
        <v>597</v>
      </c>
      <c r="Q330" s="11"/>
      <c r="R330" s="11">
        <v>1</v>
      </c>
      <c r="S330" s="11" t="s">
        <v>597</v>
      </c>
      <c r="T330" s="16" t="s">
        <v>31</v>
      </c>
    </row>
    <row r="331" spans="1:20" x14ac:dyDescent="0.3">
      <c r="A331" s="10">
        <v>45870</v>
      </c>
      <c r="B331" s="11">
        <v>127806</v>
      </c>
      <c r="C331" s="11" t="s">
        <v>31</v>
      </c>
      <c r="D331" s="11" t="s">
        <v>645</v>
      </c>
      <c r="E331" s="11" t="s">
        <v>145</v>
      </c>
      <c r="F331" s="11" t="s">
        <v>554</v>
      </c>
      <c r="G331" s="12">
        <v>9</v>
      </c>
      <c r="H331" s="13">
        <v>189</v>
      </c>
      <c r="I331" s="14">
        <f t="shared" si="44"/>
        <v>1701</v>
      </c>
      <c r="J331" s="15">
        <v>7.0000000000000007E-2</v>
      </c>
      <c r="K331" s="15">
        <f t="shared" si="43"/>
        <v>1.7500000000000002E-2</v>
      </c>
      <c r="L331" s="14" t="s">
        <v>26</v>
      </c>
      <c r="M331" s="14">
        <f t="shared" si="45"/>
        <v>119.07000000000001</v>
      </c>
      <c r="N331" s="14">
        <f t="shared" si="42"/>
        <v>29.767500000000002</v>
      </c>
      <c r="O331" s="11" t="s">
        <v>27</v>
      </c>
      <c r="P331" s="11" t="s">
        <v>27</v>
      </c>
      <c r="Q331" s="11"/>
      <c r="R331" s="11">
        <v>6</v>
      </c>
      <c r="S331" s="11" t="s">
        <v>28</v>
      </c>
      <c r="T331" s="16" t="s">
        <v>31</v>
      </c>
    </row>
    <row r="332" spans="1:20" x14ac:dyDescent="0.3">
      <c r="A332" s="10">
        <v>45870</v>
      </c>
      <c r="B332" s="11">
        <v>127806</v>
      </c>
      <c r="C332" s="11" t="s">
        <v>31</v>
      </c>
      <c r="D332" s="11" t="s">
        <v>645</v>
      </c>
      <c r="E332" s="11" t="s">
        <v>145</v>
      </c>
      <c r="F332" s="11" t="s">
        <v>30</v>
      </c>
      <c r="G332" s="12">
        <v>1</v>
      </c>
      <c r="H332" s="13">
        <v>310</v>
      </c>
      <c r="I332" s="14">
        <f t="shared" si="44"/>
        <v>310</v>
      </c>
      <c r="J332" s="15">
        <v>1</v>
      </c>
      <c r="K332" s="15">
        <f t="shared" si="43"/>
        <v>0.25</v>
      </c>
      <c r="L332" s="14" t="s">
        <v>26</v>
      </c>
      <c r="M332" s="14">
        <f t="shared" si="45"/>
        <v>310</v>
      </c>
      <c r="N332" s="14">
        <f t="shared" si="42"/>
        <v>77.5</v>
      </c>
      <c r="O332" s="11" t="s">
        <v>27</v>
      </c>
      <c r="P332" s="11" t="s">
        <v>27</v>
      </c>
      <c r="Q332" s="11"/>
      <c r="R332" s="11">
        <v>1</v>
      </c>
      <c r="S332" s="11" t="s">
        <v>28</v>
      </c>
      <c r="T332" s="16" t="s">
        <v>31</v>
      </c>
    </row>
    <row r="333" spans="1:20" x14ac:dyDescent="0.3">
      <c r="A333" s="10">
        <v>45870</v>
      </c>
      <c r="B333" s="11">
        <v>127249</v>
      </c>
      <c r="C333" s="11" t="s">
        <v>44</v>
      </c>
      <c r="D333" s="11" t="s">
        <v>671</v>
      </c>
      <c r="E333" s="11" t="s">
        <v>63</v>
      </c>
      <c r="F333" s="11" t="s">
        <v>554</v>
      </c>
      <c r="G333" s="12">
        <v>80</v>
      </c>
      <c r="H333" s="13">
        <v>180.2</v>
      </c>
      <c r="I333" s="14">
        <f t="shared" si="44"/>
        <v>14416</v>
      </c>
      <c r="J333" s="15">
        <v>7.0000000000000007E-2</v>
      </c>
      <c r="K333" s="15">
        <f t="shared" si="43"/>
        <v>1.7500000000000002E-2</v>
      </c>
      <c r="L333" s="14" t="s">
        <v>46</v>
      </c>
      <c r="M333" s="14">
        <f t="shared" si="45"/>
        <v>1009.1200000000001</v>
      </c>
      <c r="N333" s="14">
        <f t="shared" si="42"/>
        <v>252.28000000000003</v>
      </c>
      <c r="O333" s="11" t="s">
        <v>27</v>
      </c>
      <c r="P333" s="11" t="s">
        <v>27</v>
      </c>
      <c r="Q333" s="11"/>
      <c r="R333" s="11">
        <v>6</v>
      </c>
      <c r="S333" s="11" t="s">
        <v>28</v>
      </c>
      <c r="T333" s="16" t="s">
        <v>44</v>
      </c>
    </row>
    <row r="334" spans="1:20" x14ac:dyDescent="0.3">
      <c r="A334" s="10">
        <v>45870</v>
      </c>
      <c r="B334" s="11">
        <v>127249</v>
      </c>
      <c r="C334" s="11" t="s">
        <v>44</v>
      </c>
      <c r="D334" s="11" t="s">
        <v>671</v>
      </c>
      <c r="E334" s="11" t="s">
        <v>63</v>
      </c>
      <c r="F334" s="11" t="s">
        <v>30</v>
      </c>
      <c r="G334" s="12">
        <v>20</v>
      </c>
      <c r="H334" s="13">
        <v>90.36</v>
      </c>
      <c r="I334" s="14">
        <f t="shared" si="44"/>
        <v>1807.2</v>
      </c>
      <c r="J334" s="15">
        <v>1</v>
      </c>
      <c r="K334" s="15">
        <f t="shared" si="43"/>
        <v>0.25</v>
      </c>
      <c r="L334" s="14" t="s">
        <v>46</v>
      </c>
      <c r="M334" s="14">
        <f t="shared" si="45"/>
        <v>1807.2</v>
      </c>
      <c r="N334" s="14">
        <f t="shared" si="42"/>
        <v>451.8</v>
      </c>
      <c r="O334" s="11" t="s">
        <v>27</v>
      </c>
      <c r="P334" s="11" t="s">
        <v>27</v>
      </c>
      <c r="Q334" s="11"/>
      <c r="R334" s="11">
        <v>1</v>
      </c>
      <c r="S334" s="11" t="s">
        <v>28</v>
      </c>
      <c r="T334" s="16" t="s">
        <v>44</v>
      </c>
    </row>
    <row r="335" spans="1:20" x14ac:dyDescent="0.3">
      <c r="A335" s="10">
        <v>45870</v>
      </c>
      <c r="B335" s="11" t="s">
        <v>672</v>
      </c>
      <c r="C335" s="11" t="s">
        <v>44</v>
      </c>
      <c r="D335" s="11" t="s">
        <v>137</v>
      </c>
      <c r="E335" s="11" t="s">
        <v>47</v>
      </c>
      <c r="F335" s="11" t="s">
        <v>554</v>
      </c>
      <c r="G335" s="12">
        <v>268</v>
      </c>
      <c r="H335" s="13">
        <v>171.72</v>
      </c>
      <c r="I335" s="14">
        <f t="shared" si="44"/>
        <v>46020.959999999999</v>
      </c>
      <c r="J335" s="15">
        <v>0.05</v>
      </c>
      <c r="K335" s="15">
        <f t="shared" si="43"/>
        <v>1.2500000000000001E-2</v>
      </c>
      <c r="L335" s="14" t="s">
        <v>46</v>
      </c>
      <c r="M335" s="14">
        <f t="shared" si="45"/>
        <v>2301.0480000000002</v>
      </c>
      <c r="N335" s="14">
        <f t="shared" si="42"/>
        <v>575.26200000000006</v>
      </c>
      <c r="O335" s="11" t="s">
        <v>27</v>
      </c>
      <c r="P335" s="11" t="s">
        <v>27</v>
      </c>
      <c r="Q335" s="11"/>
      <c r="R335" s="11">
        <v>10</v>
      </c>
      <c r="S335" s="11" t="s">
        <v>28</v>
      </c>
      <c r="T335" s="16" t="s">
        <v>44</v>
      </c>
    </row>
    <row r="336" spans="1:20" x14ac:dyDescent="0.3">
      <c r="A336" s="10">
        <v>45870</v>
      </c>
      <c r="B336" s="11" t="s">
        <v>672</v>
      </c>
      <c r="C336" s="11" t="s">
        <v>44</v>
      </c>
      <c r="D336" s="11" t="s">
        <v>137</v>
      </c>
      <c r="E336" s="11" t="s">
        <v>47</v>
      </c>
      <c r="F336" s="11" t="s">
        <v>30</v>
      </c>
      <c r="G336" s="12">
        <v>10</v>
      </c>
      <c r="H336" s="13">
        <v>275.62</v>
      </c>
      <c r="I336" s="14">
        <f t="shared" si="44"/>
        <v>2756.2</v>
      </c>
      <c r="J336" s="15">
        <v>1</v>
      </c>
      <c r="K336" s="15">
        <f t="shared" si="43"/>
        <v>0.25</v>
      </c>
      <c r="L336" s="14" t="s">
        <v>46</v>
      </c>
      <c r="M336" s="14">
        <f t="shared" si="45"/>
        <v>2756.2</v>
      </c>
      <c r="N336" s="14">
        <f t="shared" si="42"/>
        <v>689.05</v>
      </c>
      <c r="O336" s="11" t="s">
        <v>27</v>
      </c>
      <c r="P336" s="11" t="s">
        <v>27</v>
      </c>
      <c r="Q336" s="11"/>
      <c r="R336" s="11">
        <v>1</v>
      </c>
      <c r="S336" s="11" t="s">
        <v>28</v>
      </c>
      <c r="T336" s="16" t="s">
        <v>44</v>
      </c>
    </row>
    <row r="337" spans="1:20" x14ac:dyDescent="0.3">
      <c r="A337" s="10">
        <v>45870</v>
      </c>
      <c r="B337" s="11" t="s">
        <v>672</v>
      </c>
      <c r="C337" s="11" t="s">
        <v>44</v>
      </c>
      <c r="D337" s="11" t="s">
        <v>137</v>
      </c>
      <c r="E337" s="11" t="s">
        <v>63</v>
      </c>
      <c r="F337" s="11" t="s">
        <v>554</v>
      </c>
      <c r="G337" s="12">
        <v>52</v>
      </c>
      <c r="H337" s="13">
        <v>171.72</v>
      </c>
      <c r="I337" s="14">
        <f t="shared" si="44"/>
        <v>8929.44</v>
      </c>
      <c r="J337" s="15">
        <v>0.05</v>
      </c>
      <c r="K337" s="15">
        <f t="shared" si="43"/>
        <v>1.2500000000000001E-2</v>
      </c>
      <c r="L337" s="14" t="s">
        <v>46</v>
      </c>
      <c r="M337" s="14">
        <f t="shared" si="45"/>
        <v>446.47200000000004</v>
      </c>
      <c r="N337" s="14">
        <f t="shared" si="42"/>
        <v>111.61800000000001</v>
      </c>
      <c r="O337" s="11" t="s">
        <v>27</v>
      </c>
      <c r="P337" s="11" t="s">
        <v>27</v>
      </c>
      <c r="Q337" s="11"/>
      <c r="R337" s="11">
        <v>10</v>
      </c>
      <c r="S337" s="11" t="s">
        <v>28</v>
      </c>
      <c r="T337" s="16" t="s">
        <v>44</v>
      </c>
    </row>
    <row r="338" spans="1:20" x14ac:dyDescent="0.3">
      <c r="A338" s="10">
        <v>45870</v>
      </c>
      <c r="B338" s="11" t="s">
        <v>672</v>
      </c>
      <c r="C338" s="11" t="s">
        <v>44</v>
      </c>
      <c r="D338" s="11" t="s">
        <v>137</v>
      </c>
      <c r="E338" s="11" t="s">
        <v>63</v>
      </c>
      <c r="F338" s="11" t="s">
        <v>30</v>
      </c>
      <c r="G338" s="12">
        <v>10</v>
      </c>
      <c r="H338" s="13">
        <v>98.8</v>
      </c>
      <c r="I338" s="14">
        <f t="shared" si="44"/>
        <v>988</v>
      </c>
      <c r="J338" s="15">
        <v>1</v>
      </c>
      <c r="K338" s="15">
        <f t="shared" si="43"/>
        <v>0.25</v>
      </c>
      <c r="L338" s="14" t="s">
        <v>46</v>
      </c>
      <c r="M338" s="14">
        <f t="shared" si="45"/>
        <v>988</v>
      </c>
      <c r="N338" s="14">
        <f t="shared" si="42"/>
        <v>247</v>
      </c>
      <c r="O338" s="11" t="s">
        <v>27</v>
      </c>
      <c r="P338" s="11" t="s">
        <v>27</v>
      </c>
      <c r="Q338" s="11"/>
      <c r="R338" s="11">
        <v>1</v>
      </c>
      <c r="S338" s="11" t="s">
        <v>28</v>
      </c>
      <c r="T338" s="16" t="s">
        <v>44</v>
      </c>
    </row>
    <row r="339" spans="1:20" x14ac:dyDescent="0.3">
      <c r="A339" s="10">
        <v>45873</v>
      </c>
      <c r="B339" s="11">
        <v>127952</v>
      </c>
      <c r="C339" s="11" t="s">
        <v>31</v>
      </c>
      <c r="D339" s="11" t="s">
        <v>673</v>
      </c>
      <c r="E339" s="11" t="s">
        <v>24</v>
      </c>
      <c r="F339" s="11" t="s">
        <v>554</v>
      </c>
      <c r="G339" s="12">
        <v>40</v>
      </c>
      <c r="H339" s="13">
        <v>168</v>
      </c>
      <c r="I339" s="14">
        <f t="shared" si="44"/>
        <v>6720</v>
      </c>
      <c r="J339" s="15">
        <v>3.6900000000000002E-2</v>
      </c>
      <c r="K339" s="15">
        <f t="shared" si="43"/>
        <v>9.2250000000000006E-3</v>
      </c>
      <c r="L339" s="14" t="s">
        <v>26</v>
      </c>
      <c r="M339" s="14">
        <f t="shared" si="45"/>
        <v>247.96800000000002</v>
      </c>
      <c r="N339" s="14">
        <f t="shared" si="42"/>
        <v>61.992000000000004</v>
      </c>
      <c r="O339" s="11" t="s">
        <v>597</v>
      </c>
      <c r="P339" s="11" t="s">
        <v>597</v>
      </c>
      <c r="Q339" s="11"/>
      <c r="R339" s="11">
        <v>8</v>
      </c>
      <c r="S339" s="11" t="s">
        <v>597</v>
      </c>
      <c r="T339" s="16" t="s">
        <v>31</v>
      </c>
    </row>
    <row r="340" spans="1:20" x14ac:dyDescent="0.3">
      <c r="A340" s="10">
        <v>45876</v>
      </c>
      <c r="B340" s="11">
        <v>128300</v>
      </c>
      <c r="C340" s="11" t="s">
        <v>31</v>
      </c>
      <c r="D340" s="11" t="s">
        <v>79</v>
      </c>
      <c r="E340" s="11" t="s">
        <v>24</v>
      </c>
      <c r="F340" s="11" t="s">
        <v>554</v>
      </c>
      <c r="G340" s="12">
        <v>16</v>
      </c>
      <c r="H340" s="13">
        <v>210</v>
      </c>
      <c r="I340" s="14">
        <f t="shared" si="44"/>
        <v>3360</v>
      </c>
      <c r="J340" s="15">
        <v>7.0000000000000007E-2</v>
      </c>
      <c r="K340" s="15">
        <f t="shared" si="43"/>
        <v>1.7500000000000002E-2</v>
      </c>
      <c r="L340" s="14" t="s">
        <v>26</v>
      </c>
      <c r="M340" s="14">
        <f t="shared" si="45"/>
        <v>235.20000000000002</v>
      </c>
      <c r="N340" s="14">
        <f t="shared" si="42"/>
        <v>58.800000000000004</v>
      </c>
      <c r="O340" s="11" t="s">
        <v>597</v>
      </c>
      <c r="P340" s="11" t="s">
        <v>597</v>
      </c>
      <c r="Q340" s="11"/>
      <c r="R340" s="11">
        <v>6</v>
      </c>
      <c r="S340" s="11" t="s">
        <v>597</v>
      </c>
      <c r="T340" s="16" t="s">
        <v>31</v>
      </c>
    </row>
    <row r="341" spans="1:20" x14ac:dyDescent="0.3">
      <c r="A341" s="10">
        <v>45876</v>
      </c>
      <c r="B341" s="11">
        <v>128318</v>
      </c>
      <c r="C341" s="11" t="s">
        <v>31</v>
      </c>
      <c r="D341" s="11" t="s">
        <v>674</v>
      </c>
      <c r="E341" s="11" t="s">
        <v>24</v>
      </c>
      <c r="F341" s="11" t="s">
        <v>554</v>
      </c>
      <c r="G341" s="12">
        <v>8</v>
      </c>
      <c r="H341" s="13">
        <v>210</v>
      </c>
      <c r="I341" s="14">
        <f t="shared" si="44"/>
        <v>1680</v>
      </c>
      <c r="J341" s="15">
        <v>7.0000000000000007E-2</v>
      </c>
      <c r="K341" s="15">
        <f t="shared" si="43"/>
        <v>1.7500000000000002E-2</v>
      </c>
      <c r="L341" s="14" t="s">
        <v>26</v>
      </c>
      <c r="M341" s="14">
        <f t="shared" si="45"/>
        <v>117.60000000000001</v>
      </c>
      <c r="N341" s="14">
        <f t="shared" si="42"/>
        <v>29.400000000000002</v>
      </c>
      <c r="O341" s="11" t="s">
        <v>597</v>
      </c>
      <c r="P341" s="11" t="s">
        <v>597</v>
      </c>
      <c r="Q341" s="11"/>
      <c r="R341" s="11">
        <v>8</v>
      </c>
      <c r="S341" s="11" t="s">
        <v>597</v>
      </c>
      <c r="T341" s="16" t="s">
        <v>31</v>
      </c>
    </row>
    <row r="342" spans="1:20" x14ac:dyDescent="0.3">
      <c r="A342" s="10">
        <v>45876</v>
      </c>
      <c r="B342" s="11">
        <v>128242</v>
      </c>
      <c r="C342" s="11" t="s">
        <v>31</v>
      </c>
      <c r="D342" s="11" t="s">
        <v>95</v>
      </c>
      <c r="E342" s="11" t="s">
        <v>580</v>
      </c>
      <c r="F342" s="11" t="s">
        <v>554</v>
      </c>
      <c r="G342" s="12">
        <v>16</v>
      </c>
      <c r="H342" s="13">
        <v>189</v>
      </c>
      <c r="I342" s="14">
        <f t="shared" si="44"/>
        <v>3024</v>
      </c>
      <c r="J342" s="15">
        <v>7.0000000000000007E-2</v>
      </c>
      <c r="K342" s="15">
        <f t="shared" si="43"/>
        <v>1.7500000000000002E-2</v>
      </c>
      <c r="L342" s="14" t="s">
        <v>26</v>
      </c>
      <c r="M342" s="14">
        <f t="shared" si="45"/>
        <v>211.68</v>
      </c>
      <c r="N342" s="14">
        <f t="shared" si="42"/>
        <v>52.92</v>
      </c>
      <c r="O342" s="11" t="s">
        <v>27</v>
      </c>
      <c r="P342" s="11" t="s">
        <v>27</v>
      </c>
      <c r="Q342" s="11"/>
      <c r="R342" s="11">
        <v>6</v>
      </c>
      <c r="S342" s="11" t="s">
        <v>28</v>
      </c>
      <c r="T342" s="16" t="s">
        <v>31</v>
      </c>
    </row>
    <row r="343" spans="1:20" x14ac:dyDescent="0.3">
      <c r="A343" s="10">
        <v>45876</v>
      </c>
      <c r="B343" s="11">
        <v>128242</v>
      </c>
      <c r="C343" s="11" t="s">
        <v>31</v>
      </c>
      <c r="D343" s="11" t="s">
        <v>95</v>
      </c>
      <c r="E343" s="11" t="s">
        <v>580</v>
      </c>
      <c r="F343" s="11" t="s">
        <v>30</v>
      </c>
      <c r="G343" s="12">
        <v>1</v>
      </c>
      <c r="H343" s="13">
        <v>605</v>
      </c>
      <c r="I343" s="14">
        <f t="shared" si="44"/>
        <v>605</v>
      </c>
      <c r="J343" s="15">
        <v>1</v>
      </c>
      <c r="K343" s="15">
        <f t="shared" si="43"/>
        <v>0.25</v>
      </c>
      <c r="L343" s="14" t="s">
        <v>26</v>
      </c>
      <c r="M343" s="14">
        <f t="shared" si="45"/>
        <v>605</v>
      </c>
      <c r="N343" s="14">
        <f t="shared" si="42"/>
        <v>151.25</v>
      </c>
      <c r="O343" s="11" t="s">
        <v>27</v>
      </c>
      <c r="P343" s="11" t="s">
        <v>27</v>
      </c>
      <c r="Q343" s="11"/>
      <c r="R343" s="11">
        <v>1</v>
      </c>
      <c r="S343" s="11" t="s">
        <v>28</v>
      </c>
      <c r="T343" s="16" t="s">
        <v>31</v>
      </c>
    </row>
    <row r="344" spans="1:20" x14ac:dyDescent="0.3">
      <c r="A344" s="10">
        <v>45888</v>
      </c>
      <c r="B344" s="11">
        <v>128860</v>
      </c>
      <c r="C344" s="11" t="s">
        <v>22</v>
      </c>
      <c r="D344" s="11" t="s">
        <v>675</v>
      </c>
      <c r="E344" s="11" t="s">
        <v>47</v>
      </c>
      <c r="F344" s="11" t="s">
        <v>554</v>
      </c>
      <c r="G344" s="12">
        <v>260</v>
      </c>
      <c r="H344" s="13">
        <v>185</v>
      </c>
      <c r="I344" s="14">
        <f t="shared" si="44"/>
        <v>48100</v>
      </c>
      <c r="J344" s="15">
        <v>7.0000000000000007E-2</v>
      </c>
      <c r="K344" s="15">
        <v>0</v>
      </c>
      <c r="L344" s="14" t="s">
        <v>46</v>
      </c>
      <c r="M344" s="14">
        <f t="shared" si="45"/>
        <v>3367.0000000000005</v>
      </c>
      <c r="N344" s="14">
        <f t="shared" si="42"/>
        <v>0</v>
      </c>
      <c r="O344" s="11" t="s">
        <v>27</v>
      </c>
      <c r="P344" s="11" t="s">
        <v>27</v>
      </c>
      <c r="Q344" s="11"/>
      <c r="R344" s="11">
        <v>12</v>
      </c>
      <c r="S344" s="11" t="s">
        <v>28</v>
      </c>
      <c r="T344" s="16" t="s">
        <v>22</v>
      </c>
    </row>
    <row r="345" spans="1:20" x14ac:dyDescent="0.3">
      <c r="A345" s="10">
        <v>45888</v>
      </c>
      <c r="B345" s="11">
        <v>128860</v>
      </c>
      <c r="C345" s="11" t="s">
        <v>22</v>
      </c>
      <c r="D345" s="11" t="s">
        <v>675</v>
      </c>
      <c r="E345" s="11" t="s">
        <v>63</v>
      </c>
      <c r="F345" s="11" t="s">
        <v>554</v>
      </c>
      <c r="G345" s="12">
        <v>40</v>
      </c>
      <c r="H345" s="13">
        <v>185</v>
      </c>
      <c r="I345" s="14">
        <f t="shared" si="44"/>
        <v>7400</v>
      </c>
      <c r="J345" s="15">
        <v>7.0000000000000007E-2</v>
      </c>
      <c r="K345" s="15">
        <v>0</v>
      </c>
      <c r="L345" s="14" t="s">
        <v>46</v>
      </c>
      <c r="M345" s="14">
        <f t="shared" si="45"/>
        <v>518</v>
      </c>
      <c r="N345" s="14">
        <f t="shared" si="42"/>
        <v>0</v>
      </c>
      <c r="O345" s="11" t="s">
        <v>27</v>
      </c>
      <c r="P345" s="11" t="s">
        <v>27</v>
      </c>
      <c r="Q345" s="11"/>
      <c r="R345" s="11">
        <v>12</v>
      </c>
      <c r="S345" s="11" t="s">
        <v>28</v>
      </c>
      <c r="T345" s="16" t="s">
        <v>22</v>
      </c>
    </row>
    <row r="346" spans="1:20" x14ac:dyDescent="0.3">
      <c r="A346" s="10">
        <v>45888</v>
      </c>
      <c r="B346" s="11">
        <v>128860</v>
      </c>
      <c r="C346" s="11" t="s">
        <v>22</v>
      </c>
      <c r="D346" s="11" t="s">
        <v>675</v>
      </c>
      <c r="E346" s="11" t="s">
        <v>47</v>
      </c>
      <c r="F346" s="11" t="s">
        <v>30</v>
      </c>
      <c r="G346" s="12">
        <v>10</v>
      </c>
      <c r="H346" s="13">
        <v>275.62</v>
      </c>
      <c r="I346" s="14">
        <f t="shared" si="44"/>
        <v>2756.2</v>
      </c>
      <c r="J346" s="15">
        <v>1</v>
      </c>
      <c r="K346" s="15">
        <v>0</v>
      </c>
      <c r="L346" s="14" t="s">
        <v>46</v>
      </c>
      <c r="M346" s="14">
        <f t="shared" si="45"/>
        <v>2756.2</v>
      </c>
      <c r="N346" s="14">
        <f t="shared" si="42"/>
        <v>0</v>
      </c>
      <c r="O346" s="11" t="s">
        <v>27</v>
      </c>
      <c r="P346" s="11" t="s">
        <v>27</v>
      </c>
      <c r="Q346" s="11"/>
      <c r="R346" s="11">
        <v>1</v>
      </c>
      <c r="S346" s="11" t="s">
        <v>28</v>
      </c>
      <c r="T346" s="16" t="s">
        <v>22</v>
      </c>
    </row>
    <row r="347" spans="1:20" x14ac:dyDescent="0.3">
      <c r="A347" s="10">
        <v>45888</v>
      </c>
      <c r="B347" s="11">
        <v>128860</v>
      </c>
      <c r="C347" s="11" t="s">
        <v>22</v>
      </c>
      <c r="D347" s="11" t="s">
        <v>675</v>
      </c>
      <c r="E347" s="11" t="s">
        <v>63</v>
      </c>
      <c r="F347" s="11" t="s">
        <v>30</v>
      </c>
      <c r="G347" s="12">
        <v>30</v>
      </c>
      <c r="H347" s="13">
        <v>87</v>
      </c>
      <c r="I347" s="14">
        <f t="shared" si="44"/>
        <v>2610</v>
      </c>
      <c r="J347" s="15">
        <v>1</v>
      </c>
      <c r="K347" s="15">
        <v>0</v>
      </c>
      <c r="L347" s="14" t="s">
        <v>46</v>
      </c>
      <c r="M347" s="14">
        <f t="shared" si="45"/>
        <v>2610</v>
      </c>
      <c r="N347" s="14">
        <f t="shared" si="42"/>
        <v>0</v>
      </c>
      <c r="O347" s="11" t="s">
        <v>27</v>
      </c>
      <c r="P347" s="11" t="s">
        <v>27</v>
      </c>
      <c r="Q347" s="11"/>
      <c r="R347" s="11">
        <v>1</v>
      </c>
      <c r="S347" s="11" t="s">
        <v>28</v>
      </c>
      <c r="T347" s="16" t="s">
        <v>22</v>
      </c>
    </row>
    <row r="348" spans="1:20" x14ac:dyDescent="0.3">
      <c r="A348" s="10">
        <v>45888</v>
      </c>
      <c r="B348" s="11">
        <v>128861</v>
      </c>
      <c r="C348" s="11" t="s">
        <v>22</v>
      </c>
      <c r="D348" s="11" t="s">
        <v>675</v>
      </c>
      <c r="E348" s="11" t="s">
        <v>102</v>
      </c>
      <c r="F348" s="11" t="s">
        <v>41</v>
      </c>
      <c r="G348" s="12">
        <v>1</v>
      </c>
      <c r="H348" s="13">
        <v>1600</v>
      </c>
      <c r="I348" s="14">
        <f t="shared" si="44"/>
        <v>1600</v>
      </c>
      <c r="J348" s="15">
        <v>7.0000000000000007E-2</v>
      </c>
      <c r="K348" s="15">
        <v>0</v>
      </c>
      <c r="L348" s="14" t="s">
        <v>46</v>
      </c>
      <c r="M348" s="14">
        <f t="shared" si="45"/>
        <v>112.00000000000001</v>
      </c>
      <c r="N348" s="14">
        <f t="shared" si="42"/>
        <v>0</v>
      </c>
      <c r="O348" s="11" t="s">
        <v>27</v>
      </c>
      <c r="P348" s="11" t="s">
        <v>27</v>
      </c>
      <c r="Q348" s="11"/>
      <c r="R348" s="11">
        <v>12</v>
      </c>
      <c r="S348" s="11" t="s">
        <v>28</v>
      </c>
      <c r="T348" s="16" t="s">
        <v>22</v>
      </c>
    </row>
    <row r="349" spans="1:20" x14ac:dyDescent="0.3">
      <c r="A349" s="10">
        <v>45888</v>
      </c>
      <c r="B349" s="11">
        <v>128861</v>
      </c>
      <c r="C349" s="11" t="s">
        <v>22</v>
      </c>
      <c r="D349" s="11" t="s">
        <v>675</v>
      </c>
      <c r="E349" s="11" t="s">
        <v>102</v>
      </c>
      <c r="F349" s="11" t="s">
        <v>30</v>
      </c>
      <c r="G349" s="12">
        <v>1</v>
      </c>
      <c r="H349" s="13">
        <v>1371.27</v>
      </c>
      <c r="I349" s="14">
        <f t="shared" si="44"/>
        <v>1371.27</v>
      </c>
      <c r="J349" s="15">
        <v>1</v>
      </c>
      <c r="K349" s="15">
        <v>0</v>
      </c>
      <c r="L349" s="14" t="s">
        <v>46</v>
      </c>
      <c r="M349" s="14">
        <f t="shared" si="45"/>
        <v>1371.27</v>
      </c>
      <c r="N349" s="14">
        <f t="shared" si="42"/>
        <v>0</v>
      </c>
      <c r="O349" s="11" t="s">
        <v>27</v>
      </c>
      <c r="P349" s="11" t="s">
        <v>27</v>
      </c>
      <c r="Q349" s="11"/>
      <c r="R349" s="11">
        <v>1</v>
      </c>
      <c r="S349" s="11" t="s">
        <v>28</v>
      </c>
      <c r="T349" s="16" t="s">
        <v>22</v>
      </c>
    </row>
    <row r="350" spans="1:20" x14ac:dyDescent="0.3">
      <c r="A350" s="10">
        <v>45888</v>
      </c>
      <c r="B350" s="11">
        <v>128861</v>
      </c>
      <c r="C350" s="11" t="s">
        <v>22</v>
      </c>
      <c r="D350" s="11" t="s">
        <v>675</v>
      </c>
      <c r="E350" s="11" t="s">
        <v>102</v>
      </c>
      <c r="F350" s="11" t="s">
        <v>30</v>
      </c>
      <c r="G350" s="12">
        <v>12</v>
      </c>
      <c r="H350" s="13">
        <v>52</v>
      </c>
      <c r="I350" s="14">
        <f t="shared" si="44"/>
        <v>624</v>
      </c>
      <c r="J350" s="15">
        <v>1</v>
      </c>
      <c r="K350" s="15">
        <v>0</v>
      </c>
      <c r="L350" s="14" t="s">
        <v>46</v>
      </c>
      <c r="M350" s="14">
        <f t="shared" si="45"/>
        <v>624</v>
      </c>
      <c r="N350" s="14">
        <f t="shared" si="42"/>
        <v>0</v>
      </c>
      <c r="O350" s="11" t="s">
        <v>27</v>
      </c>
      <c r="P350" s="11" t="s">
        <v>27</v>
      </c>
      <c r="Q350" s="11"/>
      <c r="R350" s="11">
        <v>1</v>
      </c>
      <c r="S350" s="11" t="s">
        <v>28</v>
      </c>
      <c r="T350" s="16" t="s">
        <v>22</v>
      </c>
    </row>
    <row r="351" spans="1:20" x14ac:dyDescent="0.3">
      <c r="A351" s="10">
        <v>45888</v>
      </c>
      <c r="B351" s="11">
        <v>126929</v>
      </c>
      <c r="C351" s="11" t="s">
        <v>31</v>
      </c>
      <c r="D351" s="11" t="s">
        <v>614</v>
      </c>
      <c r="E351" s="11" t="s">
        <v>35</v>
      </c>
      <c r="F351" s="11" t="s">
        <v>35</v>
      </c>
      <c r="G351" s="12">
        <v>24</v>
      </c>
      <c r="H351" s="13">
        <v>176</v>
      </c>
      <c r="I351" s="14">
        <f t="shared" si="44"/>
        <v>4224</v>
      </c>
      <c r="J351" s="15">
        <v>0.01</v>
      </c>
      <c r="K351" s="15">
        <f t="shared" ref="K351:K382" si="46">J351*0.25</f>
        <v>2.5000000000000001E-3</v>
      </c>
      <c r="L351" s="14" t="s">
        <v>26</v>
      </c>
      <c r="M351" s="14">
        <f t="shared" si="45"/>
        <v>42.24</v>
      </c>
      <c r="N351" s="14">
        <f t="shared" si="42"/>
        <v>10.56</v>
      </c>
      <c r="O351" s="11" t="s">
        <v>597</v>
      </c>
      <c r="P351" s="11" t="s">
        <v>597</v>
      </c>
      <c r="Q351" s="11"/>
      <c r="R351" s="11">
        <v>3</v>
      </c>
      <c r="S351" s="11" t="s">
        <v>597</v>
      </c>
      <c r="T351" s="16" t="s">
        <v>31</v>
      </c>
    </row>
    <row r="352" spans="1:20" x14ac:dyDescent="0.3">
      <c r="A352" s="10">
        <v>45888</v>
      </c>
      <c r="B352" s="11">
        <v>128853</v>
      </c>
      <c r="C352" s="11" t="s">
        <v>31</v>
      </c>
      <c r="D352" s="11" t="s">
        <v>92</v>
      </c>
      <c r="E352" s="11" t="s">
        <v>576</v>
      </c>
      <c r="F352" s="11" t="s">
        <v>30</v>
      </c>
      <c r="G352" s="12">
        <v>40</v>
      </c>
      <c r="H352" s="13">
        <v>18.809999999999999</v>
      </c>
      <c r="I352" s="14">
        <f t="shared" si="44"/>
        <v>752.4</v>
      </c>
      <c r="J352" s="15">
        <v>1</v>
      </c>
      <c r="K352" s="15">
        <f t="shared" si="46"/>
        <v>0.25</v>
      </c>
      <c r="L352" s="14" t="s">
        <v>26</v>
      </c>
      <c r="M352" s="14">
        <f t="shared" si="45"/>
        <v>752.4</v>
      </c>
      <c r="N352" s="14">
        <f t="shared" si="42"/>
        <v>188.1</v>
      </c>
      <c r="O352" s="11" t="s">
        <v>27</v>
      </c>
      <c r="P352" s="11" t="s">
        <v>27</v>
      </c>
      <c r="Q352" s="11"/>
      <c r="R352" s="11">
        <v>1</v>
      </c>
      <c r="S352" s="11" t="s">
        <v>28</v>
      </c>
      <c r="T352" s="16" t="s">
        <v>31</v>
      </c>
    </row>
    <row r="353" spans="1:20" x14ac:dyDescent="0.3">
      <c r="A353" s="10">
        <v>45888</v>
      </c>
      <c r="B353" s="11">
        <v>127380</v>
      </c>
      <c r="C353" s="11" t="s">
        <v>31</v>
      </c>
      <c r="D353" s="11" t="s">
        <v>669</v>
      </c>
      <c r="E353" s="11" t="s">
        <v>24</v>
      </c>
      <c r="F353" s="11" t="s">
        <v>554</v>
      </c>
      <c r="G353" s="12">
        <v>3</v>
      </c>
      <c r="H353" s="13">
        <v>210</v>
      </c>
      <c r="I353" s="14">
        <f t="shared" si="44"/>
        <v>630</v>
      </c>
      <c r="J353" s="15">
        <v>7.0000000000000007E-2</v>
      </c>
      <c r="K353" s="15">
        <f t="shared" si="46"/>
        <v>1.7500000000000002E-2</v>
      </c>
      <c r="L353" s="14" t="s">
        <v>26</v>
      </c>
      <c r="M353" s="14">
        <f t="shared" si="45"/>
        <v>44.1</v>
      </c>
      <c r="N353" s="14">
        <f t="shared" si="42"/>
        <v>11.025</v>
      </c>
      <c r="O353" s="11" t="s">
        <v>597</v>
      </c>
      <c r="P353" s="11" t="s">
        <v>597</v>
      </c>
      <c r="Q353" s="11"/>
      <c r="R353" s="11">
        <v>2</v>
      </c>
      <c r="S353" s="11" t="s">
        <v>597</v>
      </c>
      <c r="T353" s="16" t="s">
        <v>31</v>
      </c>
    </row>
    <row r="354" spans="1:20" x14ac:dyDescent="0.3">
      <c r="A354" s="10">
        <v>45888</v>
      </c>
      <c r="B354" s="11">
        <v>126335</v>
      </c>
      <c r="C354" s="11" t="s">
        <v>31</v>
      </c>
      <c r="D354" s="11" t="s">
        <v>676</v>
      </c>
      <c r="E354" s="11" t="s">
        <v>24</v>
      </c>
      <c r="F354" s="11" t="s">
        <v>554</v>
      </c>
      <c r="G354" s="12">
        <v>32</v>
      </c>
      <c r="H354" s="13">
        <v>189</v>
      </c>
      <c r="I354" s="14">
        <f t="shared" si="44"/>
        <v>6048</v>
      </c>
      <c r="J354" s="15">
        <v>7.0000000000000007E-2</v>
      </c>
      <c r="K354" s="15">
        <f t="shared" si="46"/>
        <v>1.7500000000000002E-2</v>
      </c>
      <c r="L354" s="14" t="s">
        <v>26</v>
      </c>
      <c r="M354" s="14">
        <f t="shared" si="45"/>
        <v>423.36</v>
      </c>
      <c r="N354" s="14">
        <f t="shared" si="42"/>
        <v>105.84</v>
      </c>
      <c r="O354" s="11" t="s">
        <v>597</v>
      </c>
      <c r="P354" s="11" t="s">
        <v>597</v>
      </c>
      <c r="Q354" s="11"/>
      <c r="R354" s="11">
        <v>6</v>
      </c>
      <c r="S354" s="11" t="s">
        <v>597</v>
      </c>
      <c r="T354" s="16" t="s">
        <v>31</v>
      </c>
    </row>
    <row r="355" spans="1:20" x14ac:dyDescent="0.3">
      <c r="A355" s="10">
        <v>45888</v>
      </c>
      <c r="B355" s="11">
        <v>129187</v>
      </c>
      <c r="C355" s="11" t="s">
        <v>31</v>
      </c>
      <c r="D355" s="11" t="s">
        <v>141</v>
      </c>
      <c r="E355" s="11" t="s">
        <v>24</v>
      </c>
      <c r="F355" s="11" t="s">
        <v>554</v>
      </c>
      <c r="G355" s="12">
        <v>12</v>
      </c>
      <c r="H355" s="13">
        <v>166.66</v>
      </c>
      <c r="I355" s="14">
        <f t="shared" si="44"/>
        <v>1999.92</v>
      </c>
      <c r="J355" s="15">
        <v>3.32E-2</v>
      </c>
      <c r="K355" s="15">
        <f t="shared" si="46"/>
        <v>8.3000000000000001E-3</v>
      </c>
      <c r="L355" s="14" t="s">
        <v>26</v>
      </c>
      <c r="M355" s="14">
        <f t="shared" si="45"/>
        <v>66.397344000000004</v>
      </c>
      <c r="N355" s="14">
        <f t="shared" si="42"/>
        <v>16.599336000000001</v>
      </c>
      <c r="O355" s="11" t="s">
        <v>597</v>
      </c>
      <c r="P355" s="11" t="s">
        <v>597</v>
      </c>
      <c r="Q355" s="11"/>
      <c r="R355" s="11">
        <v>2</v>
      </c>
      <c r="S355" s="11" t="s">
        <v>597</v>
      </c>
      <c r="T355" s="16" t="s">
        <v>31</v>
      </c>
    </row>
    <row r="356" spans="1:20" x14ac:dyDescent="0.3">
      <c r="A356" s="10">
        <v>45888</v>
      </c>
      <c r="B356" s="11">
        <v>129152</v>
      </c>
      <c r="C356" s="11" t="s">
        <v>31</v>
      </c>
      <c r="D356" s="11" t="s">
        <v>100</v>
      </c>
      <c r="E356" s="11" t="s">
        <v>24</v>
      </c>
      <c r="F356" s="11" t="s">
        <v>554</v>
      </c>
      <c r="G356" s="12">
        <v>8</v>
      </c>
      <c r="H356" s="13">
        <v>210</v>
      </c>
      <c r="I356" s="14">
        <f t="shared" si="44"/>
        <v>1680</v>
      </c>
      <c r="J356" s="15">
        <v>7.0000000000000007E-2</v>
      </c>
      <c r="K356" s="15">
        <f t="shared" si="46"/>
        <v>1.7500000000000002E-2</v>
      </c>
      <c r="L356" s="14" t="s">
        <v>26</v>
      </c>
      <c r="M356" s="14">
        <f t="shared" si="45"/>
        <v>117.60000000000001</v>
      </c>
      <c r="N356" s="14">
        <f t="shared" si="42"/>
        <v>29.400000000000002</v>
      </c>
      <c r="O356" s="11" t="s">
        <v>597</v>
      </c>
      <c r="P356" s="11" t="s">
        <v>597</v>
      </c>
      <c r="Q356" s="11"/>
      <c r="R356" s="11">
        <v>4</v>
      </c>
      <c r="S356" s="11" t="s">
        <v>597</v>
      </c>
      <c r="T356" s="16" t="s">
        <v>31</v>
      </c>
    </row>
    <row r="357" spans="1:20" x14ac:dyDescent="0.3">
      <c r="A357" s="10">
        <v>45896</v>
      </c>
      <c r="B357" s="11">
        <v>129304</v>
      </c>
      <c r="C357" s="11" t="s">
        <v>31</v>
      </c>
      <c r="D357" s="11" t="s">
        <v>677</v>
      </c>
      <c r="E357" s="11" t="s">
        <v>40</v>
      </c>
      <c r="F357" s="11" t="s">
        <v>41</v>
      </c>
      <c r="G357" s="12">
        <v>1</v>
      </c>
      <c r="H357" s="13">
        <v>5800</v>
      </c>
      <c r="I357" s="14">
        <f t="shared" si="44"/>
        <v>5800</v>
      </c>
      <c r="J357" s="15">
        <v>7.0000000000000007E-2</v>
      </c>
      <c r="K357" s="15">
        <f t="shared" si="46"/>
        <v>1.7500000000000002E-2</v>
      </c>
      <c r="L357" s="14" t="s">
        <v>26</v>
      </c>
      <c r="M357" s="14">
        <f t="shared" si="45"/>
        <v>406.00000000000006</v>
      </c>
      <c r="N357" s="14">
        <f t="shared" si="42"/>
        <v>101.50000000000001</v>
      </c>
      <c r="O357" s="11" t="s">
        <v>597</v>
      </c>
      <c r="P357" s="11" t="s">
        <v>597</v>
      </c>
      <c r="Q357" s="11"/>
      <c r="R357" s="11">
        <v>10</v>
      </c>
      <c r="S357" s="11" t="s">
        <v>597</v>
      </c>
      <c r="T357" s="16" t="s">
        <v>31</v>
      </c>
    </row>
    <row r="358" spans="1:20" x14ac:dyDescent="0.3">
      <c r="A358" s="18">
        <v>45896</v>
      </c>
      <c r="B358" s="11">
        <v>128254</v>
      </c>
      <c r="C358" s="11" t="s">
        <v>31</v>
      </c>
      <c r="D358" s="11" t="s">
        <v>57</v>
      </c>
      <c r="E358" s="11" t="s">
        <v>35</v>
      </c>
      <c r="F358" s="11" t="s">
        <v>35</v>
      </c>
      <c r="G358" s="12">
        <v>2</v>
      </c>
      <c r="H358" s="13">
        <v>176</v>
      </c>
      <c r="I358" s="14">
        <f t="shared" ref="I358:I389" si="47">G358*H358</f>
        <v>352</v>
      </c>
      <c r="J358" s="15">
        <v>7.0000000000000007E-2</v>
      </c>
      <c r="K358" s="15">
        <f t="shared" si="46"/>
        <v>1.7500000000000002E-2</v>
      </c>
      <c r="L358" s="14" t="s">
        <v>26</v>
      </c>
      <c r="M358" s="14">
        <f t="shared" si="45"/>
        <v>24.64</v>
      </c>
      <c r="N358" s="14">
        <f t="shared" si="42"/>
        <v>6.16</v>
      </c>
      <c r="O358" s="11" t="s">
        <v>597</v>
      </c>
      <c r="P358" s="11" t="s">
        <v>597</v>
      </c>
      <c r="Q358" s="11"/>
      <c r="R358" s="11">
        <v>2</v>
      </c>
      <c r="S358" s="11" t="s">
        <v>597</v>
      </c>
      <c r="T358" s="16" t="s">
        <v>31</v>
      </c>
    </row>
    <row r="359" spans="1:20" x14ac:dyDescent="0.3">
      <c r="A359" s="10">
        <v>45902</v>
      </c>
      <c r="B359" s="11">
        <v>129348</v>
      </c>
      <c r="C359" s="11" t="s">
        <v>31</v>
      </c>
      <c r="D359" s="11" t="s">
        <v>95</v>
      </c>
      <c r="E359" s="11" t="s">
        <v>24</v>
      </c>
      <c r="F359" s="11" t="s">
        <v>554</v>
      </c>
      <c r="G359" s="12">
        <v>16</v>
      </c>
      <c r="H359" s="13">
        <v>210</v>
      </c>
      <c r="I359" s="14">
        <f t="shared" si="47"/>
        <v>3360</v>
      </c>
      <c r="J359" s="15">
        <v>7.0000000000000007E-2</v>
      </c>
      <c r="K359" s="15">
        <f t="shared" si="46"/>
        <v>1.7500000000000002E-2</v>
      </c>
      <c r="L359" s="14" t="s">
        <v>26</v>
      </c>
      <c r="M359" s="14">
        <f t="shared" si="45"/>
        <v>235.20000000000002</v>
      </c>
      <c r="N359" s="14">
        <f t="shared" si="42"/>
        <v>58.800000000000004</v>
      </c>
      <c r="O359" s="11" t="s">
        <v>597</v>
      </c>
      <c r="P359" s="11" t="s">
        <v>597</v>
      </c>
      <c r="Q359" s="11"/>
      <c r="R359" s="11">
        <v>6</v>
      </c>
      <c r="S359" s="11" t="s">
        <v>597</v>
      </c>
      <c r="T359" s="16" t="s">
        <v>31</v>
      </c>
    </row>
    <row r="360" spans="1:20" x14ac:dyDescent="0.3">
      <c r="A360" s="10">
        <v>45902</v>
      </c>
      <c r="B360" s="11">
        <v>129838</v>
      </c>
      <c r="C360" s="11" t="s">
        <v>31</v>
      </c>
      <c r="D360" s="11" t="s">
        <v>678</v>
      </c>
      <c r="E360" s="11" t="s">
        <v>24</v>
      </c>
      <c r="F360" s="11" t="s">
        <v>554</v>
      </c>
      <c r="G360" s="12">
        <v>16</v>
      </c>
      <c r="H360" s="13">
        <v>189</v>
      </c>
      <c r="I360" s="14">
        <f t="shared" si="47"/>
        <v>3024</v>
      </c>
      <c r="J360" s="15">
        <v>7.0000000000000007E-2</v>
      </c>
      <c r="K360" s="15">
        <f t="shared" si="46"/>
        <v>1.7500000000000002E-2</v>
      </c>
      <c r="L360" s="14" t="s">
        <v>26</v>
      </c>
      <c r="M360" s="14">
        <f t="shared" si="45"/>
        <v>211.68</v>
      </c>
      <c r="N360" s="14">
        <f t="shared" si="42"/>
        <v>52.92</v>
      </c>
      <c r="O360" s="11" t="s">
        <v>597</v>
      </c>
      <c r="P360" s="11" t="s">
        <v>597</v>
      </c>
      <c r="Q360" s="11"/>
      <c r="R360" s="11">
        <v>6</v>
      </c>
      <c r="S360" s="11" t="s">
        <v>597</v>
      </c>
      <c r="T360" s="16" t="s">
        <v>31</v>
      </c>
    </row>
    <row r="361" spans="1:20" x14ac:dyDescent="0.3">
      <c r="A361" s="10">
        <v>45902</v>
      </c>
      <c r="B361" s="11">
        <v>129486</v>
      </c>
      <c r="C361" s="11" t="s">
        <v>31</v>
      </c>
      <c r="D361" s="11" t="s">
        <v>93</v>
      </c>
      <c r="E361" s="11" t="s">
        <v>40</v>
      </c>
      <c r="F361" s="11" t="s">
        <v>41</v>
      </c>
      <c r="G361" s="12">
        <v>2</v>
      </c>
      <c r="H361" s="13">
        <f>15789.6/2</f>
        <v>7894.8</v>
      </c>
      <c r="I361" s="14">
        <f t="shared" si="47"/>
        <v>15789.6</v>
      </c>
      <c r="J361" s="15">
        <v>7.0000000000000007E-2</v>
      </c>
      <c r="K361" s="15">
        <f t="shared" si="46"/>
        <v>1.7500000000000002E-2</v>
      </c>
      <c r="L361" s="14" t="s">
        <v>26</v>
      </c>
      <c r="M361" s="14">
        <f t="shared" si="45"/>
        <v>1105.2720000000002</v>
      </c>
      <c r="N361" s="14">
        <f t="shared" si="42"/>
        <v>276.31800000000004</v>
      </c>
      <c r="O361" s="11" t="s">
        <v>27</v>
      </c>
      <c r="P361" s="11" t="s">
        <v>27</v>
      </c>
      <c r="Q361" s="11"/>
      <c r="R361" s="11">
        <v>10</v>
      </c>
      <c r="S361" s="11" t="s">
        <v>28</v>
      </c>
      <c r="T361" s="16" t="s">
        <v>31</v>
      </c>
    </row>
    <row r="362" spans="1:20" x14ac:dyDescent="0.3">
      <c r="A362" s="10">
        <v>45902</v>
      </c>
      <c r="B362" s="11">
        <v>129486</v>
      </c>
      <c r="C362" s="11" t="s">
        <v>31</v>
      </c>
      <c r="D362" s="11" t="s">
        <v>93</v>
      </c>
      <c r="E362" s="11" t="s">
        <v>24</v>
      </c>
      <c r="F362" s="11" t="s">
        <v>554</v>
      </c>
      <c r="G362" s="12">
        <v>16</v>
      </c>
      <c r="H362" s="13">
        <v>168</v>
      </c>
      <c r="I362" s="14">
        <f t="shared" si="47"/>
        <v>2688</v>
      </c>
      <c r="J362" s="15">
        <v>3.6900000000000002E-2</v>
      </c>
      <c r="K362" s="15">
        <f t="shared" si="46"/>
        <v>9.2250000000000006E-3</v>
      </c>
      <c r="L362" s="14" t="s">
        <v>26</v>
      </c>
      <c r="M362" s="14">
        <f t="shared" si="45"/>
        <v>99.187200000000004</v>
      </c>
      <c r="N362" s="14">
        <f t="shared" si="42"/>
        <v>24.796800000000001</v>
      </c>
      <c r="O362" s="11" t="s">
        <v>27</v>
      </c>
      <c r="P362" s="11" t="s">
        <v>27</v>
      </c>
      <c r="Q362" s="11"/>
      <c r="R362" s="11">
        <v>10</v>
      </c>
      <c r="S362" s="11" t="s">
        <v>28</v>
      </c>
      <c r="T362" s="16" t="s">
        <v>31</v>
      </c>
    </row>
    <row r="363" spans="1:20" x14ac:dyDescent="0.3">
      <c r="A363" s="10">
        <v>45902</v>
      </c>
      <c r="B363" s="11">
        <v>129486</v>
      </c>
      <c r="C363" s="11" t="s">
        <v>31</v>
      </c>
      <c r="D363" s="11" t="s">
        <v>93</v>
      </c>
      <c r="E363" s="11" t="s">
        <v>47</v>
      </c>
      <c r="F363" s="11" t="s">
        <v>30</v>
      </c>
      <c r="G363" s="12">
        <v>8</v>
      </c>
      <c r="H363" s="13">
        <v>109.65</v>
      </c>
      <c r="I363" s="14">
        <f t="shared" si="47"/>
        <v>877.2</v>
      </c>
      <c r="J363" s="15">
        <v>1</v>
      </c>
      <c r="K363" s="15">
        <f t="shared" si="46"/>
        <v>0.25</v>
      </c>
      <c r="L363" s="14" t="s">
        <v>26</v>
      </c>
      <c r="M363" s="14">
        <f t="shared" si="45"/>
        <v>877.2</v>
      </c>
      <c r="N363" s="14">
        <f t="shared" si="42"/>
        <v>219.3</v>
      </c>
      <c r="O363" s="11" t="s">
        <v>27</v>
      </c>
      <c r="P363" s="11" t="s">
        <v>27</v>
      </c>
      <c r="Q363" s="11"/>
      <c r="R363" s="11">
        <v>1</v>
      </c>
      <c r="S363" s="11" t="s">
        <v>28</v>
      </c>
      <c r="T363" s="16" t="s">
        <v>31</v>
      </c>
    </row>
    <row r="364" spans="1:20" x14ac:dyDescent="0.3">
      <c r="A364" s="10">
        <v>45902</v>
      </c>
      <c r="B364" s="11">
        <v>129486</v>
      </c>
      <c r="C364" s="11" t="s">
        <v>31</v>
      </c>
      <c r="D364" s="11" t="s">
        <v>93</v>
      </c>
      <c r="E364" s="11" t="s">
        <v>590</v>
      </c>
      <c r="F364" s="11" t="s">
        <v>30</v>
      </c>
      <c r="G364" s="12">
        <v>1</v>
      </c>
      <c r="H364" s="13">
        <v>712.8</v>
      </c>
      <c r="I364" s="14">
        <f t="shared" si="47"/>
        <v>712.8</v>
      </c>
      <c r="J364" s="15">
        <v>1</v>
      </c>
      <c r="K364" s="15">
        <f t="shared" si="46"/>
        <v>0.25</v>
      </c>
      <c r="L364" s="14" t="s">
        <v>26</v>
      </c>
      <c r="M364" s="14">
        <f t="shared" si="45"/>
        <v>712.8</v>
      </c>
      <c r="N364" s="14">
        <f t="shared" si="42"/>
        <v>178.2</v>
      </c>
      <c r="O364" s="11" t="s">
        <v>27</v>
      </c>
      <c r="P364" s="11" t="s">
        <v>27</v>
      </c>
      <c r="Q364" s="11"/>
      <c r="R364" s="11">
        <v>1</v>
      </c>
      <c r="S364" s="11" t="s">
        <v>28</v>
      </c>
      <c r="T364" s="16" t="s">
        <v>31</v>
      </c>
    </row>
    <row r="365" spans="1:20" x14ac:dyDescent="0.3">
      <c r="A365" s="10">
        <v>45902</v>
      </c>
      <c r="B365" s="11">
        <v>129735</v>
      </c>
      <c r="C365" s="11" t="s">
        <v>31</v>
      </c>
      <c r="D365" s="11" t="s">
        <v>120</v>
      </c>
      <c r="E365" s="11" t="s">
        <v>40</v>
      </c>
      <c r="F365" s="11" t="s">
        <v>41</v>
      </c>
      <c r="G365" s="12">
        <v>1</v>
      </c>
      <c r="H365" s="13">
        <v>2938.42</v>
      </c>
      <c r="I365" s="14">
        <f t="shared" si="47"/>
        <v>2938.42</v>
      </c>
      <c r="J365" s="15">
        <v>7.0000000000000007E-2</v>
      </c>
      <c r="K365" s="15">
        <f t="shared" si="46"/>
        <v>1.7500000000000002E-2</v>
      </c>
      <c r="L365" s="14" t="s">
        <v>26</v>
      </c>
      <c r="M365" s="14">
        <f t="shared" si="45"/>
        <v>205.68940000000003</v>
      </c>
      <c r="N365" s="14">
        <f t="shared" si="42"/>
        <v>51.422350000000009</v>
      </c>
      <c r="O365" s="11" t="s">
        <v>27</v>
      </c>
      <c r="P365" s="11" t="s">
        <v>27</v>
      </c>
      <c r="Q365" s="11"/>
      <c r="R365" s="11">
        <v>6</v>
      </c>
      <c r="S365" s="11" t="s">
        <v>28</v>
      </c>
      <c r="T365" s="16" t="s">
        <v>31</v>
      </c>
    </row>
    <row r="366" spans="1:20" x14ac:dyDescent="0.3">
      <c r="A366" s="10">
        <v>45910</v>
      </c>
      <c r="B366" s="11">
        <v>129973</v>
      </c>
      <c r="C366" s="11" t="s">
        <v>31</v>
      </c>
      <c r="D366" s="11" t="s">
        <v>679</v>
      </c>
      <c r="E366" s="11" t="s">
        <v>348</v>
      </c>
      <c r="F366" s="11" t="s">
        <v>554</v>
      </c>
      <c r="G366" s="12">
        <v>280</v>
      </c>
      <c r="H366" s="13">
        <v>172.38</v>
      </c>
      <c r="I366" s="14">
        <f t="shared" si="47"/>
        <v>48266.400000000001</v>
      </c>
      <c r="J366" s="15">
        <v>5.3100000000000001E-2</v>
      </c>
      <c r="K366" s="15">
        <f t="shared" si="46"/>
        <v>1.3275E-2</v>
      </c>
      <c r="L366" s="14" t="s">
        <v>26</v>
      </c>
      <c r="M366" s="14">
        <f t="shared" ref="M366:M397" si="48">(J366*I366)</f>
        <v>2562.9458400000003</v>
      </c>
      <c r="N366" s="14">
        <f t="shared" si="42"/>
        <v>640.73646000000008</v>
      </c>
      <c r="O366" s="11" t="s">
        <v>27</v>
      </c>
      <c r="P366" s="11" t="s">
        <v>27</v>
      </c>
      <c r="Q366" s="11"/>
      <c r="R366" s="11">
        <v>10</v>
      </c>
      <c r="S366" s="11" t="s">
        <v>28</v>
      </c>
      <c r="T366" s="16" t="s">
        <v>31</v>
      </c>
    </row>
    <row r="367" spans="1:20" x14ac:dyDescent="0.3">
      <c r="A367" s="10">
        <v>45910</v>
      </c>
      <c r="B367" s="11">
        <v>129973</v>
      </c>
      <c r="C367" s="11" t="s">
        <v>31</v>
      </c>
      <c r="D367" s="11" t="s">
        <v>679</v>
      </c>
      <c r="E367" s="11" t="s">
        <v>35</v>
      </c>
      <c r="F367" s="11" t="s">
        <v>35</v>
      </c>
      <c r="G367" s="12">
        <v>12</v>
      </c>
      <c r="H367" s="13">
        <v>144.47</v>
      </c>
      <c r="I367" s="14">
        <f t="shared" si="47"/>
        <v>1733.6399999999999</v>
      </c>
      <c r="J367" s="15">
        <v>5.4999999999999997E-3</v>
      </c>
      <c r="K367" s="15">
        <f t="shared" si="46"/>
        <v>1.3749999999999999E-3</v>
      </c>
      <c r="L367" s="14" t="s">
        <v>26</v>
      </c>
      <c r="M367" s="14">
        <f t="shared" si="48"/>
        <v>9.5350199999999994</v>
      </c>
      <c r="N367" s="14">
        <f t="shared" si="42"/>
        <v>2.3837549999999998</v>
      </c>
      <c r="O367" s="11" t="s">
        <v>27</v>
      </c>
      <c r="P367" s="11" t="s">
        <v>27</v>
      </c>
      <c r="Q367" s="11"/>
      <c r="R367" s="11">
        <v>10</v>
      </c>
      <c r="S367" s="11" t="s">
        <v>28</v>
      </c>
      <c r="T367" s="16" t="s">
        <v>31</v>
      </c>
    </row>
    <row r="368" spans="1:20" x14ac:dyDescent="0.3">
      <c r="A368" s="10">
        <v>45910</v>
      </c>
      <c r="B368" s="11">
        <v>129973</v>
      </c>
      <c r="C368" s="11" t="s">
        <v>31</v>
      </c>
      <c r="D368" s="11" t="s">
        <v>679</v>
      </c>
      <c r="E368" s="11" t="s">
        <v>348</v>
      </c>
      <c r="F368" s="11" t="s">
        <v>30</v>
      </c>
      <c r="G368" s="12">
        <v>1</v>
      </c>
      <c r="H368" s="13">
        <v>602.13</v>
      </c>
      <c r="I368" s="14">
        <f t="shared" si="47"/>
        <v>602.13</v>
      </c>
      <c r="J368" s="15">
        <v>1</v>
      </c>
      <c r="K368" s="15">
        <f t="shared" si="46"/>
        <v>0.25</v>
      </c>
      <c r="L368" s="14" t="s">
        <v>26</v>
      </c>
      <c r="M368" s="14">
        <f t="shared" si="48"/>
        <v>602.13</v>
      </c>
      <c r="N368" s="14">
        <f t="shared" si="42"/>
        <v>150.5325</v>
      </c>
      <c r="O368" s="11" t="s">
        <v>27</v>
      </c>
      <c r="P368" s="11" t="s">
        <v>27</v>
      </c>
      <c r="Q368" s="11"/>
      <c r="R368" s="11">
        <v>1</v>
      </c>
      <c r="S368" s="11" t="s">
        <v>28</v>
      </c>
      <c r="T368" s="16" t="s">
        <v>31</v>
      </c>
    </row>
    <row r="369" spans="1:20" x14ac:dyDescent="0.3">
      <c r="A369" s="10">
        <v>45910</v>
      </c>
      <c r="B369" s="11">
        <v>124731</v>
      </c>
      <c r="C369" s="11" t="s">
        <v>31</v>
      </c>
      <c r="D369" s="11" t="s">
        <v>680</v>
      </c>
      <c r="E369" s="11" t="s">
        <v>24</v>
      </c>
      <c r="F369" s="11" t="s">
        <v>554</v>
      </c>
      <c r="G369" s="12">
        <v>6</v>
      </c>
      <c r="H369" s="13">
        <v>166.66</v>
      </c>
      <c r="I369" s="14">
        <f t="shared" si="47"/>
        <v>999.96</v>
      </c>
      <c r="J369" s="15">
        <v>4.0599999999999997E-2</v>
      </c>
      <c r="K369" s="15">
        <f t="shared" si="46"/>
        <v>1.0149999999999999E-2</v>
      </c>
      <c r="L369" s="14" t="s">
        <v>26</v>
      </c>
      <c r="M369" s="14">
        <f t="shared" si="48"/>
        <v>40.598376000000002</v>
      </c>
      <c r="N369" s="14">
        <f t="shared" si="42"/>
        <v>10.149594</v>
      </c>
      <c r="O369" s="11" t="s">
        <v>597</v>
      </c>
      <c r="P369" s="11" t="s">
        <v>597</v>
      </c>
      <c r="Q369" s="11"/>
      <c r="R369" s="11">
        <v>1</v>
      </c>
      <c r="S369" s="11" t="s">
        <v>597</v>
      </c>
      <c r="T369" s="16" t="s">
        <v>31</v>
      </c>
    </row>
    <row r="370" spans="1:20" x14ac:dyDescent="0.3">
      <c r="A370" s="10">
        <v>45910</v>
      </c>
      <c r="B370" s="11">
        <v>130499</v>
      </c>
      <c r="C370" s="11" t="s">
        <v>31</v>
      </c>
      <c r="D370" s="11" t="s">
        <v>57</v>
      </c>
      <c r="E370" s="11" t="s">
        <v>24</v>
      </c>
      <c r="F370" s="11" t="s">
        <v>554</v>
      </c>
      <c r="G370" s="12">
        <v>3</v>
      </c>
      <c r="H370" s="13">
        <v>210</v>
      </c>
      <c r="I370" s="14">
        <f t="shared" si="47"/>
        <v>630</v>
      </c>
      <c r="J370" s="15">
        <v>7.0000000000000007E-2</v>
      </c>
      <c r="K370" s="15">
        <f t="shared" si="46"/>
        <v>1.7500000000000002E-2</v>
      </c>
      <c r="L370" s="14" t="s">
        <v>26</v>
      </c>
      <c r="M370" s="14">
        <f t="shared" si="48"/>
        <v>44.1</v>
      </c>
      <c r="N370" s="14">
        <f t="shared" si="42"/>
        <v>11.025</v>
      </c>
      <c r="O370" s="11" t="s">
        <v>597</v>
      </c>
      <c r="P370" s="11" t="s">
        <v>597</v>
      </c>
      <c r="Q370" s="11"/>
      <c r="R370" s="11">
        <v>1</v>
      </c>
      <c r="S370" s="11" t="s">
        <v>597</v>
      </c>
      <c r="T370" s="16" t="s">
        <v>31</v>
      </c>
    </row>
    <row r="371" spans="1:20" x14ac:dyDescent="0.3">
      <c r="A371" s="10">
        <v>45919</v>
      </c>
      <c r="B371" s="11">
        <v>129348</v>
      </c>
      <c r="C371" s="11" t="s">
        <v>31</v>
      </c>
      <c r="D371" s="11" t="s">
        <v>95</v>
      </c>
      <c r="E371" s="11" t="s">
        <v>24</v>
      </c>
      <c r="F371" s="11" t="s">
        <v>554</v>
      </c>
      <c r="G371" s="12">
        <v>24</v>
      </c>
      <c r="H371" s="13">
        <v>180</v>
      </c>
      <c r="I371" s="14">
        <f t="shared" si="47"/>
        <v>4320</v>
      </c>
      <c r="J371" s="15">
        <v>7.0000000000000007E-2</v>
      </c>
      <c r="K371" s="15">
        <f t="shared" si="46"/>
        <v>1.7500000000000002E-2</v>
      </c>
      <c r="L371" s="14" t="s">
        <v>26</v>
      </c>
      <c r="M371" s="14">
        <f t="shared" si="48"/>
        <v>302.40000000000003</v>
      </c>
      <c r="N371" s="14">
        <f t="shared" si="42"/>
        <v>75.600000000000009</v>
      </c>
      <c r="O371" s="11" t="s">
        <v>597</v>
      </c>
      <c r="P371" s="11" t="s">
        <v>597</v>
      </c>
      <c r="Q371" s="11"/>
      <c r="R371" s="11">
        <v>6</v>
      </c>
      <c r="S371" s="11" t="s">
        <v>597</v>
      </c>
      <c r="T371" s="16" t="s">
        <v>31</v>
      </c>
    </row>
    <row r="372" spans="1:20" x14ac:dyDescent="0.3">
      <c r="A372" s="10">
        <v>45919</v>
      </c>
      <c r="B372" s="11">
        <v>130453</v>
      </c>
      <c r="C372" s="11" t="s">
        <v>31</v>
      </c>
      <c r="D372" s="11" t="s">
        <v>674</v>
      </c>
      <c r="E372" s="11" t="s">
        <v>24</v>
      </c>
      <c r="F372" s="11" t="s">
        <v>554</v>
      </c>
      <c r="G372" s="12">
        <v>40</v>
      </c>
      <c r="H372" s="13">
        <v>189</v>
      </c>
      <c r="I372" s="14">
        <f t="shared" si="47"/>
        <v>7560</v>
      </c>
      <c r="J372" s="15">
        <v>7.0000000000000007E-2</v>
      </c>
      <c r="K372" s="15">
        <f t="shared" si="46"/>
        <v>1.7500000000000002E-2</v>
      </c>
      <c r="L372" s="14" t="s">
        <v>26</v>
      </c>
      <c r="M372" s="14">
        <f t="shared" si="48"/>
        <v>529.20000000000005</v>
      </c>
      <c r="N372" s="14">
        <f t="shared" si="42"/>
        <v>132.30000000000001</v>
      </c>
      <c r="O372" s="11" t="s">
        <v>597</v>
      </c>
      <c r="P372" s="11" t="s">
        <v>597</v>
      </c>
      <c r="Q372" s="11"/>
      <c r="R372" s="11">
        <v>6</v>
      </c>
      <c r="S372" s="11" t="s">
        <v>597</v>
      </c>
      <c r="T372" s="16" t="s">
        <v>31</v>
      </c>
    </row>
    <row r="373" spans="1:20" x14ac:dyDescent="0.3">
      <c r="A373" s="10">
        <v>45919</v>
      </c>
      <c r="B373" s="11">
        <v>130453</v>
      </c>
      <c r="C373" s="11" t="s">
        <v>31</v>
      </c>
      <c r="D373" s="11" t="s">
        <v>674</v>
      </c>
      <c r="E373" s="11" t="s">
        <v>24</v>
      </c>
      <c r="F373" s="11" t="s">
        <v>554</v>
      </c>
      <c r="G373" s="12">
        <v>8</v>
      </c>
      <c r="H373" s="13">
        <v>180</v>
      </c>
      <c r="I373" s="14">
        <f t="shared" si="47"/>
        <v>1440</v>
      </c>
      <c r="J373" s="15">
        <v>7.0000000000000007E-2</v>
      </c>
      <c r="K373" s="15">
        <f t="shared" si="46"/>
        <v>1.7500000000000002E-2</v>
      </c>
      <c r="L373" s="14" t="s">
        <v>26</v>
      </c>
      <c r="M373" s="14">
        <f t="shared" si="48"/>
        <v>100.80000000000001</v>
      </c>
      <c r="N373" s="14">
        <f t="shared" si="42"/>
        <v>25.200000000000003</v>
      </c>
      <c r="O373" s="11" t="s">
        <v>597</v>
      </c>
      <c r="P373" s="11" t="s">
        <v>597</v>
      </c>
      <c r="Q373" s="11"/>
      <c r="R373" s="11">
        <v>4</v>
      </c>
      <c r="S373" s="11" t="s">
        <v>597</v>
      </c>
      <c r="T373" s="16" t="s">
        <v>31</v>
      </c>
    </row>
    <row r="374" spans="1:20" x14ac:dyDescent="0.3">
      <c r="A374" s="10">
        <v>45919</v>
      </c>
      <c r="B374" s="11">
        <v>130175</v>
      </c>
      <c r="C374" s="11" t="s">
        <v>31</v>
      </c>
      <c r="D374" s="11" t="s">
        <v>141</v>
      </c>
      <c r="E374" s="11" t="s">
        <v>24</v>
      </c>
      <c r="F374" s="11" t="s">
        <v>554</v>
      </c>
      <c r="G374" s="12">
        <v>60</v>
      </c>
      <c r="H374" s="13">
        <v>180</v>
      </c>
      <c r="I374" s="14">
        <f t="shared" si="47"/>
        <v>10800</v>
      </c>
      <c r="J374" s="15">
        <v>7.0000000000000007E-2</v>
      </c>
      <c r="K374" s="15">
        <f t="shared" si="46"/>
        <v>1.7500000000000002E-2</v>
      </c>
      <c r="L374" s="14" t="s">
        <v>26</v>
      </c>
      <c r="M374" s="14">
        <f t="shared" si="48"/>
        <v>756.00000000000011</v>
      </c>
      <c r="N374" s="14">
        <f t="shared" ref="N374:N437" si="49">I374*K374</f>
        <v>189.00000000000003</v>
      </c>
      <c r="O374" s="11" t="s">
        <v>27</v>
      </c>
      <c r="P374" s="11" t="s">
        <v>27</v>
      </c>
      <c r="Q374" s="11"/>
      <c r="R374" s="11">
        <v>6</v>
      </c>
      <c r="S374" s="11" t="s">
        <v>28</v>
      </c>
      <c r="T374" s="16" t="s">
        <v>31</v>
      </c>
    </row>
    <row r="375" spans="1:20" x14ac:dyDescent="0.3">
      <c r="A375" s="10">
        <v>45919</v>
      </c>
      <c r="B375" s="11">
        <v>130175</v>
      </c>
      <c r="C375" s="11" t="s">
        <v>31</v>
      </c>
      <c r="D375" s="11" t="s">
        <v>141</v>
      </c>
      <c r="E375" s="11" t="s">
        <v>579</v>
      </c>
      <c r="F375" s="11" t="s">
        <v>30</v>
      </c>
      <c r="G375" s="12">
        <v>1</v>
      </c>
      <c r="H375" s="13">
        <v>350</v>
      </c>
      <c r="I375" s="14">
        <f t="shared" si="47"/>
        <v>350</v>
      </c>
      <c r="J375" s="15">
        <v>1</v>
      </c>
      <c r="K375" s="15">
        <f t="shared" si="46"/>
        <v>0.25</v>
      </c>
      <c r="L375" s="14" t="s">
        <v>26</v>
      </c>
      <c r="M375" s="14">
        <f t="shared" si="48"/>
        <v>350</v>
      </c>
      <c r="N375" s="14">
        <f t="shared" si="49"/>
        <v>87.5</v>
      </c>
      <c r="O375" s="11" t="s">
        <v>27</v>
      </c>
      <c r="P375" s="11" t="s">
        <v>27</v>
      </c>
      <c r="Q375" s="11"/>
      <c r="R375" s="11">
        <v>1</v>
      </c>
      <c r="S375" s="11" t="s">
        <v>28</v>
      </c>
      <c r="T375" s="16" t="s">
        <v>31</v>
      </c>
    </row>
    <row r="376" spans="1:20" x14ac:dyDescent="0.3">
      <c r="A376" s="10">
        <v>45919</v>
      </c>
      <c r="B376" s="11">
        <v>130175</v>
      </c>
      <c r="C376" s="11" t="s">
        <v>31</v>
      </c>
      <c r="D376" s="11" t="s">
        <v>141</v>
      </c>
      <c r="E376" s="11" t="s">
        <v>102</v>
      </c>
      <c r="F376" s="11" t="s">
        <v>30</v>
      </c>
      <c r="G376" s="12">
        <v>1</v>
      </c>
      <c r="H376" s="13">
        <v>79.819999999999993</v>
      </c>
      <c r="I376" s="14">
        <f t="shared" si="47"/>
        <v>79.819999999999993</v>
      </c>
      <c r="J376" s="15">
        <v>1</v>
      </c>
      <c r="K376" s="15">
        <f t="shared" si="46"/>
        <v>0.25</v>
      </c>
      <c r="L376" s="14" t="s">
        <v>26</v>
      </c>
      <c r="M376" s="14">
        <f t="shared" si="48"/>
        <v>79.819999999999993</v>
      </c>
      <c r="N376" s="14">
        <f t="shared" si="49"/>
        <v>19.954999999999998</v>
      </c>
      <c r="O376" s="11" t="s">
        <v>27</v>
      </c>
      <c r="P376" s="11" t="s">
        <v>27</v>
      </c>
      <c r="Q376" s="11"/>
      <c r="R376" s="11">
        <v>1</v>
      </c>
      <c r="S376" s="11" t="s">
        <v>28</v>
      </c>
      <c r="T376" s="16" t="s">
        <v>31</v>
      </c>
    </row>
    <row r="377" spans="1:20" x14ac:dyDescent="0.3">
      <c r="A377" s="10">
        <v>45919</v>
      </c>
      <c r="B377" s="11">
        <v>130890</v>
      </c>
      <c r="C377" s="11" t="s">
        <v>31</v>
      </c>
      <c r="D377" s="11" t="s">
        <v>100</v>
      </c>
      <c r="E377" s="11" t="s">
        <v>24</v>
      </c>
      <c r="F377" s="11" t="s">
        <v>554</v>
      </c>
      <c r="G377" s="12">
        <v>10</v>
      </c>
      <c r="H377" s="13">
        <v>180</v>
      </c>
      <c r="I377" s="14">
        <f t="shared" si="47"/>
        <v>1800</v>
      </c>
      <c r="J377" s="15">
        <v>7.0000000000000007E-2</v>
      </c>
      <c r="K377" s="15">
        <f t="shared" si="46"/>
        <v>1.7500000000000002E-2</v>
      </c>
      <c r="L377" s="14" t="s">
        <v>26</v>
      </c>
      <c r="M377" s="14">
        <f t="shared" si="48"/>
        <v>126.00000000000001</v>
      </c>
      <c r="N377" s="14">
        <f t="shared" si="49"/>
        <v>31.500000000000004</v>
      </c>
      <c r="O377" s="11" t="s">
        <v>27</v>
      </c>
      <c r="P377" s="11" t="s">
        <v>27</v>
      </c>
      <c r="Q377" s="11"/>
      <c r="R377" s="11">
        <v>1</v>
      </c>
      <c r="S377" s="11" t="s">
        <v>28</v>
      </c>
      <c r="T377" s="16" t="s">
        <v>31</v>
      </c>
    </row>
    <row r="378" spans="1:20" x14ac:dyDescent="0.3">
      <c r="A378" s="10">
        <v>45919</v>
      </c>
      <c r="B378" s="11">
        <v>130890</v>
      </c>
      <c r="C378" s="11" t="s">
        <v>31</v>
      </c>
      <c r="D378" s="11" t="s">
        <v>100</v>
      </c>
      <c r="E378" s="11" t="s">
        <v>40</v>
      </c>
      <c r="F378" s="11" t="s">
        <v>41</v>
      </c>
      <c r="G378" s="12">
        <v>1</v>
      </c>
      <c r="H378" s="13">
        <v>4163.2</v>
      </c>
      <c r="I378" s="14">
        <f t="shared" si="47"/>
        <v>4163.2</v>
      </c>
      <c r="J378" s="15">
        <v>7.0000000000000007E-2</v>
      </c>
      <c r="K378" s="15">
        <f t="shared" si="46"/>
        <v>1.7500000000000002E-2</v>
      </c>
      <c r="L378" s="14" t="s">
        <v>26</v>
      </c>
      <c r="M378" s="14">
        <f t="shared" si="48"/>
        <v>291.42400000000004</v>
      </c>
      <c r="N378" s="14">
        <f t="shared" si="49"/>
        <v>72.856000000000009</v>
      </c>
      <c r="O378" s="11" t="s">
        <v>27</v>
      </c>
      <c r="P378" s="11" t="s">
        <v>27</v>
      </c>
      <c r="Q378" s="11"/>
      <c r="R378" s="11">
        <v>1</v>
      </c>
      <c r="S378" s="11" t="s">
        <v>28</v>
      </c>
      <c r="T378" s="16" t="s">
        <v>31</v>
      </c>
    </row>
    <row r="379" spans="1:20" x14ac:dyDescent="0.3">
      <c r="A379" s="10">
        <v>45919</v>
      </c>
      <c r="B379" s="11">
        <v>130415</v>
      </c>
      <c r="C379" s="11" t="s">
        <v>31</v>
      </c>
      <c r="D379" s="11" t="s">
        <v>100</v>
      </c>
      <c r="E379" s="11" t="s">
        <v>24</v>
      </c>
      <c r="F379" s="11" t="s">
        <v>554</v>
      </c>
      <c r="G379" s="12">
        <v>8</v>
      </c>
      <c r="H379" s="13">
        <v>210</v>
      </c>
      <c r="I379" s="14">
        <f t="shared" si="47"/>
        <v>1680</v>
      </c>
      <c r="J379" s="15">
        <v>7.0000000000000007E-2</v>
      </c>
      <c r="K379" s="15">
        <f t="shared" si="46"/>
        <v>1.7500000000000002E-2</v>
      </c>
      <c r="L379" s="14" t="s">
        <v>26</v>
      </c>
      <c r="M379" s="14">
        <f t="shared" si="48"/>
        <v>117.60000000000001</v>
      </c>
      <c r="N379" s="14">
        <f t="shared" si="49"/>
        <v>29.400000000000002</v>
      </c>
      <c r="O379" s="11" t="s">
        <v>27</v>
      </c>
      <c r="P379" s="11" t="s">
        <v>27</v>
      </c>
      <c r="Q379" s="11"/>
      <c r="R379" s="11">
        <v>4</v>
      </c>
      <c r="S379" s="11" t="s">
        <v>28</v>
      </c>
      <c r="T379" s="16" t="s">
        <v>31</v>
      </c>
    </row>
    <row r="380" spans="1:20" x14ac:dyDescent="0.3">
      <c r="A380" s="10">
        <v>45919</v>
      </c>
      <c r="B380" s="11">
        <v>130415</v>
      </c>
      <c r="C380" s="11" t="s">
        <v>31</v>
      </c>
      <c r="D380" s="11" t="s">
        <v>100</v>
      </c>
      <c r="E380" s="11" t="s">
        <v>580</v>
      </c>
      <c r="F380" s="11" t="s">
        <v>30</v>
      </c>
      <c r="G380" s="12">
        <v>1</v>
      </c>
      <c r="H380" s="13">
        <v>641.52</v>
      </c>
      <c r="I380" s="14">
        <f t="shared" si="47"/>
        <v>641.52</v>
      </c>
      <c r="J380" s="15">
        <v>1</v>
      </c>
      <c r="K380" s="15">
        <f t="shared" si="46"/>
        <v>0.25</v>
      </c>
      <c r="L380" s="14" t="s">
        <v>26</v>
      </c>
      <c r="M380" s="14">
        <f t="shared" si="48"/>
        <v>641.52</v>
      </c>
      <c r="N380" s="14">
        <f t="shared" si="49"/>
        <v>160.38</v>
      </c>
      <c r="O380" s="11" t="s">
        <v>27</v>
      </c>
      <c r="P380" s="11" t="s">
        <v>27</v>
      </c>
      <c r="Q380" s="11"/>
      <c r="R380" s="11">
        <v>1</v>
      </c>
      <c r="S380" s="11" t="s">
        <v>28</v>
      </c>
      <c r="T380" s="16" t="s">
        <v>31</v>
      </c>
    </row>
    <row r="381" spans="1:20" x14ac:dyDescent="0.3">
      <c r="A381" s="10">
        <v>45922</v>
      </c>
      <c r="B381" s="11">
        <v>129985</v>
      </c>
      <c r="C381" s="11" t="s">
        <v>31</v>
      </c>
      <c r="D381" s="11" t="s">
        <v>658</v>
      </c>
      <c r="E381" s="11" t="s">
        <v>24</v>
      </c>
      <c r="F381" s="11" t="s">
        <v>554</v>
      </c>
      <c r="G381" s="12">
        <v>40</v>
      </c>
      <c r="H381" s="13">
        <v>180</v>
      </c>
      <c r="I381" s="14">
        <f t="shared" si="47"/>
        <v>7200</v>
      </c>
      <c r="J381" s="15">
        <v>7.0000000000000007E-2</v>
      </c>
      <c r="K381" s="15">
        <f t="shared" si="46"/>
        <v>1.7500000000000002E-2</v>
      </c>
      <c r="L381" s="14" t="s">
        <v>26</v>
      </c>
      <c r="M381" s="14">
        <f t="shared" si="48"/>
        <v>504.00000000000006</v>
      </c>
      <c r="N381" s="14">
        <f t="shared" si="49"/>
        <v>126.00000000000001</v>
      </c>
      <c r="O381" s="11" t="s">
        <v>597</v>
      </c>
      <c r="P381" s="11" t="s">
        <v>597</v>
      </c>
      <c r="Q381" s="11"/>
      <c r="R381" s="11">
        <v>6</v>
      </c>
      <c r="S381" s="11" t="s">
        <v>597</v>
      </c>
      <c r="T381" s="16" t="s">
        <v>31</v>
      </c>
    </row>
    <row r="382" spans="1:20" x14ac:dyDescent="0.3">
      <c r="A382" s="10">
        <v>45922</v>
      </c>
      <c r="B382" s="11">
        <v>128684</v>
      </c>
      <c r="C382" s="11" t="s">
        <v>31</v>
      </c>
      <c r="D382" s="11" t="s">
        <v>106</v>
      </c>
      <c r="E382" s="11" t="s">
        <v>35</v>
      </c>
      <c r="F382" s="11" t="s">
        <v>35</v>
      </c>
      <c r="G382" s="12">
        <v>5</v>
      </c>
      <c r="H382" s="13">
        <v>176</v>
      </c>
      <c r="I382" s="14">
        <f t="shared" si="47"/>
        <v>880</v>
      </c>
      <c r="J382" s="15">
        <v>0.01</v>
      </c>
      <c r="K382" s="15">
        <f t="shared" si="46"/>
        <v>2.5000000000000001E-3</v>
      </c>
      <c r="L382" s="14" t="s">
        <v>26</v>
      </c>
      <c r="M382" s="14">
        <f t="shared" si="48"/>
        <v>8.8000000000000007</v>
      </c>
      <c r="N382" s="14">
        <f t="shared" si="49"/>
        <v>2.2000000000000002</v>
      </c>
      <c r="O382" s="11" t="s">
        <v>597</v>
      </c>
      <c r="P382" s="11" t="s">
        <v>597</v>
      </c>
      <c r="Q382" s="11"/>
      <c r="R382" s="11">
        <v>3</v>
      </c>
      <c r="S382" s="11" t="s">
        <v>597</v>
      </c>
      <c r="T382" s="16" t="s">
        <v>31</v>
      </c>
    </row>
    <row r="383" spans="1:20" x14ac:dyDescent="0.3">
      <c r="A383" s="10">
        <v>45922</v>
      </c>
      <c r="B383" s="11">
        <v>129185</v>
      </c>
      <c r="C383" s="11" t="s">
        <v>31</v>
      </c>
      <c r="D383" s="11" t="s">
        <v>681</v>
      </c>
      <c r="E383" s="11" t="s">
        <v>35</v>
      </c>
      <c r="F383" s="11" t="s">
        <v>35</v>
      </c>
      <c r="G383" s="12">
        <v>6</v>
      </c>
      <c r="H383" s="13">
        <v>176</v>
      </c>
      <c r="I383" s="14">
        <f t="shared" si="47"/>
        <v>1056</v>
      </c>
      <c r="J383" s="15">
        <v>0.01</v>
      </c>
      <c r="K383" s="15">
        <f t="shared" ref="K383:K401" si="50">J383*0.25</f>
        <v>2.5000000000000001E-3</v>
      </c>
      <c r="L383" s="14" t="s">
        <v>26</v>
      </c>
      <c r="M383" s="14">
        <f t="shared" si="48"/>
        <v>10.56</v>
      </c>
      <c r="N383" s="14">
        <f t="shared" si="49"/>
        <v>2.64</v>
      </c>
      <c r="O383" s="11" t="s">
        <v>597</v>
      </c>
      <c r="P383" s="11" t="s">
        <v>597</v>
      </c>
      <c r="Q383" s="11"/>
      <c r="R383" s="11">
        <v>3</v>
      </c>
      <c r="S383" s="11" t="s">
        <v>597</v>
      </c>
      <c r="T383" s="16" t="s">
        <v>31</v>
      </c>
    </row>
    <row r="384" spans="1:20" x14ac:dyDescent="0.3">
      <c r="A384" s="10">
        <v>45922</v>
      </c>
      <c r="B384" s="11">
        <v>129080</v>
      </c>
      <c r="C384" s="11" t="s">
        <v>31</v>
      </c>
      <c r="D384" s="11" t="s">
        <v>79</v>
      </c>
      <c r="E384" s="11" t="s">
        <v>35</v>
      </c>
      <c r="F384" s="11" t="s">
        <v>35</v>
      </c>
      <c r="G384" s="12">
        <v>44</v>
      </c>
      <c r="H384" s="13">
        <v>131.82</v>
      </c>
      <c r="I384" s="14">
        <f t="shared" si="47"/>
        <v>5800.08</v>
      </c>
      <c r="J384" s="15">
        <v>6.8999999999999999E-3</v>
      </c>
      <c r="K384" s="15">
        <f t="shared" si="50"/>
        <v>1.725E-3</v>
      </c>
      <c r="L384" s="14" t="s">
        <v>26</v>
      </c>
      <c r="M384" s="14">
        <f t="shared" si="48"/>
        <v>40.020552000000002</v>
      </c>
      <c r="N384" s="14">
        <f t="shared" si="49"/>
        <v>10.005138000000001</v>
      </c>
      <c r="O384" s="11" t="s">
        <v>597</v>
      </c>
      <c r="P384" s="11" t="s">
        <v>597</v>
      </c>
      <c r="Q384" s="11"/>
      <c r="R384" s="11">
        <v>3</v>
      </c>
      <c r="S384" s="11" t="s">
        <v>597</v>
      </c>
      <c r="T384" s="16" t="s">
        <v>31</v>
      </c>
    </row>
    <row r="385" spans="1:20" x14ac:dyDescent="0.3">
      <c r="A385" s="10">
        <v>45922</v>
      </c>
      <c r="B385" s="11">
        <v>129607</v>
      </c>
      <c r="C385" s="11" t="s">
        <v>31</v>
      </c>
      <c r="D385" s="11" t="s">
        <v>79</v>
      </c>
      <c r="E385" s="11" t="s">
        <v>35</v>
      </c>
      <c r="F385" s="11" t="s">
        <v>35</v>
      </c>
      <c r="G385" s="12">
        <v>50</v>
      </c>
      <c r="H385" s="13">
        <v>120</v>
      </c>
      <c r="I385" s="14">
        <f t="shared" si="47"/>
        <v>6000</v>
      </c>
      <c r="J385" s="15">
        <v>0.01</v>
      </c>
      <c r="K385" s="15">
        <f t="shared" si="50"/>
        <v>2.5000000000000001E-3</v>
      </c>
      <c r="L385" s="14" t="s">
        <v>26</v>
      </c>
      <c r="M385" s="14">
        <f t="shared" si="48"/>
        <v>60</v>
      </c>
      <c r="N385" s="14">
        <f t="shared" si="49"/>
        <v>15</v>
      </c>
      <c r="O385" s="11" t="s">
        <v>597</v>
      </c>
      <c r="P385" s="11" t="s">
        <v>597</v>
      </c>
      <c r="Q385" s="11"/>
      <c r="R385" s="11">
        <v>4</v>
      </c>
      <c r="S385" s="11" t="s">
        <v>597</v>
      </c>
      <c r="T385" s="16" t="s">
        <v>31</v>
      </c>
    </row>
    <row r="386" spans="1:20" x14ac:dyDescent="0.3">
      <c r="A386" s="10">
        <v>45923</v>
      </c>
      <c r="B386" s="11">
        <v>127808</v>
      </c>
      <c r="C386" s="11" t="s">
        <v>31</v>
      </c>
      <c r="D386" s="11" t="s">
        <v>100</v>
      </c>
      <c r="E386" s="11" t="s">
        <v>35</v>
      </c>
      <c r="F386" s="11" t="s">
        <v>35</v>
      </c>
      <c r="G386" s="12">
        <v>2</v>
      </c>
      <c r="H386" s="13">
        <v>176</v>
      </c>
      <c r="I386" s="14">
        <f t="shared" si="47"/>
        <v>352</v>
      </c>
      <c r="J386" s="15">
        <v>0.01</v>
      </c>
      <c r="K386" s="15">
        <f t="shared" si="50"/>
        <v>2.5000000000000001E-3</v>
      </c>
      <c r="L386" s="14" t="s">
        <v>26</v>
      </c>
      <c r="M386" s="14">
        <f t="shared" si="48"/>
        <v>3.52</v>
      </c>
      <c r="N386" s="14">
        <f t="shared" si="49"/>
        <v>0.88</v>
      </c>
      <c r="O386" s="11" t="s">
        <v>597</v>
      </c>
      <c r="P386" s="11" t="s">
        <v>597</v>
      </c>
      <c r="Q386" s="11"/>
      <c r="R386" s="11">
        <v>1</v>
      </c>
      <c r="S386" s="11" t="s">
        <v>597</v>
      </c>
      <c r="T386" s="16" t="s">
        <v>31</v>
      </c>
    </row>
    <row r="387" spans="1:20" x14ac:dyDescent="0.3">
      <c r="A387" s="10">
        <v>45923</v>
      </c>
      <c r="B387" s="11">
        <v>130522</v>
      </c>
      <c r="C387" s="11" t="s">
        <v>31</v>
      </c>
      <c r="D387" s="11" t="s">
        <v>682</v>
      </c>
      <c r="E387" s="11" t="s">
        <v>35</v>
      </c>
      <c r="F387" s="11" t="s">
        <v>35</v>
      </c>
      <c r="G387" s="12">
        <v>116</v>
      </c>
      <c r="H387" s="13">
        <v>158.4</v>
      </c>
      <c r="I387" s="14">
        <f t="shared" si="47"/>
        <v>18374.400000000001</v>
      </c>
      <c r="J387" s="15">
        <v>6.8999999999999999E-3</v>
      </c>
      <c r="K387" s="15">
        <f t="shared" si="50"/>
        <v>1.725E-3</v>
      </c>
      <c r="L387" s="14" t="s">
        <v>26</v>
      </c>
      <c r="M387" s="14">
        <f t="shared" si="48"/>
        <v>126.78336</v>
      </c>
      <c r="N387" s="14">
        <f t="shared" si="49"/>
        <v>31.69584</v>
      </c>
      <c r="O387" s="11" t="s">
        <v>597</v>
      </c>
      <c r="P387" s="11" t="s">
        <v>597</v>
      </c>
      <c r="Q387" s="11"/>
      <c r="R387" s="11">
        <v>1</v>
      </c>
      <c r="S387" s="11" t="s">
        <v>597</v>
      </c>
      <c r="T387" s="16" t="s">
        <v>31</v>
      </c>
    </row>
    <row r="388" spans="1:20" x14ac:dyDescent="0.3">
      <c r="A388" s="10">
        <v>45923</v>
      </c>
      <c r="B388" s="11">
        <v>125644</v>
      </c>
      <c r="C388" s="11" t="s">
        <v>31</v>
      </c>
      <c r="D388" s="11" t="s">
        <v>127</v>
      </c>
      <c r="E388" s="11" t="s">
        <v>35</v>
      </c>
      <c r="F388" s="11" t="s">
        <v>35</v>
      </c>
      <c r="G388" s="12">
        <v>40</v>
      </c>
      <c r="H388" s="13">
        <v>125</v>
      </c>
      <c r="I388" s="14">
        <f t="shared" si="47"/>
        <v>5000</v>
      </c>
      <c r="J388" s="15">
        <v>2.8E-3</v>
      </c>
      <c r="K388" s="15">
        <f t="shared" si="50"/>
        <v>6.9999999999999999E-4</v>
      </c>
      <c r="L388" s="14" t="s">
        <v>26</v>
      </c>
      <c r="M388" s="14">
        <f t="shared" si="48"/>
        <v>14</v>
      </c>
      <c r="N388" s="14">
        <f t="shared" si="49"/>
        <v>3.5</v>
      </c>
      <c r="O388" s="11" t="s">
        <v>597</v>
      </c>
      <c r="P388" s="11" t="s">
        <v>597</v>
      </c>
      <c r="Q388" s="11"/>
      <c r="R388" s="11">
        <v>3</v>
      </c>
      <c r="S388" s="11" t="s">
        <v>597</v>
      </c>
      <c r="T388" s="16" t="s">
        <v>31</v>
      </c>
    </row>
    <row r="389" spans="1:20" x14ac:dyDescent="0.3">
      <c r="A389" s="10">
        <v>45923</v>
      </c>
      <c r="B389" s="11">
        <v>130018</v>
      </c>
      <c r="C389" s="11" t="s">
        <v>31</v>
      </c>
      <c r="D389" s="11" t="s">
        <v>620</v>
      </c>
      <c r="E389" s="11" t="s">
        <v>35</v>
      </c>
      <c r="F389" s="11" t="s">
        <v>35</v>
      </c>
      <c r="G389" s="12">
        <v>3</v>
      </c>
      <c r="H389" s="13">
        <v>176</v>
      </c>
      <c r="I389" s="14">
        <f t="shared" si="47"/>
        <v>528</v>
      </c>
      <c r="J389" s="15">
        <v>0.01</v>
      </c>
      <c r="K389" s="15">
        <f t="shared" si="50"/>
        <v>2.5000000000000001E-3</v>
      </c>
      <c r="L389" s="14" t="s">
        <v>26</v>
      </c>
      <c r="M389" s="14">
        <f t="shared" si="48"/>
        <v>5.28</v>
      </c>
      <c r="N389" s="14">
        <f t="shared" si="49"/>
        <v>1.32</v>
      </c>
      <c r="O389" s="11" t="s">
        <v>597</v>
      </c>
      <c r="P389" s="11" t="s">
        <v>597</v>
      </c>
      <c r="Q389" s="11"/>
      <c r="R389" s="11">
        <v>1</v>
      </c>
      <c r="S389" s="11" t="s">
        <v>597</v>
      </c>
      <c r="T389" s="16" t="s">
        <v>31</v>
      </c>
    </row>
    <row r="390" spans="1:20" x14ac:dyDescent="0.3">
      <c r="A390" s="10">
        <v>45923</v>
      </c>
      <c r="B390" s="11">
        <v>130090</v>
      </c>
      <c r="C390" s="11" t="s">
        <v>31</v>
      </c>
      <c r="D390" s="11" t="s">
        <v>635</v>
      </c>
      <c r="E390" s="11" t="s">
        <v>35</v>
      </c>
      <c r="F390" s="11" t="s">
        <v>35</v>
      </c>
      <c r="G390" s="12">
        <v>3</v>
      </c>
      <c r="H390" s="13">
        <v>176</v>
      </c>
      <c r="I390" s="14">
        <f t="shared" ref="I390:I421" si="51">G390*H390</f>
        <v>528</v>
      </c>
      <c r="J390" s="15">
        <v>0.01</v>
      </c>
      <c r="K390" s="15">
        <f t="shared" si="50"/>
        <v>2.5000000000000001E-3</v>
      </c>
      <c r="L390" s="14" t="s">
        <v>26</v>
      </c>
      <c r="M390" s="14">
        <f t="shared" si="48"/>
        <v>5.28</v>
      </c>
      <c r="N390" s="14">
        <f t="shared" si="49"/>
        <v>1.32</v>
      </c>
      <c r="O390" s="11" t="s">
        <v>597</v>
      </c>
      <c r="P390" s="11" t="s">
        <v>597</v>
      </c>
      <c r="Q390" s="11"/>
      <c r="R390" s="11">
        <v>1</v>
      </c>
      <c r="S390" s="11" t="s">
        <v>597</v>
      </c>
      <c r="T390" s="16" t="s">
        <v>31</v>
      </c>
    </row>
    <row r="391" spans="1:20" x14ac:dyDescent="0.3">
      <c r="A391" s="10">
        <v>45924</v>
      </c>
      <c r="B391" s="11">
        <v>130457</v>
      </c>
      <c r="C391" s="11" t="s">
        <v>44</v>
      </c>
      <c r="D391" s="11" t="s">
        <v>605</v>
      </c>
      <c r="E391" s="11" t="s">
        <v>40</v>
      </c>
      <c r="F391" s="11" t="s">
        <v>41</v>
      </c>
      <c r="G391" s="12">
        <v>1</v>
      </c>
      <c r="H391" s="13">
        <v>5202.96</v>
      </c>
      <c r="I391" s="14">
        <f t="shared" si="51"/>
        <v>5202.96</v>
      </c>
      <c r="J391" s="15">
        <v>7.0000000000000007E-2</v>
      </c>
      <c r="K391" s="15">
        <f t="shared" si="50"/>
        <v>1.7500000000000002E-2</v>
      </c>
      <c r="L391" s="14" t="s">
        <v>26</v>
      </c>
      <c r="M391" s="14">
        <f t="shared" si="48"/>
        <v>364.20720000000006</v>
      </c>
      <c r="N391" s="14">
        <f t="shared" si="49"/>
        <v>91.051800000000014</v>
      </c>
      <c r="O391" s="11" t="s">
        <v>27</v>
      </c>
      <c r="P391" s="11" t="s">
        <v>27</v>
      </c>
      <c r="Q391" s="11"/>
      <c r="R391" s="11">
        <v>12</v>
      </c>
      <c r="S391" s="11" t="s">
        <v>28</v>
      </c>
      <c r="T391" s="16" t="s">
        <v>44</v>
      </c>
    </row>
    <row r="392" spans="1:20" x14ac:dyDescent="0.3">
      <c r="A392" s="10">
        <v>45924</v>
      </c>
      <c r="B392" s="11">
        <v>130889</v>
      </c>
      <c r="C392" s="11" t="s">
        <v>44</v>
      </c>
      <c r="D392" s="11" t="s">
        <v>683</v>
      </c>
      <c r="E392" s="11" t="s">
        <v>63</v>
      </c>
      <c r="F392" s="11" t="s">
        <v>554</v>
      </c>
      <c r="G392" s="12">
        <v>80</v>
      </c>
      <c r="H392" s="13">
        <v>212</v>
      </c>
      <c r="I392" s="14">
        <f t="shared" si="51"/>
        <v>16960</v>
      </c>
      <c r="J392" s="15">
        <v>7.0000000000000007E-2</v>
      </c>
      <c r="K392" s="15">
        <f t="shared" si="50"/>
        <v>1.7500000000000002E-2</v>
      </c>
      <c r="L392" s="14" t="s">
        <v>26</v>
      </c>
      <c r="M392" s="14">
        <f t="shared" si="48"/>
        <v>1187.2</v>
      </c>
      <c r="N392" s="14">
        <f t="shared" si="49"/>
        <v>296.8</v>
      </c>
      <c r="O392" s="11" t="s">
        <v>27</v>
      </c>
      <c r="P392" s="11" t="s">
        <v>27</v>
      </c>
      <c r="Q392" s="11"/>
      <c r="R392" s="11">
        <v>12</v>
      </c>
      <c r="S392" s="11" t="s">
        <v>28</v>
      </c>
      <c r="T392" s="16" t="s">
        <v>44</v>
      </c>
    </row>
    <row r="393" spans="1:20" x14ac:dyDescent="0.3">
      <c r="A393" s="10">
        <v>45924</v>
      </c>
      <c r="B393" s="11">
        <v>130889</v>
      </c>
      <c r="C393" s="11" t="s">
        <v>44</v>
      </c>
      <c r="D393" s="11" t="s">
        <v>683</v>
      </c>
      <c r="E393" s="11" t="s">
        <v>63</v>
      </c>
      <c r="F393" s="11" t="s">
        <v>30</v>
      </c>
      <c r="G393" s="12">
        <v>25</v>
      </c>
      <c r="H393" s="13">
        <v>98.2</v>
      </c>
      <c r="I393" s="14">
        <f t="shared" si="51"/>
        <v>2455</v>
      </c>
      <c r="J393" s="15">
        <v>1</v>
      </c>
      <c r="K393" s="15">
        <f t="shared" si="50"/>
        <v>0.25</v>
      </c>
      <c r="L393" s="14" t="s">
        <v>26</v>
      </c>
      <c r="M393" s="14">
        <f t="shared" si="48"/>
        <v>2455</v>
      </c>
      <c r="N393" s="14">
        <f t="shared" si="49"/>
        <v>613.75</v>
      </c>
      <c r="O393" s="11" t="s">
        <v>27</v>
      </c>
      <c r="P393" s="11" t="s">
        <v>27</v>
      </c>
      <c r="Q393" s="11"/>
      <c r="R393" s="11">
        <v>1</v>
      </c>
      <c r="S393" s="11" t="s">
        <v>28</v>
      </c>
      <c r="T393" s="16" t="s">
        <v>44</v>
      </c>
    </row>
    <row r="394" spans="1:20" x14ac:dyDescent="0.3">
      <c r="A394" s="10">
        <v>45924</v>
      </c>
      <c r="B394" s="11">
        <v>105949</v>
      </c>
      <c r="C394" s="11" t="s">
        <v>44</v>
      </c>
      <c r="D394" s="11" t="s">
        <v>649</v>
      </c>
      <c r="E394" s="11" t="s">
        <v>24</v>
      </c>
      <c r="F394" s="11" t="s">
        <v>554</v>
      </c>
      <c r="G394" s="12">
        <v>34.5</v>
      </c>
      <c r="H394" s="13">
        <v>180.2</v>
      </c>
      <c r="I394" s="14">
        <f t="shared" si="51"/>
        <v>6216.9</v>
      </c>
      <c r="J394" s="15">
        <v>7.0000000000000007E-2</v>
      </c>
      <c r="K394" s="15">
        <f t="shared" si="50"/>
        <v>1.7500000000000002E-2</v>
      </c>
      <c r="L394" s="14" t="s">
        <v>26</v>
      </c>
      <c r="M394" s="14">
        <f t="shared" si="48"/>
        <v>435.18299999999999</v>
      </c>
      <c r="N394" s="14">
        <f t="shared" si="49"/>
        <v>108.79575</v>
      </c>
      <c r="O394" s="11" t="s">
        <v>597</v>
      </c>
      <c r="P394" s="11" t="s">
        <v>597</v>
      </c>
      <c r="Q394" s="11"/>
      <c r="R394" s="11">
        <v>10</v>
      </c>
      <c r="S394" s="11" t="s">
        <v>597</v>
      </c>
      <c r="T394" s="16" t="s">
        <v>44</v>
      </c>
    </row>
    <row r="395" spans="1:20" x14ac:dyDescent="0.3">
      <c r="A395" s="10">
        <v>45924</v>
      </c>
      <c r="B395" s="11">
        <v>130902</v>
      </c>
      <c r="C395" s="11" t="s">
        <v>44</v>
      </c>
      <c r="D395" s="11" t="s">
        <v>684</v>
      </c>
      <c r="E395" s="11" t="s">
        <v>47</v>
      </c>
      <c r="F395" s="11" t="s">
        <v>554</v>
      </c>
      <c r="G395" s="12">
        <v>280</v>
      </c>
      <c r="H395" s="13">
        <v>171.01</v>
      </c>
      <c r="I395" s="14">
        <f t="shared" si="51"/>
        <v>47882.799999999996</v>
      </c>
      <c r="J395" s="15">
        <v>0.05</v>
      </c>
      <c r="K395" s="15">
        <f t="shared" si="50"/>
        <v>1.2500000000000001E-2</v>
      </c>
      <c r="L395" s="14" t="s">
        <v>46</v>
      </c>
      <c r="M395" s="14">
        <f t="shared" si="48"/>
        <v>2394.14</v>
      </c>
      <c r="N395" s="14">
        <f t="shared" si="49"/>
        <v>598.53499999999997</v>
      </c>
      <c r="O395" s="11" t="s">
        <v>27</v>
      </c>
      <c r="P395" s="11" t="s">
        <v>27</v>
      </c>
      <c r="Q395" s="11"/>
      <c r="R395" s="11">
        <v>10</v>
      </c>
      <c r="S395" s="11" t="s">
        <v>28</v>
      </c>
      <c r="T395" s="16" t="s">
        <v>44</v>
      </c>
    </row>
    <row r="396" spans="1:20" x14ac:dyDescent="0.3">
      <c r="A396" s="10">
        <v>45924</v>
      </c>
      <c r="B396" s="11">
        <v>130902</v>
      </c>
      <c r="C396" s="11" t="s">
        <v>44</v>
      </c>
      <c r="D396" s="11" t="s">
        <v>684</v>
      </c>
      <c r="E396" s="11" t="s">
        <v>63</v>
      </c>
      <c r="F396" s="11" t="s">
        <v>554</v>
      </c>
      <c r="G396" s="12">
        <v>48</v>
      </c>
      <c r="H396" s="13">
        <v>171.01</v>
      </c>
      <c r="I396" s="14">
        <f t="shared" si="51"/>
        <v>8208.48</v>
      </c>
      <c r="J396" s="15">
        <v>0.05</v>
      </c>
      <c r="K396" s="15">
        <f t="shared" si="50"/>
        <v>1.2500000000000001E-2</v>
      </c>
      <c r="L396" s="14" t="s">
        <v>46</v>
      </c>
      <c r="M396" s="14">
        <f t="shared" si="48"/>
        <v>410.42399999999998</v>
      </c>
      <c r="N396" s="14">
        <f t="shared" si="49"/>
        <v>102.60599999999999</v>
      </c>
      <c r="O396" s="11" t="s">
        <v>27</v>
      </c>
      <c r="P396" s="11" t="s">
        <v>27</v>
      </c>
      <c r="Q396" s="11"/>
      <c r="R396" s="11">
        <v>10</v>
      </c>
      <c r="S396" s="11" t="s">
        <v>28</v>
      </c>
      <c r="T396" s="16" t="s">
        <v>44</v>
      </c>
    </row>
    <row r="397" spans="1:20" x14ac:dyDescent="0.3">
      <c r="A397" s="10">
        <v>45924</v>
      </c>
      <c r="B397" s="11">
        <v>130902</v>
      </c>
      <c r="C397" s="11" t="s">
        <v>44</v>
      </c>
      <c r="D397" s="11" t="s">
        <v>684</v>
      </c>
      <c r="E397" s="11" t="s">
        <v>145</v>
      </c>
      <c r="F397" s="11" t="s">
        <v>554</v>
      </c>
      <c r="G397" s="12">
        <v>48</v>
      </c>
      <c r="H397" s="13">
        <v>171.01</v>
      </c>
      <c r="I397" s="14">
        <f t="shared" si="51"/>
        <v>8208.48</v>
      </c>
      <c r="J397" s="15">
        <v>0.05</v>
      </c>
      <c r="K397" s="15">
        <f t="shared" si="50"/>
        <v>1.2500000000000001E-2</v>
      </c>
      <c r="L397" s="14" t="s">
        <v>46</v>
      </c>
      <c r="M397" s="14">
        <f t="shared" si="48"/>
        <v>410.42399999999998</v>
      </c>
      <c r="N397" s="14">
        <f t="shared" si="49"/>
        <v>102.60599999999999</v>
      </c>
      <c r="O397" s="11" t="s">
        <v>27</v>
      </c>
      <c r="P397" s="11" t="s">
        <v>27</v>
      </c>
      <c r="Q397" s="11"/>
      <c r="R397" s="11">
        <v>10</v>
      </c>
      <c r="S397" s="11" t="s">
        <v>28</v>
      </c>
      <c r="T397" s="16" t="s">
        <v>44</v>
      </c>
    </row>
    <row r="398" spans="1:20" x14ac:dyDescent="0.3">
      <c r="A398" s="10">
        <v>45924</v>
      </c>
      <c r="B398" s="11">
        <v>130902</v>
      </c>
      <c r="C398" s="11" t="s">
        <v>44</v>
      </c>
      <c r="D398" s="11" t="s">
        <v>684</v>
      </c>
      <c r="E398" s="11" t="s">
        <v>47</v>
      </c>
      <c r="F398" s="11" t="s">
        <v>30</v>
      </c>
      <c r="G398" s="12">
        <v>12</v>
      </c>
      <c r="H398" s="13">
        <v>248.06</v>
      </c>
      <c r="I398" s="14">
        <f t="shared" si="51"/>
        <v>2976.7200000000003</v>
      </c>
      <c r="J398" s="15">
        <v>1</v>
      </c>
      <c r="K398" s="15">
        <f t="shared" si="50"/>
        <v>0.25</v>
      </c>
      <c r="L398" s="14" t="s">
        <v>46</v>
      </c>
      <c r="M398" s="14">
        <f t="shared" ref="M398:M429" si="52">(J398*I398)</f>
        <v>2976.7200000000003</v>
      </c>
      <c r="N398" s="14">
        <f t="shared" si="49"/>
        <v>744.18000000000006</v>
      </c>
      <c r="O398" s="11" t="s">
        <v>27</v>
      </c>
      <c r="P398" s="11" t="s">
        <v>27</v>
      </c>
      <c r="Q398" s="11"/>
      <c r="R398" s="11">
        <v>1</v>
      </c>
      <c r="S398" s="11" t="s">
        <v>28</v>
      </c>
      <c r="T398" s="16" t="s">
        <v>44</v>
      </c>
    </row>
    <row r="399" spans="1:20" x14ac:dyDescent="0.3">
      <c r="A399" s="10">
        <v>45924</v>
      </c>
      <c r="B399" s="11">
        <v>130902</v>
      </c>
      <c r="C399" s="11" t="s">
        <v>44</v>
      </c>
      <c r="D399" s="11" t="s">
        <v>684</v>
      </c>
      <c r="E399" s="11" t="s">
        <v>48</v>
      </c>
      <c r="F399" s="11" t="s">
        <v>30</v>
      </c>
      <c r="G399" s="12">
        <v>1</v>
      </c>
      <c r="H399" s="13">
        <v>300</v>
      </c>
      <c r="I399" s="14">
        <f t="shared" si="51"/>
        <v>300</v>
      </c>
      <c r="J399" s="15">
        <v>1</v>
      </c>
      <c r="K399" s="15">
        <f t="shared" si="50"/>
        <v>0.25</v>
      </c>
      <c r="L399" s="14" t="s">
        <v>46</v>
      </c>
      <c r="M399" s="14">
        <f t="shared" si="52"/>
        <v>300</v>
      </c>
      <c r="N399" s="14">
        <f t="shared" si="49"/>
        <v>75</v>
      </c>
      <c r="O399" s="11" t="s">
        <v>27</v>
      </c>
      <c r="P399" s="11" t="s">
        <v>27</v>
      </c>
      <c r="Q399" s="11"/>
      <c r="R399" s="11">
        <v>1</v>
      </c>
      <c r="S399" s="11" t="s">
        <v>28</v>
      </c>
      <c r="T399" s="16" t="s">
        <v>44</v>
      </c>
    </row>
    <row r="400" spans="1:20" x14ac:dyDescent="0.3">
      <c r="A400" s="10">
        <v>45924</v>
      </c>
      <c r="B400" s="11">
        <v>130902</v>
      </c>
      <c r="C400" s="11" t="s">
        <v>44</v>
      </c>
      <c r="D400" s="11" t="s">
        <v>684</v>
      </c>
      <c r="E400" s="11" t="s">
        <v>145</v>
      </c>
      <c r="F400" s="11" t="s">
        <v>30</v>
      </c>
      <c r="G400" s="12">
        <v>1</v>
      </c>
      <c r="H400" s="13">
        <v>300</v>
      </c>
      <c r="I400" s="14">
        <f t="shared" si="51"/>
        <v>300</v>
      </c>
      <c r="J400" s="15">
        <v>1</v>
      </c>
      <c r="K400" s="15">
        <f t="shared" si="50"/>
        <v>0.25</v>
      </c>
      <c r="L400" s="14" t="s">
        <v>46</v>
      </c>
      <c r="M400" s="14">
        <f t="shared" si="52"/>
        <v>300</v>
      </c>
      <c r="N400" s="14">
        <f t="shared" si="49"/>
        <v>75</v>
      </c>
      <c r="O400" s="11" t="s">
        <v>27</v>
      </c>
      <c r="P400" s="11" t="s">
        <v>27</v>
      </c>
      <c r="Q400" s="11"/>
      <c r="R400" s="11">
        <v>1</v>
      </c>
      <c r="S400" s="11" t="s">
        <v>28</v>
      </c>
      <c r="T400" s="16" t="s">
        <v>44</v>
      </c>
    </row>
    <row r="401" spans="1:20" x14ac:dyDescent="0.3">
      <c r="A401" s="10">
        <v>45924</v>
      </c>
      <c r="B401" s="11">
        <v>130902</v>
      </c>
      <c r="C401" s="11" t="s">
        <v>44</v>
      </c>
      <c r="D401" s="11" t="s">
        <v>684</v>
      </c>
      <c r="E401" s="11" t="s">
        <v>63</v>
      </c>
      <c r="F401" s="11" t="s">
        <v>30</v>
      </c>
      <c r="G401" s="12">
        <v>5</v>
      </c>
      <c r="H401" s="13">
        <v>83.3</v>
      </c>
      <c r="I401" s="14">
        <f t="shared" si="51"/>
        <v>416.5</v>
      </c>
      <c r="J401" s="15">
        <v>1</v>
      </c>
      <c r="K401" s="15">
        <f t="shared" si="50"/>
        <v>0.25</v>
      </c>
      <c r="L401" s="14" t="s">
        <v>46</v>
      </c>
      <c r="M401" s="14">
        <f t="shared" si="52"/>
        <v>416.5</v>
      </c>
      <c r="N401" s="14">
        <f t="shared" si="49"/>
        <v>104.125</v>
      </c>
      <c r="O401" s="11" t="s">
        <v>27</v>
      </c>
      <c r="P401" s="11" t="s">
        <v>27</v>
      </c>
      <c r="Q401" s="11"/>
      <c r="R401" s="11">
        <v>1</v>
      </c>
      <c r="S401" s="11" t="s">
        <v>28</v>
      </c>
      <c r="T401" s="16" t="s">
        <v>44</v>
      </c>
    </row>
    <row r="402" spans="1:20" x14ac:dyDescent="0.3">
      <c r="A402" s="10">
        <v>45924</v>
      </c>
      <c r="B402" s="11">
        <v>130677</v>
      </c>
      <c r="C402" s="11" t="s">
        <v>22</v>
      </c>
      <c r="D402" s="11" t="s">
        <v>685</v>
      </c>
      <c r="E402" s="11" t="s">
        <v>47</v>
      </c>
      <c r="F402" s="11" t="s">
        <v>554</v>
      </c>
      <c r="G402" s="12">
        <v>210</v>
      </c>
      <c r="H402" s="13">
        <v>190</v>
      </c>
      <c r="I402" s="14">
        <f t="shared" si="51"/>
        <v>39900</v>
      </c>
      <c r="J402" s="15">
        <v>7.0000000000000007E-2</v>
      </c>
      <c r="K402" s="15">
        <v>0</v>
      </c>
      <c r="L402" s="14" t="s">
        <v>46</v>
      </c>
      <c r="M402" s="14">
        <f t="shared" si="52"/>
        <v>2793.0000000000005</v>
      </c>
      <c r="N402" s="14">
        <f t="shared" si="49"/>
        <v>0</v>
      </c>
      <c r="O402" s="11" t="s">
        <v>27</v>
      </c>
      <c r="P402" s="11" t="s">
        <v>27</v>
      </c>
      <c r="Q402" s="11"/>
      <c r="R402" s="11">
        <v>8</v>
      </c>
      <c r="S402" s="11" t="s">
        <v>28</v>
      </c>
      <c r="T402" s="16" t="s">
        <v>22</v>
      </c>
    </row>
    <row r="403" spans="1:20" x14ac:dyDescent="0.3">
      <c r="A403" s="10">
        <v>45924</v>
      </c>
      <c r="B403" s="11">
        <v>130677</v>
      </c>
      <c r="C403" s="11" t="s">
        <v>22</v>
      </c>
      <c r="D403" s="11" t="s">
        <v>685</v>
      </c>
      <c r="E403" s="11" t="s">
        <v>63</v>
      </c>
      <c r="F403" s="11" t="s">
        <v>554</v>
      </c>
      <c r="G403" s="12">
        <v>40</v>
      </c>
      <c r="H403" s="13">
        <v>190</v>
      </c>
      <c r="I403" s="14">
        <f t="shared" si="51"/>
        <v>7600</v>
      </c>
      <c r="J403" s="15">
        <v>7.0000000000000007E-2</v>
      </c>
      <c r="K403" s="15">
        <v>0</v>
      </c>
      <c r="L403" s="14" t="s">
        <v>46</v>
      </c>
      <c r="M403" s="14">
        <f t="shared" si="52"/>
        <v>532</v>
      </c>
      <c r="N403" s="14">
        <f t="shared" si="49"/>
        <v>0</v>
      </c>
      <c r="O403" s="11" t="s">
        <v>27</v>
      </c>
      <c r="P403" s="11" t="s">
        <v>27</v>
      </c>
      <c r="Q403" s="11"/>
      <c r="R403" s="11">
        <v>8</v>
      </c>
      <c r="S403" s="11" t="s">
        <v>28</v>
      </c>
      <c r="T403" s="16" t="s">
        <v>22</v>
      </c>
    </row>
    <row r="404" spans="1:20" x14ac:dyDescent="0.3">
      <c r="A404" s="10">
        <v>45924</v>
      </c>
      <c r="B404" s="11">
        <v>130677</v>
      </c>
      <c r="C404" s="11" t="s">
        <v>22</v>
      </c>
      <c r="D404" s="11" t="s">
        <v>685</v>
      </c>
      <c r="E404" s="11" t="s">
        <v>47</v>
      </c>
      <c r="F404" s="11" t="s">
        <v>30</v>
      </c>
      <c r="G404" s="12">
        <v>5</v>
      </c>
      <c r="H404" s="13">
        <v>275.62</v>
      </c>
      <c r="I404" s="14">
        <f t="shared" si="51"/>
        <v>1378.1</v>
      </c>
      <c r="J404" s="15">
        <v>1</v>
      </c>
      <c r="K404" s="15">
        <v>0</v>
      </c>
      <c r="L404" s="14" t="s">
        <v>46</v>
      </c>
      <c r="M404" s="14">
        <f t="shared" si="52"/>
        <v>1378.1</v>
      </c>
      <c r="N404" s="14">
        <f t="shared" si="49"/>
        <v>0</v>
      </c>
      <c r="O404" s="11" t="s">
        <v>27</v>
      </c>
      <c r="P404" s="11" t="s">
        <v>27</v>
      </c>
      <c r="Q404" s="11"/>
      <c r="R404" s="11">
        <v>1</v>
      </c>
      <c r="S404" s="11" t="s">
        <v>28</v>
      </c>
      <c r="T404" s="16" t="s">
        <v>22</v>
      </c>
    </row>
    <row r="405" spans="1:20" x14ac:dyDescent="0.3">
      <c r="A405" s="10">
        <v>45924</v>
      </c>
      <c r="B405" s="11">
        <v>130677</v>
      </c>
      <c r="C405" s="11" t="s">
        <v>22</v>
      </c>
      <c r="D405" s="11" t="s">
        <v>685</v>
      </c>
      <c r="E405" s="11" t="s">
        <v>63</v>
      </c>
      <c r="F405" s="11" t="s">
        <v>30</v>
      </c>
      <c r="G405" s="12">
        <v>15</v>
      </c>
      <c r="H405" s="13">
        <v>98.6</v>
      </c>
      <c r="I405" s="14">
        <f t="shared" si="51"/>
        <v>1479</v>
      </c>
      <c r="J405" s="15">
        <v>1</v>
      </c>
      <c r="K405" s="15">
        <v>0</v>
      </c>
      <c r="L405" s="14" t="s">
        <v>46</v>
      </c>
      <c r="M405" s="14">
        <f t="shared" si="52"/>
        <v>1479</v>
      </c>
      <c r="N405" s="14">
        <f t="shared" si="49"/>
        <v>0</v>
      </c>
      <c r="O405" s="11" t="s">
        <v>27</v>
      </c>
      <c r="P405" s="11" t="s">
        <v>27</v>
      </c>
      <c r="Q405" s="11"/>
      <c r="R405" s="11">
        <v>1</v>
      </c>
      <c r="S405" s="11" t="s">
        <v>28</v>
      </c>
      <c r="T405" s="16" t="s">
        <v>22</v>
      </c>
    </row>
    <row r="406" spans="1:20" x14ac:dyDescent="0.3">
      <c r="A406" s="10">
        <v>45930</v>
      </c>
      <c r="B406" s="11">
        <v>78364</v>
      </c>
      <c r="C406" s="11" t="s">
        <v>44</v>
      </c>
      <c r="D406" s="11" t="s">
        <v>681</v>
      </c>
      <c r="E406" s="11" t="s">
        <v>24</v>
      </c>
      <c r="F406" s="11" t="s">
        <v>554</v>
      </c>
      <c r="G406" s="12">
        <v>240.75</v>
      </c>
      <c r="H406" s="13">
        <v>150.44999999999999</v>
      </c>
      <c r="I406" s="14">
        <f t="shared" si="51"/>
        <v>36220.837499999994</v>
      </c>
      <c r="J406" s="15">
        <v>0.01</v>
      </c>
      <c r="K406" s="15">
        <f t="shared" ref="K406:K439" si="53">J406*0.25</f>
        <v>2.5000000000000001E-3</v>
      </c>
      <c r="L406" s="14" t="s">
        <v>26</v>
      </c>
      <c r="M406" s="14">
        <f t="shared" si="52"/>
        <v>362.20837499999993</v>
      </c>
      <c r="N406" s="14">
        <f t="shared" si="49"/>
        <v>90.552093749999983</v>
      </c>
      <c r="O406" s="11" t="s">
        <v>597</v>
      </c>
      <c r="P406" s="11" t="s">
        <v>597</v>
      </c>
      <c r="Q406" s="11"/>
      <c r="R406" s="11">
        <v>12</v>
      </c>
      <c r="S406" s="11" t="s">
        <v>597</v>
      </c>
      <c r="T406" s="16" t="s">
        <v>44</v>
      </c>
    </row>
    <row r="407" spans="1:20" x14ac:dyDescent="0.3">
      <c r="A407" s="10">
        <v>45930</v>
      </c>
      <c r="B407" s="11">
        <v>105949</v>
      </c>
      <c r="C407" s="11" t="s">
        <v>44</v>
      </c>
      <c r="D407" s="11" t="s">
        <v>649</v>
      </c>
      <c r="E407" s="11" t="s">
        <v>24</v>
      </c>
      <c r="F407" s="11" t="s">
        <v>554</v>
      </c>
      <c r="G407" s="12">
        <v>30</v>
      </c>
      <c r="H407" s="13">
        <v>180.2</v>
      </c>
      <c r="I407" s="14">
        <f t="shared" si="51"/>
        <v>5406</v>
      </c>
      <c r="J407" s="15">
        <v>7.0000000000000007E-2</v>
      </c>
      <c r="K407" s="15">
        <f t="shared" si="53"/>
        <v>1.7500000000000002E-2</v>
      </c>
      <c r="L407" s="14" t="s">
        <v>26</v>
      </c>
      <c r="M407" s="14">
        <f t="shared" si="52"/>
        <v>378.42</v>
      </c>
      <c r="N407" s="14">
        <f t="shared" si="49"/>
        <v>94.605000000000004</v>
      </c>
      <c r="O407" s="11" t="s">
        <v>597</v>
      </c>
      <c r="P407" s="11" t="s">
        <v>597</v>
      </c>
      <c r="Q407" s="11"/>
      <c r="R407" s="11">
        <v>10</v>
      </c>
      <c r="S407" s="11" t="s">
        <v>597</v>
      </c>
      <c r="T407" s="16" t="s">
        <v>44</v>
      </c>
    </row>
    <row r="408" spans="1:20" x14ac:dyDescent="0.3">
      <c r="A408" s="18">
        <v>45930</v>
      </c>
      <c r="B408" s="11">
        <v>123185</v>
      </c>
      <c r="C408" s="11" t="s">
        <v>31</v>
      </c>
      <c r="D408" s="11" t="s">
        <v>146</v>
      </c>
      <c r="E408" s="11" t="s">
        <v>588</v>
      </c>
      <c r="F408" s="11" t="s">
        <v>30</v>
      </c>
      <c r="G408" s="12">
        <v>1</v>
      </c>
      <c r="H408" s="13">
        <v>356.4</v>
      </c>
      <c r="I408" s="14">
        <f t="shared" si="51"/>
        <v>356.4</v>
      </c>
      <c r="J408" s="15">
        <v>1</v>
      </c>
      <c r="K408" s="15">
        <f t="shared" si="53"/>
        <v>0.25</v>
      </c>
      <c r="L408" s="14" t="s">
        <v>26</v>
      </c>
      <c r="M408" s="14">
        <f t="shared" si="52"/>
        <v>356.4</v>
      </c>
      <c r="N408" s="14">
        <f t="shared" si="49"/>
        <v>89.1</v>
      </c>
      <c r="O408" s="11" t="s">
        <v>27</v>
      </c>
      <c r="P408" s="11" t="s">
        <v>27</v>
      </c>
      <c r="Q408" s="11"/>
      <c r="R408" s="11">
        <v>1</v>
      </c>
      <c r="S408" s="11" t="s">
        <v>28</v>
      </c>
      <c r="T408" s="16" t="s">
        <v>31</v>
      </c>
    </row>
    <row r="409" spans="1:20" x14ac:dyDescent="0.3">
      <c r="A409" s="10">
        <v>45936</v>
      </c>
      <c r="B409" s="11">
        <v>130453</v>
      </c>
      <c r="C409" s="11" t="s">
        <v>31</v>
      </c>
      <c r="D409" s="11" t="s">
        <v>674</v>
      </c>
      <c r="E409" s="11" t="s">
        <v>54</v>
      </c>
      <c r="F409" s="11" t="s">
        <v>30</v>
      </c>
      <c r="G409" s="12">
        <v>2</v>
      </c>
      <c r="H409" s="13">
        <v>142.56</v>
      </c>
      <c r="I409" s="14">
        <f t="shared" si="51"/>
        <v>285.12</v>
      </c>
      <c r="J409" s="15">
        <v>1</v>
      </c>
      <c r="K409" s="15">
        <f t="shared" si="53"/>
        <v>0.25</v>
      </c>
      <c r="L409" s="14" t="s">
        <v>26</v>
      </c>
      <c r="M409" s="14">
        <f t="shared" si="52"/>
        <v>285.12</v>
      </c>
      <c r="N409" s="14">
        <f t="shared" si="49"/>
        <v>71.28</v>
      </c>
      <c r="O409" s="11" t="s">
        <v>27</v>
      </c>
      <c r="P409" s="11" t="s">
        <v>27</v>
      </c>
      <c r="Q409" s="11"/>
      <c r="R409" s="11">
        <v>1</v>
      </c>
      <c r="S409" s="11" t="s">
        <v>28</v>
      </c>
      <c r="T409" s="16" t="s">
        <v>31</v>
      </c>
    </row>
    <row r="410" spans="1:20" x14ac:dyDescent="0.3">
      <c r="A410" s="10">
        <v>45936</v>
      </c>
      <c r="B410" s="11">
        <v>131408</v>
      </c>
      <c r="C410" s="11" t="s">
        <v>31</v>
      </c>
      <c r="D410" s="11" t="s">
        <v>596</v>
      </c>
      <c r="E410" s="11" t="s">
        <v>24</v>
      </c>
      <c r="F410" s="11" t="s">
        <v>554</v>
      </c>
      <c r="G410" s="12">
        <v>24</v>
      </c>
      <c r="H410" s="13">
        <v>210</v>
      </c>
      <c r="I410" s="14">
        <f t="shared" si="51"/>
        <v>5040</v>
      </c>
      <c r="J410" s="15">
        <v>7.0000000000000007E-2</v>
      </c>
      <c r="K410" s="15">
        <f t="shared" si="53"/>
        <v>1.7500000000000002E-2</v>
      </c>
      <c r="L410" s="14" t="s">
        <v>26</v>
      </c>
      <c r="M410" s="14">
        <f t="shared" si="52"/>
        <v>352.8</v>
      </c>
      <c r="N410" s="14">
        <f t="shared" si="49"/>
        <v>88.2</v>
      </c>
      <c r="O410" s="11" t="s">
        <v>597</v>
      </c>
      <c r="P410" s="11" t="s">
        <v>597</v>
      </c>
      <c r="Q410" s="11"/>
      <c r="R410" s="11">
        <v>6</v>
      </c>
      <c r="S410" s="11" t="s">
        <v>597</v>
      </c>
      <c r="T410" s="16" t="s">
        <v>31</v>
      </c>
    </row>
    <row r="411" spans="1:20" x14ac:dyDescent="0.3">
      <c r="A411" s="10">
        <v>45936</v>
      </c>
      <c r="B411" s="11">
        <v>127383</v>
      </c>
      <c r="C411" s="11" t="s">
        <v>31</v>
      </c>
      <c r="D411" s="11" t="s">
        <v>73</v>
      </c>
      <c r="E411" s="11" t="s">
        <v>24</v>
      </c>
      <c r="F411" s="11" t="s">
        <v>554</v>
      </c>
      <c r="G411" s="12">
        <v>8</v>
      </c>
      <c r="H411" s="13">
        <v>180</v>
      </c>
      <c r="I411" s="14">
        <f t="shared" si="51"/>
        <v>1440</v>
      </c>
      <c r="J411" s="15">
        <v>7.0000000000000007E-2</v>
      </c>
      <c r="K411" s="15">
        <f t="shared" si="53"/>
        <v>1.7500000000000002E-2</v>
      </c>
      <c r="L411" s="14" t="s">
        <v>26</v>
      </c>
      <c r="M411" s="14">
        <f t="shared" si="52"/>
        <v>100.80000000000001</v>
      </c>
      <c r="N411" s="14">
        <f t="shared" si="49"/>
        <v>25.200000000000003</v>
      </c>
      <c r="O411" s="11" t="s">
        <v>597</v>
      </c>
      <c r="P411" s="11" t="s">
        <v>597</v>
      </c>
      <c r="Q411" s="11"/>
      <c r="R411" s="11">
        <v>4</v>
      </c>
      <c r="S411" s="11" t="s">
        <v>597</v>
      </c>
      <c r="T411" s="16" t="s">
        <v>31</v>
      </c>
    </row>
    <row r="412" spans="1:20" x14ac:dyDescent="0.3">
      <c r="A412" s="10">
        <v>45936</v>
      </c>
      <c r="B412" s="11">
        <v>130953</v>
      </c>
      <c r="C412" s="11" t="s">
        <v>31</v>
      </c>
      <c r="D412" s="11" t="s">
        <v>127</v>
      </c>
      <c r="E412" s="11" t="s">
        <v>35</v>
      </c>
      <c r="F412" s="11" t="s">
        <v>35</v>
      </c>
      <c r="G412" s="12">
        <v>60</v>
      </c>
      <c r="H412" s="13">
        <v>176</v>
      </c>
      <c r="I412" s="14">
        <f t="shared" si="51"/>
        <v>10560</v>
      </c>
      <c r="J412" s="15">
        <v>0.01</v>
      </c>
      <c r="K412" s="15">
        <f t="shared" si="53"/>
        <v>2.5000000000000001E-3</v>
      </c>
      <c r="L412" s="14" t="s">
        <v>26</v>
      </c>
      <c r="M412" s="14">
        <f t="shared" si="52"/>
        <v>105.60000000000001</v>
      </c>
      <c r="N412" s="14">
        <f t="shared" si="49"/>
        <v>26.400000000000002</v>
      </c>
      <c r="O412" s="11" t="s">
        <v>597</v>
      </c>
      <c r="P412" s="11" t="s">
        <v>597</v>
      </c>
      <c r="Q412" s="11"/>
      <c r="R412" s="11">
        <v>3</v>
      </c>
      <c r="S412" s="11" t="s">
        <v>597</v>
      </c>
      <c r="T412" s="16" t="s">
        <v>31</v>
      </c>
    </row>
    <row r="413" spans="1:20" x14ac:dyDescent="0.3">
      <c r="A413" s="10">
        <v>45937</v>
      </c>
      <c r="B413" s="11">
        <v>131727</v>
      </c>
      <c r="C413" s="11" t="s">
        <v>31</v>
      </c>
      <c r="D413" s="11" t="s">
        <v>670</v>
      </c>
      <c r="E413" s="11" t="s">
        <v>24</v>
      </c>
      <c r="F413" s="11" t="s">
        <v>554</v>
      </c>
      <c r="G413" s="12">
        <v>4</v>
      </c>
      <c r="H413" s="13">
        <v>175</v>
      </c>
      <c r="I413" s="14">
        <f t="shared" si="51"/>
        <v>700</v>
      </c>
      <c r="J413" s="15">
        <v>5.8900000000000001E-2</v>
      </c>
      <c r="K413" s="15">
        <f t="shared" si="53"/>
        <v>1.4725E-2</v>
      </c>
      <c r="L413" s="14" t="s">
        <v>26</v>
      </c>
      <c r="M413" s="14">
        <f t="shared" si="52"/>
        <v>41.230000000000004</v>
      </c>
      <c r="N413" s="14">
        <f t="shared" si="49"/>
        <v>10.307500000000001</v>
      </c>
      <c r="O413" s="11" t="s">
        <v>597</v>
      </c>
      <c r="P413" s="11" t="s">
        <v>597</v>
      </c>
      <c r="Q413" s="11"/>
      <c r="R413" s="11">
        <v>1</v>
      </c>
      <c r="S413" s="11" t="s">
        <v>597</v>
      </c>
      <c r="T413" s="16" t="s">
        <v>31</v>
      </c>
    </row>
    <row r="414" spans="1:20" x14ac:dyDescent="0.3">
      <c r="A414" s="10">
        <v>45960</v>
      </c>
      <c r="B414" s="11">
        <v>129348</v>
      </c>
      <c r="C414" s="11" t="s">
        <v>31</v>
      </c>
      <c r="D414" s="11" t="s">
        <v>95</v>
      </c>
      <c r="E414" s="11" t="s">
        <v>24</v>
      </c>
      <c r="F414" s="11" t="s">
        <v>554</v>
      </c>
      <c r="G414" s="12">
        <v>40</v>
      </c>
      <c r="H414" s="13">
        <v>210</v>
      </c>
      <c r="I414" s="14">
        <f t="shared" si="51"/>
        <v>8400</v>
      </c>
      <c r="J414" s="15">
        <v>7.0000000000000007E-2</v>
      </c>
      <c r="K414" s="15">
        <f t="shared" si="53"/>
        <v>1.7500000000000002E-2</v>
      </c>
      <c r="L414" s="14" t="s">
        <v>26</v>
      </c>
      <c r="M414" s="14">
        <f t="shared" si="52"/>
        <v>588</v>
      </c>
      <c r="N414" s="14">
        <f t="shared" si="49"/>
        <v>147</v>
      </c>
      <c r="O414" s="11" t="s">
        <v>597</v>
      </c>
      <c r="P414" s="11" t="s">
        <v>597</v>
      </c>
      <c r="Q414" s="11"/>
      <c r="R414" s="11">
        <v>6</v>
      </c>
      <c r="S414" s="11" t="s">
        <v>597</v>
      </c>
      <c r="T414" s="16" t="s">
        <v>31</v>
      </c>
    </row>
    <row r="415" spans="1:20" x14ac:dyDescent="0.3">
      <c r="A415" s="10">
        <v>45954</v>
      </c>
      <c r="B415" s="11">
        <v>130827</v>
      </c>
      <c r="C415" s="11" t="s">
        <v>31</v>
      </c>
      <c r="D415" s="11" t="s">
        <v>34</v>
      </c>
      <c r="E415" s="11" t="s">
        <v>35</v>
      </c>
      <c r="F415" s="11" t="s">
        <v>35</v>
      </c>
      <c r="G415" s="12">
        <v>90</v>
      </c>
      <c r="H415" s="13">
        <v>158.4</v>
      </c>
      <c r="I415" s="14">
        <f t="shared" si="51"/>
        <v>14256</v>
      </c>
      <c r="J415" s="15">
        <v>7.0000000000000001E-3</v>
      </c>
      <c r="K415" s="15">
        <f t="shared" si="53"/>
        <v>1.75E-3</v>
      </c>
      <c r="L415" s="14" t="s">
        <v>26</v>
      </c>
      <c r="M415" s="14">
        <f t="shared" si="52"/>
        <v>99.792000000000002</v>
      </c>
      <c r="N415" s="14">
        <f t="shared" si="49"/>
        <v>24.948</v>
      </c>
      <c r="O415" s="11" t="s">
        <v>27</v>
      </c>
      <c r="P415" s="11" t="s">
        <v>27</v>
      </c>
      <c r="Q415" s="11"/>
      <c r="R415" s="11">
        <v>8</v>
      </c>
      <c r="S415" s="11" t="s">
        <v>28</v>
      </c>
      <c r="T415" s="16" t="s">
        <v>31</v>
      </c>
    </row>
    <row r="416" spans="1:20" x14ac:dyDescent="0.3">
      <c r="A416" s="10">
        <v>45954</v>
      </c>
      <c r="B416" s="11">
        <v>130827</v>
      </c>
      <c r="C416" s="11" t="s">
        <v>31</v>
      </c>
      <c r="D416" s="11" t="s">
        <v>34</v>
      </c>
      <c r="E416" s="11" t="s">
        <v>565</v>
      </c>
      <c r="F416" s="11" t="s">
        <v>35</v>
      </c>
      <c r="G416" s="12">
        <v>1</v>
      </c>
      <c r="H416" s="13">
        <v>641.61</v>
      </c>
      <c r="I416" s="14">
        <f t="shared" si="51"/>
        <v>641.61</v>
      </c>
      <c r="J416" s="15">
        <v>1</v>
      </c>
      <c r="K416" s="15">
        <f t="shared" si="53"/>
        <v>0.25</v>
      </c>
      <c r="L416" s="14" t="s">
        <v>26</v>
      </c>
      <c r="M416" s="14">
        <f t="shared" si="52"/>
        <v>641.61</v>
      </c>
      <c r="N416" s="14">
        <f t="shared" si="49"/>
        <v>160.4025</v>
      </c>
      <c r="O416" s="11" t="s">
        <v>27</v>
      </c>
      <c r="P416" s="11" t="s">
        <v>27</v>
      </c>
      <c r="Q416" s="11"/>
      <c r="R416" s="11">
        <v>1</v>
      </c>
      <c r="S416" s="11" t="s">
        <v>28</v>
      </c>
      <c r="T416" s="16" t="s">
        <v>31</v>
      </c>
    </row>
    <row r="417" spans="1:20" x14ac:dyDescent="0.3">
      <c r="A417" s="10">
        <v>45954</v>
      </c>
      <c r="B417" s="11">
        <v>132507</v>
      </c>
      <c r="C417" s="11" t="s">
        <v>31</v>
      </c>
      <c r="D417" s="11" t="s">
        <v>620</v>
      </c>
      <c r="E417" s="11" t="s">
        <v>102</v>
      </c>
      <c r="F417" s="11" t="s">
        <v>30</v>
      </c>
      <c r="G417" s="12">
        <v>1</v>
      </c>
      <c r="H417" s="13">
        <v>258.60000000000002</v>
      </c>
      <c r="I417" s="14">
        <f t="shared" si="51"/>
        <v>258.60000000000002</v>
      </c>
      <c r="J417" s="15">
        <v>1</v>
      </c>
      <c r="K417" s="15">
        <f t="shared" si="53"/>
        <v>0.25</v>
      </c>
      <c r="L417" s="14" t="s">
        <v>26</v>
      </c>
      <c r="M417" s="14">
        <f t="shared" si="52"/>
        <v>258.60000000000002</v>
      </c>
      <c r="N417" s="14">
        <f t="shared" si="49"/>
        <v>64.650000000000006</v>
      </c>
      <c r="O417" s="11" t="s">
        <v>597</v>
      </c>
      <c r="P417" s="11" t="s">
        <v>597</v>
      </c>
      <c r="Q417" s="11"/>
      <c r="R417" s="11">
        <v>1</v>
      </c>
      <c r="S417" s="11" t="s">
        <v>597</v>
      </c>
      <c r="T417" s="16" t="s">
        <v>31</v>
      </c>
    </row>
    <row r="418" spans="1:20" x14ac:dyDescent="0.3">
      <c r="A418" s="10">
        <v>45952</v>
      </c>
      <c r="B418" s="11">
        <v>132374</v>
      </c>
      <c r="C418" s="11" t="s">
        <v>31</v>
      </c>
      <c r="D418" s="11" t="s">
        <v>43</v>
      </c>
      <c r="E418" s="11" t="s">
        <v>54</v>
      </c>
      <c r="F418" s="11" t="s">
        <v>554</v>
      </c>
      <c r="G418" s="12">
        <v>120</v>
      </c>
      <c r="H418" s="13">
        <v>175</v>
      </c>
      <c r="I418" s="14">
        <f t="shared" si="51"/>
        <v>21000</v>
      </c>
      <c r="J418" s="15">
        <v>7.0000000000000007E-2</v>
      </c>
      <c r="K418" s="15">
        <f t="shared" si="53"/>
        <v>1.7500000000000002E-2</v>
      </c>
      <c r="L418" s="14" t="s">
        <v>26</v>
      </c>
      <c r="M418" s="14">
        <f t="shared" si="52"/>
        <v>1470.0000000000002</v>
      </c>
      <c r="N418" s="14">
        <f t="shared" si="49"/>
        <v>367.50000000000006</v>
      </c>
      <c r="O418" s="11" t="s">
        <v>27</v>
      </c>
      <c r="P418" s="11" t="s">
        <v>27</v>
      </c>
      <c r="Q418" s="11"/>
      <c r="R418" s="11">
        <v>10</v>
      </c>
      <c r="S418" s="11" t="s">
        <v>28</v>
      </c>
      <c r="T418" s="16" t="s">
        <v>31</v>
      </c>
    </row>
    <row r="419" spans="1:20" x14ac:dyDescent="0.3">
      <c r="A419" s="10">
        <v>45952</v>
      </c>
      <c r="B419" s="11">
        <v>132374</v>
      </c>
      <c r="C419" s="11" t="s">
        <v>31</v>
      </c>
      <c r="D419" s="11" t="s">
        <v>43</v>
      </c>
      <c r="E419" s="11" t="s">
        <v>54</v>
      </c>
      <c r="F419" s="11" t="s">
        <v>30</v>
      </c>
      <c r="G419" s="12">
        <v>4</v>
      </c>
      <c r="H419" s="13">
        <v>150</v>
      </c>
      <c r="I419" s="14">
        <f t="shared" si="51"/>
        <v>600</v>
      </c>
      <c r="J419" s="15">
        <v>1</v>
      </c>
      <c r="K419" s="15">
        <f t="shared" si="53"/>
        <v>0.25</v>
      </c>
      <c r="L419" s="14" t="s">
        <v>26</v>
      </c>
      <c r="M419" s="14">
        <f t="shared" si="52"/>
        <v>600</v>
      </c>
      <c r="N419" s="14">
        <f t="shared" si="49"/>
        <v>150</v>
      </c>
      <c r="O419" s="11" t="s">
        <v>27</v>
      </c>
      <c r="P419" s="11" t="s">
        <v>27</v>
      </c>
      <c r="Q419" s="11"/>
      <c r="R419" s="11">
        <v>1</v>
      </c>
      <c r="S419" s="11" t="s">
        <v>28</v>
      </c>
      <c r="T419" s="16" t="s">
        <v>31</v>
      </c>
    </row>
    <row r="420" spans="1:20" x14ac:dyDescent="0.3">
      <c r="A420" s="10">
        <v>45945</v>
      </c>
      <c r="B420" s="11">
        <v>131545</v>
      </c>
      <c r="C420" s="11" t="s">
        <v>31</v>
      </c>
      <c r="D420" s="11" t="s">
        <v>686</v>
      </c>
      <c r="E420" s="11" t="s">
        <v>35</v>
      </c>
      <c r="F420" s="11" t="s">
        <v>35</v>
      </c>
      <c r="G420" s="12">
        <v>2</v>
      </c>
      <c r="H420" s="13">
        <v>176</v>
      </c>
      <c r="I420" s="14">
        <f t="shared" si="51"/>
        <v>352</v>
      </c>
      <c r="J420" s="15">
        <v>0.01</v>
      </c>
      <c r="K420" s="15">
        <f t="shared" si="53"/>
        <v>2.5000000000000001E-3</v>
      </c>
      <c r="L420" s="14" t="s">
        <v>26</v>
      </c>
      <c r="M420" s="14">
        <f t="shared" si="52"/>
        <v>3.52</v>
      </c>
      <c r="N420" s="14">
        <f t="shared" si="49"/>
        <v>0.88</v>
      </c>
      <c r="O420" s="11" t="s">
        <v>597</v>
      </c>
      <c r="P420" s="11" t="s">
        <v>597</v>
      </c>
      <c r="Q420" s="11"/>
      <c r="R420" s="11">
        <v>1</v>
      </c>
      <c r="S420" s="11" t="s">
        <v>597</v>
      </c>
      <c r="T420" s="16" t="s">
        <v>31</v>
      </c>
    </row>
    <row r="421" spans="1:20" x14ac:dyDescent="0.3">
      <c r="A421" s="10">
        <v>45952</v>
      </c>
      <c r="B421" s="11">
        <v>132473</v>
      </c>
      <c r="C421" s="11" t="s">
        <v>31</v>
      </c>
      <c r="D421" s="11" t="s">
        <v>659</v>
      </c>
      <c r="E421" s="11" t="s">
        <v>54</v>
      </c>
      <c r="F421" s="11" t="s">
        <v>554</v>
      </c>
      <c r="G421" s="12">
        <v>48</v>
      </c>
      <c r="H421" s="13">
        <v>168</v>
      </c>
      <c r="I421" s="14">
        <f t="shared" si="51"/>
        <v>8064</v>
      </c>
      <c r="J421" s="15">
        <v>3.39E-2</v>
      </c>
      <c r="K421" s="15">
        <f t="shared" si="53"/>
        <v>8.4749999999999999E-3</v>
      </c>
      <c r="L421" s="14" t="s">
        <v>26</v>
      </c>
      <c r="M421" s="14">
        <f t="shared" si="52"/>
        <v>273.36959999999999</v>
      </c>
      <c r="N421" s="14">
        <f t="shared" si="49"/>
        <v>68.342399999999998</v>
      </c>
      <c r="O421" s="11" t="s">
        <v>27</v>
      </c>
      <c r="P421" s="11" t="s">
        <v>27</v>
      </c>
      <c r="Q421" s="11"/>
      <c r="R421" s="11">
        <v>1</v>
      </c>
      <c r="S421" s="11" t="s">
        <v>28</v>
      </c>
      <c r="T421" s="16" t="s">
        <v>31</v>
      </c>
    </row>
    <row r="422" spans="1:20" x14ac:dyDescent="0.3">
      <c r="A422" s="10">
        <v>45952</v>
      </c>
      <c r="B422" s="11">
        <v>132473</v>
      </c>
      <c r="C422" s="11" t="s">
        <v>31</v>
      </c>
      <c r="D422" s="11" t="s">
        <v>659</v>
      </c>
      <c r="E422" s="11" t="s">
        <v>54</v>
      </c>
      <c r="F422" s="11" t="s">
        <v>30</v>
      </c>
      <c r="G422" s="12">
        <v>1</v>
      </c>
      <c r="H422" s="13">
        <v>142.56</v>
      </c>
      <c r="I422" s="14">
        <f t="shared" ref="I422:I453" si="54">G422*H422</f>
        <v>142.56</v>
      </c>
      <c r="J422" s="15">
        <v>1</v>
      </c>
      <c r="K422" s="15">
        <f t="shared" si="53"/>
        <v>0.25</v>
      </c>
      <c r="L422" s="14" t="s">
        <v>26</v>
      </c>
      <c r="M422" s="14">
        <f t="shared" si="52"/>
        <v>142.56</v>
      </c>
      <c r="N422" s="14">
        <f t="shared" si="49"/>
        <v>35.64</v>
      </c>
      <c r="O422" s="11" t="s">
        <v>27</v>
      </c>
      <c r="P422" s="11" t="s">
        <v>27</v>
      </c>
      <c r="Q422" s="11"/>
      <c r="R422" s="11">
        <v>1</v>
      </c>
      <c r="S422" s="11" t="s">
        <v>28</v>
      </c>
      <c r="T422" s="16" t="s">
        <v>31</v>
      </c>
    </row>
    <row r="423" spans="1:20" x14ac:dyDescent="0.3">
      <c r="A423" s="10">
        <v>45952</v>
      </c>
      <c r="B423" s="11">
        <v>129544</v>
      </c>
      <c r="C423" s="11" t="s">
        <v>31</v>
      </c>
      <c r="D423" s="11" t="s">
        <v>621</v>
      </c>
      <c r="E423" s="11" t="s">
        <v>35</v>
      </c>
      <c r="F423" s="11" t="s">
        <v>35</v>
      </c>
      <c r="G423" s="12">
        <v>30</v>
      </c>
      <c r="H423" s="13">
        <v>176</v>
      </c>
      <c r="I423" s="14">
        <f t="shared" si="54"/>
        <v>5280</v>
      </c>
      <c r="J423" s="15">
        <v>0.01</v>
      </c>
      <c r="K423" s="15">
        <f t="shared" si="53"/>
        <v>2.5000000000000001E-3</v>
      </c>
      <c r="L423" s="14" t="s">
        <v>26</v>
      </c>
      <c r="M423" s="14">
        <f t="shared" si="52"/>
        <v>52.800000000000004</v>
      </c>
      <c r="N423" s="14">
        <f t="shared" si="49"/>
        <v>13.200000000000001</v>
      </c>
      <c r="O423" s="11" t="s">
        <v>597</v>
      </c>
      <c r="P423" s="11" t="s">
        <v>597</v>
      </c>
      <c r="Q423" s="11"/>
      <c r="R423" s="11">
        <v>3</v>
      </c>
      <c r="S423" s="11" t="s">
        <v>597</v>
      </c>
      <c r="T423" s="16" t="s">
        <v>31</v>
      </c>
    </row>
    <row r="424" spans="1:20" x14ac:dyDescent="0.3">
      <c r="A424" s="10">
        <v>45947</v>
      </c>
      <c r="B424" s="11">
        <v>126731</v>
      </c>
      <c r="C424" s="11" t="s">
        <v>31</v>
      </c>
      <c r="D424" s="11" t="s">
        <v>79</v>
      </c>
      <c r="E424" s="11" t="s">
        <v>35</v>
      </c>
      <c r="F424" s="11" t="s">
        <v>35</v>
      </c>
      <c r="G424" s="12">
        <v>4</v>
      </c>
      <c r="H424" s="13">
        <v>176</v>
      </c>
      <c r="I424" s="14">
        <f t="shared" si="54"/>
        <v>704</v>
      </c>
      <c r="J424" s="15">
        <v>0.01</v>
      </c>
      <c r="K424" s="15">
        <f t="shared" si="53"/>
        <v>2.5000000000000001E-3</v>
      </c>
      <c r="L424" s="14" t="s">
        <v>26</v>
      </c>
      <c r="M424" s="14">
        <f t="shared" si="52"/>
        <v>7.04</v>
      </c>
      <c r="N424" s="14">
        <f t="shared" si="49"/>
        <v>1.76</v>
      </c>
      <c r="O424" s="11" t="s">
        <v>597</v>
      </c>
      <c r="P424" s="11" t="s">
        <v>597</v>
      </c>
      <c r="Q424" s="11"/>
      <c r="R424" s="11">
        <v>2</v>
      </c>
      <c r="S424" s="11" t="s">
        <v>597</v>
      </c>
      <c r="T424" s="16" t="s">
        <v>31</v>
      </c>
    </row>
    <row r="425" spans="1:20" x14ac:dyDescent="0.3">
      <c r="A425" s="10">
        <v>45952</v>
      </c>
      <c r="B425" s="11">
        <v>131629</v>
      </c>
      <c r="C425" s="11" t="s">
        <v>31</v>
      </c>
      <c r="D425" s="11" t="s">
        <v>124</v>
      </c>
      <c r="E425" s="11" t="s">
        <v>35</v>
      </c>
      <c r="F425" s="11" t="s">
        <v>35</v>
      </c>
      <c r="G425" s="12">
        <v>2</v>
      </c>
      <c r="H425" s="13">
        <v>176</v>
      </c>
      <c r="I425" s="14">
        <f t="shared" si="54"/>
        <v>352</v>
      </c>
      <c r="J425" s="15">
        <v>0.01</v>
      </c>
      <c r="K425" s="15">
        <f t="shared" si="53"/>
        <v>2.5000000000000001E-3</v>
      </c>
      <c r="L425" s="14" t="s">
        <v>26</v>
      </c>
      <c r="M425" s="14">
        <f t="shared" si="52"/>
        <v>3.52</v>
      </c>
      <c r="N425" s="14">
        <f t="shared" si="49"/>
        <v>0.88</v>
      </c>
      <c r="O425" s="11" t="s">
        <v>597</v>
      </c>
      <c r="P425" s="11" t="s">
        <v>597</v>
      </c>
      <c r="Q425" s="11"/>
      <c r="R425" s="11">
        <v>1</v>
      </c>
      <c r="S425" s="11" t="s">
        <v>597</v>
      </c>
      <c r="T425" s="16" t="s">
        <v>31</v>
      </c>
    </row>
    <row r="426" spans="1:20" x14ac:dyDescent="0.3">
      <c r="A426" s="10">
        <v>45960</v>
      </c>
      <c r="B426" s="11">
        <v>132318</v>
      </c>
      <c r="C426" s="11" t="s">
        <v>31</v>
      </c>
      <c r="D426" s="11" t="s">
        <v>65</v>
      </c>
      <c r="E426" s="11" t="s">
        <v>35</v>
      </c>
      <c r="F426" s="11" t="s">
        <v>35</v>
      </c>
      <c r="G426" s="12">
        <v>5</v>
      </c>
      <c r="H426" s="13">
        <v>176</v>
      </c>
      <c r="I426" s="14">
        <f t="shared" si="54"/>
        <v>880</v>
      </c>
      <c r="J426" s="15">
        <v>0.01</v>
      </c>
      <c r="K426" s="15">
        <f t="shared" si="53"/>
        <v>2.5000000000000001E-3</v>
      </c>
      <c r="L426" s="14" t="s">
        <v>26</v>
      </c>
      <c r="M426" s="14">
        <f t="shared" si="52"/>
        <v>8.8000000000000007</v>
      </c>
      <c r="N426" s="14">
        <f t="shared" si="49"/>
        <v>2.2000000000000002</v>
      </c>
      <c r="O426" s="11" t="s">
        <v>597</v>
      </c>
      <c r="P426" s="11" t="s">
        <v>597</v>
      </c>
      <c r="Q426" s="11"/>
      <c r="R426" s="11">
        <v>1</v>
      </c>
      <c r="S426" s="11" t="s">
        <v>597</v>
      </c>
      <c r="T426" s="16" t="s">
        <v>31</v>
      </c>
    </row>
    <row r="427" spans="1:20" x14ac:dyDescent="0.3">
      <c r="A427" s="10">
        <v>45952</v>
      </c>
      <c r="B427" s="11">
        <v>131697</v>
      </c>
      <c r="C427" s="11" t="s">
        <v>31</v>
      </c>
      <c r="D427" s="11" t="s">
        <v>687</v>
      </c>
      <c r="E427" s="11" t="s">
        <v>35</v>
      </c>
      <c r="F427" s="11" t="s">
        <v>35</v>
      </c>
      <c r="G427" s="12">
        <v>24</v>
      </c>
      <c r="H427" s="13">
        <v>176</v>
      </c>
      <c r="I427" s="14">
        <f t="shared" si="54"/>
        <v>4224</v>
      </c>
      <c r="J427" s="15">
        <v>0.01</v>
      </c>
      <c r="K427" s="15">
        <f t="shared" si="53"/>
        <v>2.5000000000000001E-3</v>
      </c>
      <c r="L427" s="14" t="s">
        <v>26</v>
      </c>
      <c r="M427" s="14">
        <f t="shared" si="52"/>
        <v>42.24</v>
      </c>
      <c r="N427" s="14">
        <f t="shared" si="49"/>
        <v>10.56</v>
      </c>
      <c r="O427" s="11" t="s">
        <v>597</v>
      </c>
      <c r="P427" s="11" t="s">
        <v>597</v>
      </c>
      <c r="Q427" s="11"/>
      <c r="R427" s="11">
        <v>3</v>
      </c>
      <c r="S427" s="11" t="s">
        <v>597</v>
      </c>
      <c r="T427" s="16" t="s">
        <v>31</v>
      </c>
    </row>
    <row r="428" spans="1:20" x14ac:dyDescent="0.3">
      <c r="A428" s="10">
        <v>45952</v>
      </c>
      <c r="B428" s="11">
        <v>123063</v>
      </c>
      <c r="C428" s="11" t="s">
        <v>31</v>
      </c>
      <c r="D428" s="11" t="s">
        <v>77</v>
      </c>
      <c r="E428" s="11" t="s">
        <v>35</v>
      </c>
      <c r="F428" s="11" t="s">
        <v>35</v>
      </c>
      <c r="G428" s="12">
        <v>3</v>
      </c>
      <c r="H428" s="13">
        <v>176</v>
      </c>
      <c r="I428" s="14">
        <f t="shared" si="54"/>
        <v>528</v>
      </c>
      <c r="J428" s="15">
        <v>0.01</v>
      </c>
      <c r="K428" s="15">
        <f t="shared" si="53"/>
        <v>2.5000000000000001E-3</v>
      </c>
      <c r="L428" s="14" t="s">
        <v>26</v>
      </c>
      <c r="M428" s="14">
        <f t="shared" si="52"/>
        <v>5.28</v>
      </c>
      <c r="N428" s="14">
        <f t="shared" si="49"/>
        <v>1.32</v>
      </c>
      <c r="O428" s="11" t="s">
        <v>597</v>
      </c>
      <c r="P428" s="11" t="s">
        <v>597</v>
      </c>
      <c r="Q428" s="11"/>
      <c r="R428" s="11">
        <v>1</v>
      </c>
      <c r="S428" s="11" t="s">
        <v>597</v>
      </c>
      <c r="T428" s="16" t="s">
        <v>31</v>
      </c>
    </row>
    <row r="429" spans="1:20" x14ac:dyDescent="0.3">
      <c r="A429" s="10">
        <v>45960</v>
      </c>
      <c r="B429" s="11">
        <v>132857</v>
      </c>
      <c r="C429" s="11" t="s">
        <v>31</v>
      </c>
      <c r="D429" s="11" t="s">
        <v>75</v>
      </c>
      <c r="E429" s="11" t="s">
        <v>35</v>
      </c>
      <c r="F429" s="11" t="s">
        <v>35</v>
      </c>
      <c r="G429" s="12">
        <v>2</v>
      </c>
      <c r="H429" s="13">
        <v>176</v>
      </c>
      <c r="I429" s="14">
        <f t="shared" si="54"/>
        <v>352</v>
      </c>
      <c r="J429" s="15">
        <v>0.01</v>
      </c>
      <c r="K429" s="15">
        <f t="shared" si="53"/>
        <v>2.5000000000000001E-3</v>
      </c>
      <c r="L429" s="14" t="s">
        <v>26</v>
      </c>
      <c r="M429" s="14">
        <f t="shared" si="52"/>
        <v>3.52</v>
      </c>
      <c r="N429" s="14">
        <f t="shared" si="49"/>
        <v>0.88</v>
      </c>
      <c r="O429" s="11" t="s">
        <v>597</v>
      </c>
      <c r="P429" s="11" t="s">
        <v>597</v>
      </c>
      <c r="Q429" s="11"/>
      <c r="R429" s="11">
        <v>1</v>
      </c>
      <c r="S429" s="11" t="s">
        <v>597</v>
      </c>
      <c r="T429" s="16" t="s">
        <v>31</v>
      </c>
    </row>
    <row r="430" spans="1:20" x14ac:dyDescent="0.3">
      <c r="A430" s="10">
        <v>45944</v>
      </c>
      <c r="B430" s="11">
        <v>131729</v>
      </c>
      <c r="C430" s="11" t="s">
        <v>31</v>
      </c>
      <c r="D430" s="11" t="s">
        <v>688</v>
      </c>
      <c r="E430" s="11" t="s">
        <v>35</v>
      </c>
      <c r="F430" s="11" t="s">
        <v>35</v>
      </c>
      <c r="G430" s="12">
        <v>40</v>
      </c>
      <c r="H430" s="13">
        <v>176</v>
      </c>
      <c r="I430" s="14">
        <f t="shared" si="54"/>
        <v>7040</v>
      </c>
      <c r="J430" s="15">
        <v>0.01</v>
      </c>
      <c r="K430" s="15">
        <f t="shared" si="53"/>
        <v>2.5000000000000001E-3</v>
      </c>
      <c r="L430" s="14" t="s">
        <v>26</v>
      </c>
      <c r="M430" s="14">
        <f t="shared" ref="M430:M461" si="55">(J430*I430)</f>
        <v>70.400000000000006</v>
      </c>
      <c r="N430" s="14">
        <f t="shared" si="49"/>
        <v>17.600000000000001</v>
      </c>
      <c r="O430" s="11" t="s">
        <v>597</v>
      </c>
      <c r="P430" s="11" t="s">
        <v>597</v>
      </c>
      <c r="Q430" s="11"/>
      <c r="R430" s="11">
        <v>3</v>
      </c>
      <c r="S430" s="11" t="s">
        <v>597</v>
      </c>
      <c r="T430" s="16" t="s">
        <v>31</v>
      </c>
    </row>
    <row r="431" spans="1:20" x14ac:dyDescent="0.3">
      <c r="A431" s="10">
        <v>45944</v>
      </c>
      <c r="B431" s="11">
        <v>131933</v>
      </c>
      <c r="C431" s="11" t="s">
        <v>31</v>
      </c>
      <c r="D431" s="11" t="s">
        <v>631</v>
      </c>
      <c r="E431" s="11" t="s">
        <v>35</v>
      </c>
      <c r="F431" s="11" t="s">
        <v>35</v>
      </c>
      <c r="G431" s="12">
        <v>52</v>
      </c>
      <c r="H431" s="13">
        <v>176</v>
      </c>
      <c r="I431" s="14">
        <f t="shared" si="54"/>
        <v>9152</v>
      </c>
      <c r="J431" s="15">
        <v>0.01</v>
      </c>
      <c r="K431" s="15">
        <f t="shared" si="53"/>
        <v>2.5000000000000001E-3</v>
      </c>
      <c r="L431" s="14" t="s">
        <v>26</v>
      </c>
      <c r="M431" s="14">
        <f t="shared" si="55"/>
        <v>91.52</v>
      </c>
      <c r="N431" s="14">
        <f t="shared" si="49"/>
        <v>22.88</v>
      </c>
      <c r="O431" s="11" t="s">
        <v>597</v>
      </c>
      <c r="P431" s="11" t="s">
        <v>597</v>
      </c>
      <c r="Q431" s="11"/>
      <c r="R431" s="11">
        <v>3</v>
      </c>
      <c r="S431" s="11" t="s">
        <v>597</v>
      </c>
      <c r="T431" s="16" t="s">
        <v>31</v>
      </c>
    </row>
    <row r="432" spans="1:20" x14ac:dyDescent="0.3">
      <c r="A432" s="10">
        <v>45952</v>
      </c>
      <c r="B432" s="11">
        <v>132623</v>
      </c>
      <c r="C432" s="11" t="s">
        <v>44</v>
      </c>
      <c r="D432" s="11" t="s">
        <v>681</v>
      </c>
      <c r="E432" s="11" t="s">
        <v>40</v>
      </c>
      <c r="F432" s="11" t="s">
        <v>41</v>
      </c>
      <c r="G432" s="12">
        <v>1</v>
      </c>
      <c r="H432" s="13">
        <v>1472.9</v>
      </c>
      <c r="I432" s="14">
        <f t="shared" si="54"/>
        <v>1472.9</v>
      </c>
      <c r="J432" s="15">
        <v>1.38E-2</v>
      </c>
      <c r="K432" s="15">
        <f t="shared" si="53"/>
        <v>3.4499999999999999E-3</v>
      </c>
      <c r="L432" s="14" t="s">
        <v>26</v>
      </c>
      <c r="M432" s="14">
        <f t="shared" si="55"/>
        <v>20.32602</v>
      </c>
      <c r="N432" s="14">
        <f t="shared" si="49"/>
        <v>5.0815049999999999</v>
      </c>
      <c r="O432" s="11" t="s">
        <v>597</v>
      </c>
      <c r="P432" s="11" t="s">
        <v>597</v>
      </c>
      <c r="Q432" s="11"/>
      <c r="R432" s="11">
        <v>12</v>
      </c>
      <c r="S432" s="11" t="s">
        <v>597</v>
      </c>
      <c r="T432" s="16" t="s">
        <v>44</v>
      </c>
    </row>
    <row r="433" spans="1:20" x14ac:dyDescent="0.3">
      <c r="A433" s="10">
        <v>45952</v>
      </c>
      <c r="B433" s="11">
        <v>132623</v>
      </c>
      <c r="C433" s="11" t="s">
        <v>44</v>
      </c>
      <c r="D433" s="11" t="s">
        <v>681</v>
      </c>
      <c r="E433" s="11" t="s">
        <v>24</v>
      </c>
      <c r="F433" s="11" t="s">
        <v>554</v>
      </c>
      <c r="G433" s="12">
        <v>159</v>
      </c>
      <c r="H433" s="13">
        <v>150</v>
      </c>
      <c r="I433" s="14">
        <f t="shared" si="54"/>
        <v>23850</v>
      </c>
      <c r="J433" s="15">
        <v>1.38E-2</v>
      </c>
      <c r="K433" s="15">
        <f t="shared" si="53"/>
        <v>3.4499999999999999E-3</v>
      </c>
      <c r="L433" s="14" t="s">
        <v>26</v>
      </c>
      <c r="M433" s="14">
        <f t="shared" si="55"/>
        <v>329.13</v>
      </c>
      <c r="N433" s="14">
        <f t="shared" si="49"/>
        <v>82.282499999999999</v>
      </c>
      <c r="O433" s="11" t="s">
        <v>597</v>
      </c>
      <c r="P433" s="11" t="s">
        <v>597</v>
      </c>
      <c r="Q433" s="11"/>
      <c r="R433" s="11">
        <v>12</v>
      </c>
      <c r="S433" s="11" t="s">
        <v>597</v>
      </c>
      <c r="T433" s="16" t="s">
        <v>44</v>
      </c>
    </row>
    <row r="434" spans="1:20" x14ac:dyDescent="0.3">
      <c r="A434" s="10">
        <v>45952</v>
      </c>
      <c r="B434" s="11">
        <v>129205</v>
      </c>
      <c r="C434" s="11" t="s">
        <v>31</v>
      </c>
      <c r="D434" s="11" t="s">
        <v>681</v>
      </c>
      <c r="E434" s="11" t="s">
        <v>35</v>
      </c>
      <c r="F434" s="11" t="s">
        <v>35</v>
      </c>
      <c r="G434" s="12">
        <v>100</v>
      </c>
      <c r="H434" s="13">
        <v>176</v>
      </c>
      <c r="I434" s="14">
        <f t="shared" si="54"/>
        <v>17600</v>
      </c>
      <c r="J434" s="15">
        <v>0.01</v>
      </c>
      <c r="K434" s="15">
        <f t="shared" si="53"/>
        <v>2.5000000000000001E-3</v>
      </c>
      <c r="L434" s="14" t="s">
        <v>26</v>
      </c>
      <c r="M434" s="14">
        <f t="shared" si="55"/>
        <v>176</v>
      </c>
      <c r="N434" s="14">
        <f t="shared" si="49"/>
        <v>44</v>
      </c>
      <c r="O434" s="11" t="s">
        <v>597</v>
      </c>
      <c r="P434" s="11" t="s">
        <v>597</v>
      </c>
      <c r="Q434" s="11"/>
      <c r="R434" s="11">
        <v>12</v>
      </c>
      <c r="S434" s="11" t="s">
        <v>597</v>
      </c>
      <c r="T434" s="16" t="s">
        <v>31</v>
      </c>
    </row>
    <row r="435" spans="1:20" x14ac:dyDescent="0.3">
      <c r="A435" s="19">
        <v>45946</v>
      </c>
      <c r="B435" s="11">
        <v>116031</v>
      </c>
      <c r="C435" s="11" t="s">
        <v>44</v>
      </c>
      <c r="D435" s="11" t="s">
        <v>105</v>
      </c>
      <c r="E435" s="11" t="s">
        <v>24</v>
      </c>
      <c r="F435" s="11" t="s">
        <v>554</v>
      </c>
      <c r="G435" s="12">
        <v>85</v>
      </c>
      <c r="H435" s="13">
        <v>162.44999999999999</v>
      </c>
      <c r="I435" s="14">
        <f t="shared" si="54"/>
        <v>13808.249999999998</v>
      </c>
      <c r="J435" s="15">
        <v>0.05</v>
      </c>
      <c r="K435" s="15">
        <f t="shared" si="53"/>
        <v>1.2500000000000001E-2</v>
      </c>
      <c r="L435" s="14" t="s">
        <v>26</v>
      </c>
      <c r="M435" s="14">
        <f t="shared" si="55"/>
        <v>690.41249999999991</v>
      </c>
      <c r="N435" s="14">
        <f t="shared" si="49"/>
        <v>172.60312499999998</v>
      </c>
      <c r="O435" s="11" t="s">
        <v>597</v>
      </c>
      <c r="P435" s="11" t="s">
        <v>597</v>
      </c>
      <c r="Q435" s="11"/>
      <c r="R435" s="11">
        <v>8</v>
      </c>
      <c r="S435" s="11" t="s">
        <v>597</v>
      </c>
      <c r="T435" s="16" t="s">
        <v>44</v>
      </c>
    </row>
    <row r="436" spans="1:20" x14ac:dyDescent="0.3">
      <c r="A436" s="10">
        <v>45968</v>
      </c>
      <c r="B436" s="11">
        <v>118061</v>
      </c>
      <c r="C436" s="11" t="s">
        <v>44</v>
      </c>
      <c r="D436" s="11" t="s">
        <v>140</v>
      </c>
      <c r="E436" s="11" t="s">
        <v>40</v>
      </c>
      <c r="F436" s="11" t="s">
        <v>41</v>
      </c>
      <c r="G436" s="12">
        <v>1</v>
      </c>
      <c r="H436" s="13">
        <v>3307.14</v>
      </c>
      <c r="I436" s="14">
        <f t="shared" si="54"/>
        <v>3307.14</v>
      </c>
      <c r="J436" s="15">
        <v>7.0000000000000007E-2</v>
      </c>
      <c r="K436" s="15">
        <f t="shared" si="53"/>
        <v>1.7500000000000002E-2</v>
      </c>
      <c r="L436" s="14" t="s">
        <v>26</v>
      </c>
      <c r="M436" s="14">
        <f t="shared" si="55"/>
        <v>231.49980000000002</v>
      </c>
      <c r="N436" s="14">
        <f t="shared" si="49"/>
        <v>57.874950000000005</v>
      </c>
      <c r="O436" s="11" t="s">
        <v>27</v>
      </c>
      <c r="P436" s="11" t="s">
        <v>27</v>
      </c>
      <c r="Q436" s="11"/>
      <c r="R436" s="11">
        <v>6</v>
      </c>
      <c r="S436" s="11" t="s">
        <v>28</v>
      </c>
      <c r="T436" s="16" t="s">
        <v>44</v>
      </c>
    </row>
    <row r="437" spans="1:20" x14ac:dyDescent="0.3">
      <c r="A437" s="10">
        <v>45965</v>
      </c>
      <c r="B437" s="11">
        <v>133158</v>
      </c>
      <c r="C437" s="11" t="s">
        <v>31</v>
      </c>
      <c r="D437" s="11" t="s">
        <v>80</v>
      </c>
      <c r="E437" s="11" t="s">
        <v>24</v>
      </c>
      <c r="F437" s="11" t="s">
        <v>554</v>
      </c>
      <c r="G437" s="12">
        <v>16</v>
      </c>
      <c r="H437" s="13">
        <v>180</v>
      </c>
      <c r="I437" s="14">
        <f t="shared" si="54"/>
        <v>2880</v>
      </c>
      <c r="J437" s="15">
        <v>7.0000000000000007E-2</v>
      </c>
      <c r="K437" s="15">
        <f t="shared" si="53"/>
        <v>1.7500000000000002E-2</v>
      </c>
      <c r="L437" s="14" t="s">
        <v>26</v>
      </c>
      <c r="M437" s="14">
        <f t="shared" si="55"/>
        <v>201.60000000000002</v>
      </c>
      <c r="N437" s="14">
        <f t="shared" si="49"/>
        <v>50.400000000000006</v>
      </c>
      <c r="O437" s="11" t="s">
        <v>597</v>
      </c>
      <c r="P437" s="11" t="s">
        <v>597</v>
      </c>
      <c r="Q437" s="11"/>
      <c r="R437" s="11">
        <v>1</v>
      </c>
      <c r="S437" s="11" t="s">
        <v>597</v>
      </c>
      <c r="T437" s="16" t="s">
        <v>31</v>
      </c>
    </row>
    <row r="438" spans="1:20" x14ac:dyDescent="0.3">
      <c r="A438" s="10">
        <v>45966</v>
      </c>
      <c r="B438" s="11">
        <v>133293</v>
      </c>
      <c r="C438" s="11" t="s">
        <v>31</v>
      </c>
      <c r="D438" s="11" t="s">
        <v>635</v>
      </c>
      <c r="E438" s="11" t="s">
        <v>24</v>
      </c>
      <c r="F438" s="11" t="s">
        <v>554</v>
      </c>
      <c r="G438" s="12">
        <v>2</v>
      </c>
      <c r="H438" s="13">
        <v>189</v>
      </c>
      <c r="I438" s="14">
        <f t="shared" si="54"/>
        <v>378</v>
      </c>
      <c r="J438" s="15">
        <v>7.0000000000000007E-2</v>
      </c>
      <c r="K438" s="15">
        <f t="shared" si="53"/>
        <v>1.7500000000000002E-2</v>
      </c>
      <c r="L438" s="14" t="s">
        <v>26</v>
      </c>
      <c r="M438" s="14">
        <f t="shared" si="55"/>
        <v>26.46</v>
      </c>
      <c r="N438" s="14">
        <f t="shared" ref="N438:N472" si="56">I438*K438</f>
        <v>6.6150000000000002</v>
      </c>
      <c r="O438" s="11" t="s">
        <v>597</v>
      </c>
      <c r="P438" s="11" t="s">
        <v>597</v>
      </c>
      <c r="Q438" s="11"/>
      <c r="R438" s="11">
        <v>1</v>
      </c>
      <c r="S438" s="11" t="s">
        <v>597</v>
      </c>
      <c r="T438" s="16" t="s">
        <v>31</v>
      </c>
    </row>
    <row r="439" spans="1:20" x14ac:dyDescent="0.3">
      <c r="A439" s="10">
        <v>45974</v>
      </c>
      <c r="B439" s="11">
        <v>123445</v>
      </c>
      <c r="C439" s="11" t="s">
        <v>44</v>
      </c>
      <c r="D439" s="11" t="s">
        <v>648</v>
      </c>
      <c r="E439" s="11" t="s">
        <v>653</v>
      </c>
      <c r="F439" s="11" t="s">
        <v>30</v>
      </c>
      <c r="G439" s="12">
        <v>1</v>
      </c>
      <c r="H439" s="13">
        <v>356.4</v>
      </c>
      <c r="I439" s="14">
        <f t="shared" si="54"/>
        <v>356.4</v>
      </c>
      <c r="J439" s="15">
        <v>1</v>
      </c>
      <c r="K439" s="15">
        <f t="shared" si="53"/>
        <v>0.25</v>
      </c>
      <c r="L439" s="14" t="s">
        <v>26</v>
      </c>
      <c r="M439" s="14">
        <f t="shared" si="55"/>
        <v>356.4</v>
      </c>
      <c r="N439" s="14">
        <f t="shared" si="56"/>
        <v>89.1</v>
      </c>
      <c r="O439" s="11" t="s">
        <v>27</v>
      </c>
      <c r="P439" s="11" t="s">
        <v>27</v>
      </c>
      <c r="Q439" s="11"/>
      <c r="R439" s="11">
        <v>1</v>
      </c>
      <c r="S439" s="11" t="s">
        <v>28</v>
      </c>
      <c r="T439" s="16" t="s">
        <v>44</v>
      </c>
    </row>
    <row r="440" spans="1:20" x14ac:dyDescent="0.3">
      <c r="A440" s="10">
        <v>45975</v>
      </c>
      <c r="B440" s="11">
        <v>125596</v>
      </c>
      <c r="C440" s="11" t="s">
        <v>22</v>
      </c>
      <c r="D440" s="11" t="s">
        <v>67</v>
      </c>
      <c r="E440" s="11" t="s">
        <v>40</v>
      </c>
      <c r="F440" s="11" t="s">
        <v>41</v>
      </c>
      <c r="G440" s="12">
        <v>1</v>
      </c>
      <c r="H440" s="13">
        <v>2010.12</v>
      </c>
      <c r="I440" s="14">
        <f t="shared" si="54"/>
        <v>2010.12</v>
      </c>
      <c r="J440" s="15">
        <v>7.0000000000000007E-2</v>
      </c>
      <c r="K440" s="15">
        <v>0</v>
      </c>
      <c r="L440" s="14" t="s">
        <v>26</v>
      </c>
      <c r="M440" s="14">
        <f t="shared" si="55"/>
        <v>140.70840000000001</v>
      </c>
      <c r="N440" s="14">
        <f t="shared" si="56"/>
        <v>0</v>
      </c>
      <c r="O440" s="11" t="s">
        <v>27</v>
      </c>
      <c r="P440" s="11" t="s">
        <v>27</v>
      </c>
      <c r="Q440" s="11"/>
      <c r="R440" s="11">
        <v>6</v>
      </c>
      <c r="S440" s="11" t="s">
        <v>28</v>
      </c>
      <c r="T440" s="16" t="s">
        <v>22</v>
      </c>
    </row>
    <row r="441" spans="1:20" x14ac:dyDescent="0.3">
      <c r="A441" s="10">
        <v>45975</v>
      </c>
      <c r="B441" s="11">
        <v>133844</v>
      </c>
      <c r="C441" s="11" t="s">
        <v>22</v>
      </c>
      <c r="D441" s="11" t="s">
        <v>689</v>
      </c>
      <c r="E441" s="11" t="s">
        <v>40</v>
      </c>
      <c r="F441" s="11" t="s">
        <v>41</v>
      </c>
      <c r="G441" s="12">
        <v>1</v>
      </c>
      <c r="H441" s="13">
        <v>1202.8800000000001</v>
      </c>
      <c r="I441" s="14">
        <f t="shared" si="54"/>
        <v>1202.8800000000001</v>
      </c>
      <c r="J441" s="15">
        <v>7.0000000000000007E-2</v>
      </c>
      <c r="K441" s="15">
        <v>0</v>
      </c>
      <c r="L441" s="14" t="s">
        <v>26</v>
      </c>
      <c r="M441" s="14">
        <f t="shared" si="55"/>
        <v>84.201600000000013</v>
      </c>
      <c r="N441" s="14">
        <f t="shared" si="56"/>
        <v>0</v>
      </c>
      <c r="O441" s="11" t="s">
        <v>27</v>
      </c>
      <c r="P441" s="11" t="s">
        <v>27</v>
      </c>
      <c r="Q441" s="11"/>
      <c r="R441" s="11">
        <v>4</v>
      </c>
      <c r="S441" s="11" t="s">
        <v>28</v>
      </c>
      <c r="T441" s="16" t="s">
        <v>22</v>
      </c>
    </row>
    <row r="442" spans="1:20" x14ac:dyDescent="0.3">
      <c r="A442" s="10">
        <v>45975</v>
      </c>
      <c r="B442" s="11">
        <v>133844</v>
      </c>
      <c r="C442" s="11" t="s">
        <v>22</v>
      </c>
      <c r="D442" s="11" t="s">
        <v>689</v>
      </c>
      <c r="E442" s="11" t="s">
        <v>40</v>
      </c>
      <c r="F442" s="11" t="s">
        <v>554</v>
      </c>
      <c r="G442" s="12">
        <v>16</v>
      </c>
      <c r="H442" s="13">
        <v>190</v>
      </c>
      <c r="I442" s="14">
        <f t="shared" si="54"/>
        <v>3040</v>
      </c>
      <c r="J442" s="15">
        <v>7.0000000000000007E-2</v>
      </c>
      <c r="K442" s="15">
        <v>0</v>
      </c>
      <c r="L442" s="14" t="s">
        <v>26</v>
      </c>
      <c r="M442" s="14">
        <f t="shared" si="55"/>
        <v>212.8</v>
      </c>
      <c r="N442" s="14">
        <f t="shared" si="56"/>
        <v>0</v>
      </c>
      <c r="O442" s="11" t="s">
        <v>27</v>
      </c>
      <c r="P442" s="11" t="s">
        <v>27</v>
      </c>
      <c r="Q442" s="11"/>
      <c r="R442" s="11">
        <v>4</v>
      </c>
      <c r="S442" s="11" t="s">
        <v>28</v>
      </c>
      <c r="T442" s="16" t="s">
        <v>22</v>
      </c>
    </row>
    <row r="443" spans="1:20" x14ac:dyDescent="0.3">
      <c r="A443" s="10">
        <v>45975</v>
      </c>
      <c r="B443" s="11">
        <v>133849</v>
      </c>
      <c r="C443" s="11" t="s">
        <v>31</v>
      </c>
      <c r="D443" s="11" t="s">
        <v>649</v>
      </c>
      <c r="E443" s="11" t="s">
        <v>54</v>
      </c>
      <c r="F443" s="11" t="s">
        <v>30</v>
      </c>
      <c r="G443" s="12">
        <v>2</v>
      </c>
      <c r="H443" s="13">
        <v>142.56</v>
      </c>
      <c r="I443" s="14">
        <f t="shared" si="54"/>
        <v>285.12</v>
      </c>
      <c r="J443" s="15">
        <v>1</v>
      </c>
      <c r="K443" s="15">
        <f t="shared" ref="K443:K461" si="57">J443*0.25</f>
        <v>0.25</v>
      </c>
      <c r="L443" s="14" t="s">
        <v>26</v>
      </c>
      <c r="M443" s="14">
        <f t="shared" si="55"/>
        <v>285.12</v>
      </c>
      <c r="N443" s="14">
        <f t="shared" si="56"/>
        <v>71.28</v>
      </c>
      <c r="O443" s="11" t="s">
        <v>27</v>
      </c>
      <c r="P443" s="11" t="s">
        <v>27</v>
      </c>
      <c r="Q443" s="11"/>
      <c r="R443" s="11">
        <v>1</v>
      </c>
      <c r="S443" s="11" t="s">
        <v>28</v>
      </c>
      <c r="T443" s="16" t="s">
        <v>31</v>
      </c>
    </row>
    <row r="444" spans="1:20" x14ac:dyDescent="0.3">
      <c r="A444" s="10">
        <v>45985</v>
      </c>
      <c r="B444" s="11">
        <v>134074</v>
      </c>
      <c r="C444" s="11" t="s">
        <v>31</v>
      </c>
      <c r="D444" s="11" t="s">
        <v>93</v>
      </c>
      <c r="E444" s="11" t="s">
        <v>40</v>
      </c>
      <c r="F444" s="11" t="s">
        <v>41</v>
      </c>
      <c r="G444" s="12">
        <v>1</v>
      </c>
      <c r="H444" s="13">
        <v>8388.2199999999993</v>
      </c>
      <c r="I444" s="14">
        <f t="shared" si="54"/>
        <v>8388.2199999999993</v>
      </c>
      <c r="J444" s="15">
        <v>7.0000000000000007E-2</v>
      </c>
      <c r="K444" s="15">
        <f t="shared" si="57"/>
        <v>1.7500000000000002E-2</v>
      </c>
      <c r="L444" s="14" t="s">
        <v>26</v>
      </c>
      <c r="M444" s="14">
        <f t="shared" si="55"/>
        <v>587.17539999999997</v>
      </c>
      <c r="N444" s="14">
        <f t="shared" si="56"/>
        <v>146.79384999999999</v>
      </c>
      <c r="O444" s="11" t="s">
        <v>27</v>
      </c>
      <c r="P444" s="11" t="s">
        <v>27</v>
      </c>
      <c r="Q444" s="11"/>
      <c r="R444" s="11">
        <v>10</v>
      </c>
      <c r="S444" s="11" t="s">
        <v>28</v>
      </c>
      <c r="T444" s="16" t="s">
        <v>31</v>
      </c>
    </row>
    <row r="445" spans="1:20" x14ac:dyDescent="0.3">
      <c r="A445" s="10">
        <v>45985</v>
      </c>
      <c r="B445" s="11">
        <v>133330</v>
      </c>
      <c r="C445" s="11" t="s">
        <v>31</v>
      </c>
      <c r="D445" s="11" t="s">
        <v>57</v>
      </c>
      <c r="E445" s="11" t="s">
        <v>35</v>
      </c>
      <c r="F445" s="11" t="s">
        <v>35</v>
      </c>
      <c r="G445" s="12">
        <v>18</v>
      </c>
      <c r="H445" s="13">
        <v>176</v>
      </c>
      <c r="I445" s="14">
        <f t="shared" si="54"/>
        <v>3168</v>
      </c>
      <c r="J445" s="15">
        <v>0.01</v>
      </c>
      <c r="K445" s="15">
        <f t="shared" si="57"/>
        <v>2.5000000000000001E-3</v>
      </c>
      <c r="L445" s="14" t="s">
        <v>26</v>
      </c>
      <c r="M445" s="14">
        <f t="shared" si="55"/>
        <v>31.68</v>
      </c>
      <c r="N445" s="14">
        <f t="shared" si="56"/>
        <v>7.92</v>
      </c>
      <c r="O445" s="11" t="s">
        <v>597</v>
      </c>
      <c r="P445" s="11" t="s">
        <v>597</v>
      </c>
      <c r="Q445" s="11"/>
      <c r="R445" s="11">
        <v>3</v>
      </c>
      <c r="S445" s="11" t="s">
        <v>597</v>
      </c>
      <c r="T445" s="16" t="s">
        <v>31</v>
      </c>
    </row>
    <row r="446" spans="1:20" x14ac:dyDescent="0.3">
      <c r="A446" s="10">
        <v>45985</v>
      </c>
      <c r="B446" s="11">
        <v>131368</v>
      </c>
      <c r="C446" s="11" t="s">
        <v>31</v>
      </c>
      <c r="D446" s="11" t="s">
        <v>690</v>
      </c>
      <c r="E446" s="11" t="s">
        <v>35</v>
      </c>
      <c r="F446" s="11" t="s">
        <v>35</v>
      </c>
      <c r="G446" s="12">
        <v>44</v>
      </c>
      <c r="H446" s="13">
        <v>140.80000000000001</v>
      </c>
      <c r="I446" s="14">
        <f t="shared" si="54"/>
        <v>6195.2000000000007</v>
      </c>
      <c r="J446" s="15">
        <v>5.0000000000000001E-3</v>
      </c>
      <c r="K446" s="15">
        <f t="shared" si="57"/>
        <v>1.25E-3</v>
      </c>
      <c r="L446" s="14" t="s">
        <v>26</v>
      </c>
      <c r="M446" s="14">
        <f t="shared" si="55"/>
        <v>30.976000000000003</v>
      </c>
      <c r="N446" s="14">
        <f t="shared" si="56"/>
        <v>7.7440000000000007</v>
      </c>
      <c r="O446" s="11" t="s">
        <v>597</v>
      </c>
      <c r="P446" s="11" t="s">
        <v>597</v>
      </c>
      <c r="Q446" s="11"/>
      <c r="R446" s="11">
        <v>3</v>
      </c>
      <c r="S446" s="11" t="s">
        <v>597</v>
      </c>
      <c r="T446" s="16" t="s">
        <v>31</v>
      </c>
    </row>
    <row r="447" spans="1:20" x14ac:dyDescent="0.3">
      <c r="A447" s="10">
        <v>45985</v>
      </c>
      <c r="B447" s="11">
        <v>129535</v>
      </c>
      <c r="C447" s="11" t="s">
        <v>31</v>
      </c>
      <c r="D447" s="11" t="s">
        <v>108</v>
      </c>
      <c r="E447" s="11" t="s">
        <v>35</v>
      </c>
      <c r="F447" s="11" t="s">
        <v>35</v>
      </c>
      <c r="G447" s="12">
        <v>36</v>
      </c>
      <c r="H447" s="13">
        <v>158.4</v>
      </c>
      <c r="I447" s="14">
        <f t="shared" si="54"/>
        <v>5702.4000000000005</v>
      </c>
      <c r="J447" s="15">
        <v>7.0000000000000001E-3</v>
      </c>
      <c r="K447" s="15">
        <f t="shared" si="57"/>
        <v>1.75E-3</v>
      </c>
      <c r="L447" s="14" t="s">
        <v>26</v>
      </c>
      <c r="M447" s="14">
        <f t="shared" si="55"/>
        <v>39.916800000000002</v>
      </c>
      <c r="N447" s="14">
        <f t="shared" si="56"/>
        <v>9.9792000000000005</v>
      </c>
      <c r="O447" s="11" t="s">
        <v>597</v>
      </c>
      <c r="P447" s="11" t="s">
        <v>597</v>
      </c>
      <c r="Q447" s="11"/>
      <c r="R447" s="11">
        <v>1</v>
      </c>
      <c r="S447" s="11" t="s">
        <v>597</v>
      </c>
      <c r="T447" s="16" t="s">
        <v>31</v>
      </c>
    </row>
    <row r="448" spans="1:20" x14ac:dyDescent="0.3">
      <c r="A448" s="10">
        <v>45985</v>
      </c>
      <c r="B448" s="11">
        <v>130968</v>
      </c>
      <c r="C448" s="11" t="s">
        <v>31</v>
      </c>
      <c r="D448" s="11" t="s">
        <v>604</v>
      </c>
      <c r="E448" s="11" t="s">
        <v>35</v>
      </c>
      <c r="F448" s="11" t="s">
        <v>35</v>
      </c>
      <c r="G448" s="12">
        <v>20</v>
      </c>
      <c r="H448" s="13">
        <v>176</v>
      </c>
      <c r="I448" s="14">
        <f t="shared" si="54"/>
        <v>3520</v>
      </c>
      <c r="J448" s="15">
        <v>0.01</v>
      </c>
      <c r="K448" s="15">
        <f t="shared" si="57"/>
        <v>2.5000000000000001E-3</v>
      </c>
      <c r="L448" s="14" t="s">
        <v>26</v>
      </c>
      <c r="M448" s="14">
        <f t="shared" si="55"/>
        <v>35.200000000000003</v>
      </c>
      <c r="N448" s="14">
        <f t="shared" si="56"/>
        <v>8.8000000000000007</v>
      </c>
      <c r="O448" s="11" t="s">
        <v>597</v>
      </c>
      <c r="P448" s="11" t="s">
        <v>597</v>
      </c>
      <c r="Q448" s="11"/>
      <c r="R448" s="11">
        <v>3</v>
      </c>
      <c r="S448" s="11" t="s">
        <v>597</v>
      </c>
      <c r="T448" s="16" t="s">
        <v>31</v>
      </c>
    </row>
    <row r="449" spans="1:20" x14ac:dyDescent="0.3">
      <c r="A449" s="10">
        <v>45985</v>
      </c>
      <c r="B449" s="11">
        <v>125265</v>
      </c>
      <c r="C449" s="11" t="s">
        <v>31</v>
      </c>
      <c r="D449" s="11" t="s">
        <v>659</v>
      </c>
      <c r="E449" s="11" t="s">
        <v>35</v>
      </c>
      <c r="F449" s="11" t="s">
        <v>35</v>
      </c>
      <c r="G449" s="12">
        <v>3</v>
      </c>
      <c r="H449" s="13">
        <v>176</v>
      </c>
      <c r="I449" s="14">
        <f t="shared" si="54"/>
        <v>528</v>
      </c>
      <c r="J449" s="15">
        <v>0.01</v>
      </c>
      <c r="K449" s="15">
        <f t="shared" si="57"/>
        <v>2.5000000000000001E-3</v>
      </c>
      <c r="L449" s="14" t="s">
        <v>26</v>
      </c>
      <c r="M449" s="14">
        <f t="shared" si="55"/>
        <v>5.28</v>
      </c>
      <c r="N449" s="14">
        <f t="shared" si="56"/>
        <v>1.32</v>
      </c>
      <c r="O449" s="11" t="s">
        <v>597</v>
      </c>
      <c r="P449" s="11" t="s">
        <v>597</v>
      </c>
      <c r="Q449" s="11"/>
      <c r="R449" s="11">
        <v>3</v>
      </c>
      <c r="S449" s="11" t="s">
        <v>597</v>
      </c>
      <c r="T449" s="16" t="s">
        <v>31</v>
      </c>
    </row>
    <row r="450" spans="1:20" x14ac:dyDescent="0.3">
      <c r="A450" s="10">
        <v>45985</v>
      </c>
      <c r="B450" s="11">
        <v>126986</v>
      </c>
      <c r="C450" s="11" t="s">
        <v>31</v>
      </c>
      <c r="D450" s="11" t="s">
        <v>647</v>
      </c>
      <c r="E450" s="11" t="s">
        <v>35</v>
      </c>
      <c r="F450" s="11" t="s">
        <v>35</v>
      </c>
      <c r="G450" s="12">
        <v>1</v>
      </c>
      <c r="H450" s="13">
        <v>176</v>
      </c>
      <c r="I450" s="14">
        <f t="shared" si="54"/>
        <v>176</v>
      </c>
      <c r="J450" s="15">
        <v>0.01</v>
      </c>
      <c r="K450" s="15">
        <f t="shared" si="57"/>
        <v>2.5000000000000001E-3</v>
      </c>
      <c r="L450" s="14" t="s">
        <v>26</v>
      </c>
      <c r="M450" s="14">
        <f t="shared" si="55"/>
        <v>1.76</v>
      </c>
      <c r="N450" s="14">
        <f t="shared" si="56"/>
        <v>0.44</v>
      </c>
      <c r="O450" s="11" t="s">
        <v>597</v>
      </c>
      <c r="P450" s="11" t="s">
        <v>597</v>
      </c>
      <c r="Q450" s="11"/>
      <c r="R450" s="11">
        <v>1</v>
      </c>
      <c r="S450" s="11" t="s">
        <v>597</v>
      </c>
      <c r="T450" s="16" t="s">
        <v>31</v>
      </c>
    </row>
    <row r="451" spans="1:20" x14ac:dyDescent="0.3">
      <c r="A451" s="10">
        <v>45985</v>
      </c>
      <c r="B451" s="11">
        <v>133489</v>
      </c>
      <c r="C451" s="11" t="s">
        <v>31</v>
      </c>
      <c r="D451" s="11" t="s">
        <v>614</v>
      </c>
      <c r="E451" s="11" t="s">
        <v>35</v>
      </c>
      <c r="F451" s="11" t="s">
        <v>35</v>
      </c>
      <c r="G451" s="12">
        <v>5</v>
      </c>
      <c r="H451" s="13">
        <v>176</v>
      </c>
      <c r="I451" s="14">
        <f t="shared" si="54"/>
        <v>880</v>
      </c>
      <c r="J451" s="15">
        <v>0.01</v>
      </c>
      <c r="K451" s="15">
        <f t="shared" si="57"/>
        <v>2.5000000000000001E-3</v>
      </c>
      <c r="L451" s="14" t="s">
        <v>26</v>
      </c>
      <c r="M451" s="14">
        <f t="shared" si="55"/>
        <v>8.8000000000000007</v>
      </c>
      <c r="N451" s="14">
        <f t="shared" si="56"/>
        <v>2.2000000000000002</v>
      </c>
      <c r="O451" s="11" t="s">
        <v>597</v>
      </c>
      <c r="P451" s="11" t="s">
        <v>597</v>
      </c>
      <c r="Q451" s="11"/>
      <c r="R451" s="11">
        <v>1</v>
      </c>
      <c r="S451" s="11" t="s">
        <v>597</v>
      </c>
      <c r="T451" s="16" t="s">
        <v>31</v>
      </c>
    </row>
    <row r="452" spans="1:20" x14ac:dyDescent="0.3">
      <c r="A452" s="10">
        <v>45985</v>
      </c>
      <c r="B452" s="11">
        <v>129318</v>
      </c>
      <c r="C452" s="11" t="s">
        <v>31</v>
      </c>
      <c r="D452" s="11" t="s">
        <v>688</v>
      </c>
      <c r="E452" s="11" t="s">
        <v>35</v>
      </c>
      <c r="F452" s="11" t="s">
        <v>35</v>
      </c>
      <c r="G452" s="12">
        <v>32</v>
      </c>
      <c r="H452" s="13">
        <v>176</v>
      </c>
      <c r="I452" s="14">
        <f t="shared" si="54"/>
        <v>5632</v>
      </c>
      <c r="J452" s="15">
        <v>0.01</v>
      </c>
      <c r="K452" s="15">
        <f t="shared" si="57"/>
        <v>2.5000000000000001E-3</v>
      </c>
      <c r="L452" s="14" t="s">
        <v>26</v>
      </c>
      <c r="M452" s="14">
        <f t="shared" si="55"/>
        <v>56.32</v>
      </c>
      <c r="N452" s="14">
        <f t="shared" si="56"/>
        <v>14.08</v>
      </c>
      <c r="O452" s="11" t="s">
        <v>597</v>
      </c>
      <c r="P452" s="11" t="s">
        <v>597</v>
      </c>
      <c r="Q452" s="11"/>
      <c r="R452" s="11">
        <v>1</v>
      </c>
      <c r="S452" s="11" t="s">
        <v>597</v>
      </c>
      <c r="T452" s="16" t="s">
        <v>31</v>
      </c>
    </row>
    <row r="453" spans="1:20" x14ac:dyDescent="0.3">
      <c r="A453" s="10">
        <v>45985</v>
      </c>
      <c r="B453" s="11">
        <v>133447</v>
      </c>
      <c r="C453" s="11" t="s">
        <v>31</v>
      </c>
      <c r="D453" s="11" t="s">
        <v>688</v>
      </c>
      <c r="E453" s="11" t="s">
        <v>35</v>
      </c>
      <c r="F453" s="11" t="s">
        <v>35</v>
      </c>
      <c r="G453" s="12">
        <v>30</v>
      </c>
      <c r="H453" s="13">
        <v>176</v>
      </c>
      <c r="I453" s="14">
        <f t="shared" si="54"/>
        <v>5280</v>
      </c>
      <c r="J453" s="15">
        <v>0.01</v>
      </c>
      <c r="K453" s="15">
        <f t="shared" si="57"/>
        <v>2.5000000000000001E-3</v>
      </c>
      <c r="L453" s="14" t="s">
        <v>26</v>
      </c>
      <c r="M453" s="14">
        <f t="shared" si="55"/>
        <v>52.800000000000004</v>
      </c>
      <c r="N453" s="14">
        <f t="shared" si="56"/>
        <v>13.200000000000001</v>
      </c>
      <c r="O453" s="11" t="s">
        <v>597</v>
      </c>
      <c r="P453" s="11" t="s">
        <v>597</v>
      </c>
      <c r="Q453" s="11"/>
      <c r="R453" s="11">
        <v>3</v>
      </c>
      <c r="S453" s="11" t="s">
        <v>597</v>
      </c>
      <c r="T453" s="16" t="s">
        <v>31</v>
      </c>
    </row>
    <row r="454" spans="1:20" x14ac:dyDescent="0.3">
      <c r="A454" s="10">
        <v>45985</v>
      </c>
      <c r="B454" s="11">
        <v>130516</v>
      </c>
      <c r="C454" s="11" t="s">
        <v>31</v>
      </c>
      <c r="D454" s="11" t="s">
        <v>58</v>
      </c>
      <c r="E454" s="11" t="s">
        <v>35</v>
      </c>
      <c r="F454" s="11" t="s">
        <v>35</v>
      </c>
      <c r="G454" s="12">
        <v>16</v>
      </c>
      <c r="H454" s="13">
        <v>176</v>
      </c>
      <c r="I454" s="14">
        <f t="shared" ref="I454:I472" si="58">G454*H454</f>
        <v>2816</v>
      </c>
      <c r="J454" s="15">
        <v>0.01</v>
      </c>
      <c r="K454" s="15">
        <f t="shared" si="57"/>
        <v>2.5000000000000001E-3</v>
      </c>
      <c r="L454" s="14" t="s">
        <v>26</v>
      </c>
      <c r="M454" s="14">
        <f t="shared" si="55"/>
        <v>28.16</v>
      </c>
      <c r="N454" s="14">
        <f t="shared" si="56"/>
        <v>7.04</v>
      </c>
      <c r="O454" s="11" t="s">
        <v>597</v>
      </c>
      <c r="P454" s="11" t="s">
        <v>597</v>
      </c>
      <c r="Q454" s="11"/>
      <c r="R454" s="11">
        <v>3</v>
      </c>
      <c r="S454" s="11" t="s">
        <v>597</v>
      </c>
      <c r="T454" s="16" t="s">
        <v>31</v>
      </c>
    </row>
    <row r="455" spans="1:20" x14ac:dyDescent="0.3">
      <c r="A455" s="10">
        <v>45985</v>
      </c>
      <c r="B455" s="11">
        <v>132888</v>
      </c>
      <c r="C455" s="11" t="s">
        <v>31</v>
      </c>
      <c r="D455" s="11" t="s">
        <v>58</v>
      </c>
      <c r="E455" s="11" t="s">
        <v>35</v>
      </c>
      <c r="F455" s="11" t="s">
        <v>35</v>
      </c>
      <c r="G455" s="12">
        <v>6</v>
      </c>
      <c r="H455" s="13">
        <v>158.33000000000001</v>
      </c>
      <c r="I455" s="14">
        <f t="shared" si="58"/>
        <v>949.98</v>
      </c>
      <c r="J455" s="15">
        <v>0.01</v>
      </c>
      <c r="K455" s="15">
        <f t="shared" si="57"/>
        <v>2.5000000000000001E-3</v>
      </c>
      <c r="L455" s="14" t="s">
        <v>26</v>
      </c>
      <c r="M455" s="14">
        <f t="shared" si="55"/>
        <v>9.4998000000000005</v>
      </c>
      <c r="N455" s="14">
        <f t="shared" si="56"/>
        <v>2.3749500000000001</v>
      </c>
      <c r="O455" s="11" t="s">
        <v>597</v>
      </c>
      <c r="P455" s="11" t="s">
        <v>597</v>
      </c>
      <c r="Q455" s="11"/>
      <c r="R455" s="11">
        <v>3</v>
      </c>
      <c r="S455" s="11" t="s">
        <v>597</v>
      </c>
      <c r="T455" s="16" t="s">
        <v>31</v>
      </c>
    </row>
    <row r="456" spans="1:20" x14ac:dyDescent="0.3">
      <c r="A456" s="18">
        <v>45988</v>
      </c>
      <c r="B456" s="11" t="s">
        <v>691</v>
      </c>
      <c r="C456" s="11" t="s">
        <v>31</v>
      </c>
      <c r="D456" s="11" t="s">
        <v>79</v>
      </c>
      <c r="E456" s="11" t="s">
        <v>35</v>
      </c>
      <c r="F456" s="11" t="s">
        <v>35</v>
      </c>
      <c r="G456" s="12">
        <v>24</v>
      </c>
      <c r="H456" s="13">
        <v>145.83000000000001</v>
      </c>
      <c r="I456" s="14">
        <f t="shared" si="58"/>
        <v>3499.92</v>
      </c>
      <c r="J456" s="15">
        <v>5.4999999999999997E-3</v>
      </c>
      <c r="K456" s="15">
        <f t="shared" si="57"/>
        <v>1.3749999999999999E-3</v>
      </c>
      <c r="L456" s="14" t="s">
        <v>26</v>
      </c>
      <c r="M456" s="14">
        <f t="shared" si="55"/>
        <v>19.249559999999999</v>
      </c>
      <c r="N456" s="14">
        <f t="shared" si="56"/>
        <v>4.8123899999999997</v>
      </c>
      <c r="O456" s="11" t="s">
        <v>597</v>
      </c>
      <c r="P456" s="11" t="s">
        <v>597</v>
      </c>
      <c r="Q456" s="11"/>
      <c r="R456" s="11">
        <v>1</v>
      </c>
      <c r="S456" s="11" t="s">
        <v>597</v>
      </c>
      <c r="T456" s="16" t="s">
        <v>31</v>
      </c>
    </row>
    <row r="457" spans="1:20" x14ac:dyDescent="0.3">
      <c r="A457" s="10">
        <v>45992</v>
      </c>
      <c r="B457" s="11">
        <v>132905</v>
      </c>
      <c r="C457" s="11" t="s">
        <v>31</v>
      </c>
      <c r="D457" s="11" t="s">
        <v>692</v>
      </c>
      <c r="E457" s="11" t="s">
        <v>47</v>
      </c>
      <c r="F457" s="11" t="s">
        <v>554</v>
      </c>
      <c r="G457" s="12">
        <v>220</v>
      </c>
      <c r="H457" s="13">
        <v>210</v>
      </c>
      <c r="I457" s="14">
        <f t="shared" si="58"/>
        <v>46200</v>
      </c>
      <c r="J457" s="15">
        <v>3.5000000000000003E-2</v>
      </c>
      <c r="K457" s="15">
        <f t="shared" si="57"/>
        <v>8.7500000000000008E-3</v>
      </c>
      <c r="L457" s="14" t="s">
        <v>46</v>
      </c>
      <c r="M457" s="14">
        <f t="shared" si="55"/>
        <v>1617.0000000000002</v>
      </c>
      <c r="N457" s="14">
        <f t="shared" si="56"/>
        <v>404.25000000000006</v>
      </c>
      <c r="O457" s="11" t="s">
        <v>27</v>
      </c>
      <c r="P457" s="11" t="s">
        <v>27</v>
      </c>
      <c r="Q457" s="11"/>
      <c r="R457" s="11">
        <v>3</v>
      </c>
      <c r="S457" s="11" t="s">
        <v>28</v>
      </c>
      <c r="T457" s="16" t="s">
        <v>31</v>
      </c>
    </row>
    <row r="458" spans="1:20" x14ac:dyDescent="0.3">
      <c r="A458" s="10">
        <v>45992</v>
      </c>
      <c r="B458" s="11">
        <v>132905</v>
      </c>
      <c r="C458" s="11" t="s">
        <v>31</v>
      </c>
      <c r="D458" s="11" t="s">
        <v>692</v>
      </c>
      <c r="E458" s="11" t="s">
        <v>40</v>
      </c>
      <c r="F458" s="11" t="s">
        <v>41</v>
      </c>
      <c r="G458" s="12">
        <v>1</v>
      </c>
      <c r="H458" s="13">
        <v>18000</v>
      </c>
      <c r="I458" s="14">
        <f t="shared" si="58"/>
        <v>18000</v>
      </c>
      <c r="J458" s="15">
        <v>3.5000000000000003E-2</v>
      </c>
      <c r="K458" s="15">
        <f t="shared" si="57"/>
        <v>8.7500000000000008E-3</v>
      </c>
      <c r="L458" s="14" t="s">
        <v>46</v>
      </c>
      <c r="M458" s="14">
        <f t="shared" si="55"/>
        <v>630.00000000000011</v>
      </c>
      <c r="N458" s="14">
        <f t="shared" si="56"/>
        <v>157.50000000000003</v>
      </c>
      <c r="O458" s="11" t="s">
        <v>27</v>
      </c>
      <c r="P458" s="11" t="s">
        <v>27</v>
      </c>
      <c r="Q458" s="11"/>
      <c r="R458" s="11">
        <v>3</v>
      </c>
      <c r="S458" s="11" t="s">
        <v>28</v>
      </c>
      <c r="T458" s="16" t="s">
        <v>31</v>
      </c>
    </row>
    <row r="459" spans="1:20" x14ac:dyDescent="0.3">
      <c r="A459" s="10">
        <v>45992</v>
      </c>
      <c r="B459" s="11">
        <v>132905</v>
      </c>
      <c r="C459" s="11" t="s">
        <v>31</v>
      </c>
      <c r="D459" s="11" t="s">
        <v>692</v>
      </c>
      <c r="E459" s="11" t="s">
        <v>47</v>
      </c>
      <c r="F459" s="11" t="s">
        <v>30</v>
      </c>
      <c r="G459" s="12">
        <v>8</v>
      </c>
      <c r="H459" s="13">
        <v>231.8</v>
      </c>
      <c r="I459" s="14">
        <f t="shared" si="58"/>
        <v>1854.4</v>
      </c>
      <c r="J459" s="15">
        <v>0.5</v>
      </c>
      <c r="K459" s="15">
        <f t="shared" si="57"/>
        <v>0.125</v>
      </c>
      <c r="L459" s="14" t="s">
        <v>46</v>
      </c>
      <c r="M459" s="14">
        <f t="shared" si="55"/>
        <v>927.2</v>
      </c>
      <c r="N459" s="14">
        <f t="shared" si="56"/>
        <v>231.8</v>
      </c>
      <c r="O459" s="11" t="s">
        <v>27</v>
      </c>
      <c r="P459" s="11" t="s">
        <v>27</v>
      </c>
      <c r="Q459" s="11"/>
      <c r="R459" s="11">
        <v>1</v>
      </c>
      <c r="S459" s="11" t="s">
        <v>28</v>
      </c>
      <c r="T459" s="16" t="s">
        <v>31</v>
      </c>
    </row>
    <row r="460" spans="1:20" x14ac:dyDescent="0.3">
      <c r="A460" s="10">
        <v>45992</v>
      </c>
      <c r="B460" s="11">
        <v>132905</v>
      </c>
      <c r="C460" s="11" t="s">
        <v>31</v>
      </c>
      <c r="D460" s="11" t="s">
        <v>692</v>
      </c>
      <c r="E460" s="11" t="s">
        <v>348</v>
      </c>
      <c r="F460" s="11" t="s">
        <v>30</v>
      </c>
      <c r="G460" s="12">
        <v>1</v>
      </c>
      <c r="H460" s="13">
        <v>689.04</v>
      </c>
      <c r="I460" s="14">
        <f t="shared" si="58"/>
        <v>689.04</v>
      </c>
      <c r="J460" s="15">
        <v>0.5</v>
      </c>
      <c r="K460" s="15">
        <f t="shared" si="57"/>
        <v>0.125</v>
      </c>
      <c r="L460" s="14" t="s">
        <v>46</v>
      </c>
      <c r="M460" s="14">
        <f t="shared" si="55"/>
        <v>344.52</v>
      </c>
      <c r="N460" s="14">
        <f t="shared" si="56"/>
        <v>86.13</v>
      </c>
      <c r="O460" s="11" t="s">
        <v>27</v>
      </c>
      <c r="P460" s="11" t="s">
        <v>27</v>
      </c>
      <c r="Q460" s="11"/>
      <c r="R460" s="11">
        <v>1</v>
      </c>
      <c r="S460" s="11" t="s">
        <v>28</v>
      </c>
      <c r="T460" s="16" t="s">
        <v>31</v>
      </c>
    </row>
    <row r="461" spans="1:20" x14ac:dyDescent="0.3">
      <c r="A461" s="10">
        <v>45992</v>
      </c>
      <c r="B461" s="11">
        <v>134252</v>
      </c>
      <c r="C461" s="11" t="s">
        <v>44</v>
      </c>
      <c r="D461" s="11" t="s">
        <v>693</v>
      </c>
      <c r="E461" s="11" t="s">
        <v>54</v>
      </c>
      <c r="F461" s="11" t="s">
        <v>30</v>
      </c>
      <c r="G461" s="12">
        <v>8</v>
      </c>
      <c r="H461" s="13">
        <v>142.56</v>
      </c>
      <c r="I461" s="14">
        <f t="shared" si="58"/>
        <v>1140.48</v>
      </c>
      <c r="J461" s="15">
        <v>1</v>
      </c>
      <c r="K461" s="15">
        <f t="shared" si="57"/>
        <v>0.25</v>
      </c>
      <c r="L461" s="14" t="s">
        <v>46</v>
      </c>
      <c r="M461" s="14">
        <f t="shared" si="55"/>
        <v>1140.48</v>
      </c>
      <c r="N461" s="14">
        <f t="shared" si="56"/>
        <v>285.12</v>
      </c>
      <c r="O461" s="11" t="s">
        <v>27</v>
      </c>
      <c r="P461" s="11" t="s">
        <v>27</v>
      </c>
      <c r="Q461" s="11"/>
      <c r="R461" s="11">
        <v>1</v>
      </c>
      <c r="S461" s="11" t="s">
        <v>28</v>
      </c>
      <c r="T461" s="16" t="s">
        <v>44</v>
      </c>
    </row>
    <row r="462" spans="1:20" x14ac:dyDescent="0.3">
      <c r="A462" s="10">
        <v>45993</v>
      </c>
      <c r="B462" s="11">
        <v>128860</v>
      </c>
      <c r="C462" s="11" t="s">
        <v>22</v>
      </c>
      <c r="D462" s="11" t="s">
        <v>694</v>
      </c>
      <c r="E462" s="11" t="s">
        <v>54</v>
      </c>
      <c r="F462" s="11" t="s">
        <v>30</v>
      </c>
      <c r="G462" s="12">
        <v>4</v>
      </c>
      <c r="H462" s="13">
        <v>142.56</v>
      </c>
      <c r="I462" s="14">
        <f t="shared" si="58"/>
        <v>570.24</v>
      </c>
      <c r="J462" s="15">
        <v>1</v>
      </c>
      <c r="K462" s="15">
        <v>0</v>
      </c>
      <c r="L462" s="14" t="s">
        <v>26</v>
      </c>
      <c r="M462" s="14">
        <f t="shared" ref="M462:M472" si="59">(J462*I462)</f>
        <v>570.24</v>
      </c>
      <c r="N462" s="14">
        <f t="shared" si="56"/>
        <v>0</v>
      </c>
      <c r="O462" s="11" t="s">
        <v>27</v>
      </c>
      <c r="P462" s="11" t="s">
        <v>27</v>
      </c>
      <c r="Q462" s="11"/>
      <c r="R462" s="11">
        <v>1</v>
      </c>
      <c r="S462" s="11" t="s">
        <v>28</v>
      </c>
      <c r="T462" s="16" t="s">
        <v>22</v>
      </c>
    </row>
    <row r="463" spans="1:20" x14ac:dyDescent="0.3">
      <c r="A463" s="10">
        <v>45993</v>
      </c>
      <c r="B463" s="11">
        <v>133914</v>
      </c>
      <c r="C463" s="11" t="s">
        <v>31</v>
      </c>
      <c r="D463" s="11" t="s">
        <v>662</v>
      </c>
      <c r="E463" s="11" t="s">
        <v>35</v>
      </c>
      <c r="F463" s="11" t="s">
        <v>35</v>
      </c>
      <c r="G463" s="12">
        <v>20</v>
      </c>
      <c r="H463" s="13">
        <v>123.2</v>
      </c>
      <c r="I463" s="14">
        <f t="shared" si="58"/>
        <v>2464</v>
      </c>
      <c r="J463" s="15">
        <v>0.01</v>
      </c>
      <c r="K463" s="15">
        <v>0</v>
      </c>
      <c r="L463" s="14" t="s">
        <v>26</v>
      </c>
      <c r="M463" s="14">
        <f t="shared" si="59"/>
        <v>24.64</v>
      </c>
      <c r="N463" s="14">
        <f t="shared" si="56"/>
        <v>0</v>
      </c>
      <c r="O463" s="11" t="s">
        <v>597</v>
      </c>
      <c r="P463" s="11" t="s">
        <v>597</v>
      </c>
      <c r="Q463" s="11"/>
      <c r="R463" s="11">
        <v>3</v>
      </c>
      <c r="S463" s="11" t="s">
        <v>597</v>
      </c>
      <c r="T463" s="16" t="s">
        <v>31</v>
      </c>
    </row>
    <row r="464" spans="1:20" x14ac:dyDescent="0.3">
      <c r="A464" s="10">
        <v>45993</v>
      </c>
      <c r="B464" s="11">
        <v>134510</v>
      </c>
      <c r="C464" s="11" t="s">
        <v>31</v>
      </c>
      <c r="D464" s="11" t="s">
        <v>620</v>
      </c>
      <c r="E464" s="11" t="s">
        <v>24</v>
      </c>
      <c r="F464" s="11" t="s">
        <v>554</v>
      </c>
      <c r="G464" s="12">
        <v>4</v>
      </c>
      <c r="H464" s="13">
        <v>178.5</v>
      </c>
      <c r="I464" s="14">
        <f t="shared" si="58"/>
        <v>714</v>
      </c>
      <c r="J464" s="15">
        <v>6.6900000000000001E-2</v>
      </c>
      <c r="K464" s="15">
        <f t="shared" ref="K464:K472" si="60">J464*0.25</f>
        <v>1.6725E-2</v>
      </c>
      <c r="L464" s="14" t="s">
        <v>26</v>
      </c>
      <c r="M464" s="14">
        <f t="shared" si="59"/>
        <v>47.766600000000004</v>
      </c>
      <c r="N464" s="14">
        <f t="shared" si="56"/>
        <v>11.941650000000001</v>
      </c>
      <c r="O464" s="11" t="s">
        <v>597</v>
      </c>
      <c r="P464" s="11" t="s">
        <v>597</v>
      </c>
      <c r="Q464" s="11"/>
      <c r="R464" s="11">
        <v>1</v>
      </c>
      <c r="S464" s="11" t="s">
        <v>597</v>
      </c>
      <c r="T464" s="16" t="s">
        <v>31</v>
      </c>
    </row>
    <row r="465" spans="1:21" x14ac:dyDescent="0.3">
      <c r="A465" s="10">
        <v>45993</v>
      </c>
      <c r="B465" s="11">
        <v>134524</v>
      </c>
      <c r="C465" s="11" t="s">
        <v>31</v>
      </c>
      <c r="D465" s="11" t="s">
        <v>79</v>
      </c>
      <c r="E465" s="11" t="s">
        <v>567</v>
      </c>
      <c r="F465" s="11" t="s">
        <v>30</v>
      </c>
      <c r="G465" s="12">
        <v>1</v>
      </c>
      <c r="H465" s="13">
        <v>605.88</v>
      </c>
      <c r="I465" s="14">
        <f t="shared" si="58"/>
        <v>605.88</v>
      </c>
      <c r="J465" s="15">
        <v>1</v>
      </c>
      <c r="K465" s="15">
        <f t="shared" si="60"/>
        <v>0.25</v>
      </c>
      <c r="L465" s="14" t="s">
        <v>26</v>
      </c>
      <c r="M465" s="14">
        <f t="shared" si="59"/>
        <v>605.88</v>
      </c>
      <c r="N465" s="14">
        <f t="shared" si="56"/>
        <v>151.47</v>
      </c>
      <c r="O465" s="11" t="s">
        <v>27</v>
      </c>
      <c r="P465" s="11" t="s">
        <v>27</v>
      </c>
      <c r="Q465" s="11"/>
      <c r="R465" s="11">
        <v>1</v>
      </c>
      <c r="S465" s="11" t="s">
        <v>28</v>
      </c>
      <c r="T465" s="16" t="s">
        <v>31</v>
      </c>
    </row>
    <row r="466" spans="1:21" x14ac:dyDescent="0.3">
      <c r="A466" s="10">
        <v>45993</v>
      </c>
      <c r="B466" s="11">
        <v>134524</v>
      </c>
      <c r="C466" s="11" t="s">
        <v>31</v>
      </c>
      <c r="D466" s="11" t="s">
        <v>79</v>
      </c>
      <c r="E466" s="11" t="s">
        <v>567</v>
      </c>
      <c r="F466" s="11" t="s">
        <v>554</v>
      </c>
      <c r="G466" s="12">
        <v>16</v>
      </c>
      <c r="H466" s="13">
        <v>178.5</v>
      </c>
      <c r="I466" s="14">
        <f t="shared" si="58"/>
        <v>2856</v>
      </c>
      <c r="J466" s="15">
        <v>6.5799999999999997E-2</v>
      </c>
      <c r="K466" s="15">
        <f t="shared" si="60"/>
        <v>1.6449999999999999E-2</v>
      </c>
      <c r="L466" s="14" t="s">
        <v>26</v>
      </c>
      <c r="M466" s="14">
        <f t="shared" si="59"/>
        <v>187.9248</v>
      </c>
      <c r="N466" s="14">
        <f t="shared" si="56"/>
        <v>46.981200000000001</v>
      </c>
      <c r="O466" s="11" t="s">
        <v>27</v>
      </c>
      <c r="P466" s="11" t="s">
        <v>27</v>
      </c>
      <c r="Q466" s="11"/>
      <c r="R466" s="11">
        <v>4</v>
      </c>
      <c r="S466" s="11" t="s">
        <v>28</v>
      </c>
      <c r="T466" s="16" t="s">
        <v>31</v>
      </c>
    </row>
    <row r="467" spans="1:21" x14ac:dyDescent="0.3">
      <c r="A467" s="10">
        <v>45995</v>
      </c>
      <c r="B467" s="11">
        <v>116018</v>
      </c>
      <c r="C467" s="11" t="s">
        <v>31</v>
      </c>
      <c r="D467" s="11" t="s">
        <v>656</v>
      </c>
      <c r="E467" s="11" t="s">
        <v>24</v>
      </c>
      <c r="F467" s="11" t="s">
        <v>554</v>
      </c>
      <c r="G467" s="12">
        <v>4</v>
      </c>
      <c r="H467" s="13">
        <v>210</v>
      </c>
      <c r="I467" s="14">
        <f t="shared" si="58"/>
        <v>840</v>
      </c>
      <c r="J467" s="15">
        <v>7.0000000000000007E-2</v>
      </c>
      <c r="K467" s="15">
        <f t="shared" si="60"/>
        <v>1.7500000000000002E-2</v>
      </c>
      <c r="L467" s="14" t="s">
        <v>26</v>
      </c>
      <c r="M467" s="14">
        <f t="shared" si="59"/>
        <v>58.800000000000004</v>
      </c>
      <c r="N467" s="14">
        <f t="shared" si="56"/>
        <v>14.700000000000001</v>
      </c>
      <c r="O467" s="11" t="s">
        <v>597</v>
      </c>
      <c r="P467" s="11" t="s">
        <v>597</v>
      </c>
      <c r="Q467" s="11"/>
      <c r="R467" s="11">
        <v>1</v>
      </c>
      <c r="S467" s="11" t="s">
        <v>597</v>
      </c>
      <c r="T467" s="16" t="s">
        <v>31</v>
      </c>
    </row>
    <row r="468" spans="1:21" x14ac:dyDescent="0.3">
      <c r="A468" s="10">
        <v>45995</v>
      </c>
      <c r="B468" s="11">
        <v>132376</v>
      </c>
      <c r="C468" s="11" t="s">
        <v>31</v>
      </c>
      <c r="D468" s="11" t="s">
        <v>625</v>
      </c>
      <c r="E468" s="11" t="s">
        <v>35</v>
      </c>
      <c r="F468" s="11" t="s">
        <v>35</v>
      </c>
      <c r="G468" s="12">
        <v>10</v>
      </c>
      <c r="H468" s="13">
        <v>176</v>
      </c>
      <c r="I468" s="14">
        <f t="shared" si="58"/>
        <v>1760</v>
      </c>
      <c r="J468" s="15">
        <v>0.01</v>
      </c>
      <c r="K468" s="15">
        <f t="shared" si="60"/>
        <v>2.5000000000000001E-3</v>
      </c>
      <c r="L468" s="14" t="s">
        <v>26</v>
      </c>
      <c r="M468" s="14">
        <f t="shared" si="59"/>
        <v>17.600000000000001</v>
      </c>
      <c r="N468" s="14">
        <f t="shared" si="56"/>
        <v>4.4000000000000004</v>
      </c>
      <c r="O468" s="11" t="s">
        <v>597</v>
      </c>
      <c r="P468" s="11" t="s">
        <v>597</v>
      </c>
      <c r="Q468" s="11"/>
      <c r="R468" s="11">
        <v>3</v>
      </c>
      <c r="S468" s="11" t="s">
        <v>597</v>
      </c>
      <c r="T468" s="16" t="s">
        <v>31</v>
      </c>
    </row>
    <row r="469" spans="1:21" x14ac:dyDescent="0.3">
      <c r="A469" s="10">
        <v>45995</v>
      </c>
      <c r="B469" s="11">
        <v>134730</v>
      </c>
      <c r="C469" s="11" t="s">
        <v>44</v>
      </c>
      <c r="D469" s="11" t="s">
        <v>695</v>
      </c>
      <c r="E469" s="11" t="s">
        <v>69</v>
      </c>
      <c r="F469" s="11" t="s">
        <v>41</v>
      </c>
      <c r="G469" s="12">
        <v>1</v>
      </c>
      <c r="H469" s="13">
        <v>22000</v>
      </c>
      <c r="I469" s="14">
        <f t="shared" si="58"/>
        <v>22000</v>
      </c>
      <c r="J469" s="15">
        <v>7.0000000000000007E-2</v>
      </c>
      <c r="K469" s="15">
        <f t="shared" si="60"/>
        <v>1.7500000000000002E-2</v>
      </c>
      <c r="L469" s="14" t="s">
        <v>26</v>
      </c>
      <c r="M469" s="14">
        <f t="shared" si="59"/>
        <v>1540.0000000000002</v>
      </c>
      <c r="N469" s="14">
        <f t="shared" si="56"/>
        <v>385.00000000000006</v>
      </c>
      <c r="O469" s="11" t="s">
        <v>597</v>
      </c>
      <c r="P469" s="11" t="s">
        <v>597</v>
      </c>
      <c r="Q469" s="11"/>
      <c r="R469" s="11">
        <v>10</v>
      </c>
      <c r="S469" s="11" t="s">
        <v>147</v>
      </c>
      <c r="T469" s="16" t="s">
        <v>44</v>
      </c>
    </row>
    <row r="470" spans="1:21" x14ac:dyDescent="0.3">
      <c r="A470" s="10">
        <v>45995</v>
      </c>
      <c r="B470" s="11">
        <v>134730</v>
      </c>
      <c r="C470" s="11" t="s">
        <v>44</v>
      </c>
      <c r="D470" s="11" t="s">
        <v>695</v>
      </c>
      <c r="E470" s="11" t="s">
        <v>69</v>
      </c>
      <c r="F470" s="11" t="s">
        <v>30</v>
      </c>
      <c r="G470" s="12">
        <v>1</v>
      </c>
      <c r="H470" s="13">
        <v>2800</v>
      </c>
      <c r="I470" s="14">
        <f t="shared" si="58"/>
        <v>2800</v>
      </c>
      <c r="J470" s="15">
        <v>1</v>
      </c>
      <c r="K470" s="15">
        <f t="shared" si="60"/>
        <v>0.25</v>
      </c>
      <c r="L470" s="14" t="s">
        <v>26</v>
      </c>
      <c r="M470" s="14">
        <f t="shared" si="59"/>
        <v>2800</v>
      </c>
      <c r="N470" s="14">
        <f t="shared" si="56"/>
        <v>700</v>
      </c>
      <c r="O470" s="11" t="s">
        <v>27</v>
      </c>
      <c r="P470" s="11" t="s">
        <v>27</v>
      </c>
      <c r="Q470" s="11"/>
      <c r="R470" s="11">
        <v>1</v>
      </c>
      <c r="S470" s="11" t="s">
        <v>147</v>
      </c>
      <c r="T470" s="16" t="s">
        <v>44</v>
      </c>
    </row>
    <row r="471" spans="1:21" x14ac:dyDescent="0.3">
      <c r="A471" s="10">
        <v>45996</v>
      </c>
      <c r="B471" s="11">
        <v>134560</v>
      </c>
      <c r="C471" s="11" t="s">
        <v>31</v>
      </c>
      <c r="D471" s="11" t="s">
        <v>696</v>
      </c>
      <c r="E471" s="11" t="s">
        <v>35</v>
      </c>
      <c r="F471" s="11" t="s">
        <v>35</v>
      </c>
      <c r="G471" s="12">
        <v>2</v>
      </c>
      <c r="H471" s="13">
        <v>176</v>
      </c>
      <c r="I471" s="14">
        <f t="shared" si="58"/>
        <v>352</v>
      </c>
      <c r="J471" s="15">
        <v>0.01</v>
      </c>
      <c r="K471" s="15">
        <f t="shared" si="60"/>
        <v>2.5000000000000001E-3</v>
      </c>
      <c r="L471" s="14" t="s">
        <v>26</v>
      </c>
      <c r="M471" s="14">
        <f t="shared" si="59"/>
        <v>3.52</v>
      </c>
      <c r="N471" s="14">
        <f t="shared" si="56"/>
        <v>0.88</v>
      </c>
      <c r="O471" s="11" t="s">
        <v>597</v>
      </c>
      <c r="P471" s="11" t="s">
        <v>597</v>
      </c>
      <c r="Q471" s="11"/>
      <c r="R471" s="11">
        <v>1</v>
      </c>
      <c r="S471" s="11" t="s">
        <v>597</v>
      </c>
      <c r="T471" s="16" t="s">
        <v>31</v>
      </c>
    </row>
    <row r="472" spans="1:21" x14ac:dyDescent="0.3">
      <c r="A472" s="10">
        <v>45996</v>
      </c>
      <c r="B472" s="11">
        <v>134873</v>
      </c>
      <c r="C472" s="11" t="s">
        <v>31</v>
      </c>
      <c r="D472" s="11" t="s">
        <v>92</v>
      </c>
      <c r="E472" s="11" t="s">
        <v>24</v>
      </c>
      <c r="F472" s="11" t="s">
        <v>35</v>
      </c>
      <c r="G472" s="12">
        <v>40</v>
      </c>
      <c r="H472" s="13">
        <v>180</v>
      </c>
      <c r="I472" s="14">
        <f t="shared" si="58"/>
        <v>7200</v>
      </c>
      <c r="J472" s="15">
        <v>7.0000000000000007E-2</v>
      </c>
      <c r="K472" s="15">
        <f t="shared" si="60"/>
        <v>1.7500000000000002E-2</v>
      </c>
      <c r="L472" s="14" t="s">
        <v>26</v>
      </c>
      <c r="M472" s="14">
        <f t="shared" si="59"/>
        <v>504.00000000000006</v>
      </c>
      <c r="N472" s="14">
        <f t="shared" si="56"/>
        <v>126.00000000000001</v>
      </c>
      <c r="O472" s="11" t="s">
        <v>597</v>
      </c>
      <c r="P472" s="11" t="s">
        <v>597</v>
      </c>
      <c r="Q472" s="11"/>
      <c r="R472" s="11">
        <v>1</v>
      </c>
      <c r="S472" s="11" t="s">
        <v>597</v>
      </c>
      <c r="T472" s="16" t="s">
        <v>31</v>
      </c>
    </row>
    <row r="473" spans="1:21" ht="13.95" customHeight="1" x14ac:dyDescent="0.3">
      <c r="A473" s="20"/>
      <c r="B473" s="21"/>
      <c r="C473" s="21"/>
      <c r="D473" s="21"/>
      <c r="E473" s="21"/>
      <c r="F473" s="21"/>
      <c r="G473" s="22">
        <f>SUBTOTAL(109,Vendas2025[Qtde])</f>
        <v>14611.02</v>
      </c>
      <c r="H473" s="23"/>
      <c r="I473" s="23">
        <f>SUBTOTAL(109,Vendas2025[VlrTotal])</f>
        <v>2764345.8064999999</v>
      </c>
      <c r="J473" s="22"/>
      <c r="K473" s="24"/>
      <c r="L473" s="23"/>
      <c r="M473" s="23">
        <f>SUBTOTAL(109,Vendas2025[[ComissãoVendedor ]])</f>
        <v>322930.3126779999</v>
      </c>
      <c r="N473" s="23">
        <f>SUBTOTAL(109,Vendas2025[ComissãoSupervisor])</f>
        <v>58788.171644499962</v>
      </c>
      <c r="O473" s="21"/>
      <c r="P473" s="21"/>
      <c r="Q473" s="21"/>
      <c r="R473" s="21"/>
      <c r="S473" s="21"/>
      <c r="T473" s="25">
        <f>SUBTOTAL(103,Vendas2025[SDR_RESPONSÁVEL])</f>
        <v>471</v>
      </c>
    </row>
    <row r="474" spans="1:21" x14ac:dyDescent="0.3">
      <c r="A474" s="26"/>
      <c r="B474" s="27"/>
      <c r="C474" s="27"/>
      <c r="D474" s="27"/>
      <c r="E474" s="27"/>
      <c r="F474" s="27"/>
      <c r="G474" s="28"/>
      <c r="H474" s="29"/>
      <c r="I474" s="29"/>
      <c r="J474" s="30"/>
      <c r="K474" s="30"/>
      <c r="L474" s="29"/>
      <c r="M474" s="29"/>
      <c r="N474" s="29"/>
      <c r="O474" s="27"/>
      <c r="P474" s="27"/>
      <c r="Q474" s="27"/>
      <c r="R474" s="27"/>
      <c r="S474" s="27"/>
    </row>
    <row r="475" spans="1:21" x14ac:dyDescent="0.3">
      <c r="I475" s="33"/>
      <c r="O475" s="32"/>
      <c r="P475" s="32"/>
      <c r="Q475" s="32"/>
      <c r="S475" s="34"/>
      <c r="T475" s="33"/>
      <c r="U475" s="35"/>
    </row>
    <row r="477" spans="1:21" x14ac:dyDescent="0.3">
      <c r="N477" s="33"/>
    </row>
  </sheetData>
  <dataValidations count="1">
    <dataValidation type="list" allowBlank="1" showInputMessage="1" showErrorMessage="1" sqref="F2 F5:F9 F13:F15 F17 F20:F22 F27:F28 F30:F31 F33:F34 F37 F40:F46 F49:F52 F54:F55 F57:F58 F60:F64 F68:F70 F72:F75 F77:F79 F81:F82 F86 F88:F90 F92:F98 F100:F102 F104 F106 F108:F109 F111 F113 F115:F117 F119:F120 F123:F125 F130:F133 F135:F139 F143:F151 F154:F164 F166 F170:F171 F174 F176:F179 F181 F183 F187:F190 F192 F194 F196:F198 F203 F207:F210 F213:F216 F219:F220 F222:F226 F228 F230:F231 F233:F234 F236:F238 F240:F244 F246 F248:F251 F253 F255:F265 F267 F269:F271 F274 F279:F281 F283:F284 F286:F287 F290 F292:F296 F299:F302 F305:F306 F308:F312 F314 F316:F320 F322 F325 F329:F330 F332 F334 F336 F338 F343 F346:F352 F357:F358 F361 F363:F365 F367:F368 F375:F376 F378 F380 F382:F391 F393 F398:F401 F404:F405 F408:F409 F412 F415:F417 F419:F420 F422:F432 F434 F436 F439:F441 F443:F456 F458:F461 F463 F465 F468:F472 F474" xr:uid="{00000000-0002-0000-0C00-000000000000}">
      <formula1>#REF!</formula1>
    </dataValidation>
  </dataValidations>
  <pageMargins left="0.511811024" right="0.511811024" top="0.78740157499999996" bottom="0.78740157499999996" header="0.31496062000000002" footer="0.31496062000000002"/>
  <legacy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1039"/>
  <sheetViews>
    <sheetView showGridLines="0" workbookViewId="0">
      <selection activeCell="A1040" sqref="A1040"/>
    </sheetView>
  </sheetViews>
  <sheetFormatPr defaultRowHeight="14.4" x14ac:dyDescent="0.3"/>
  <cols>
    <col min="1" max="1" width="16.88671875" bestFit="1" customWidth="1"/>
    <col min="2" max="2" width="18.109375" bestFit="1" customWidth="1"/>
    <col min="3" max="3" width="13.6640625" bestFit="1" customWidth="1"/>
    <col min="4" max="4" width="11.5546875" bestFit="1" customWidth="1"/>
    <col min="5" max="5" width="12.5546875" bestFit="1" customWidth="1"/>
    <col min="6" max="6" width="9" bestFit="1" customWidth="1"/>
    <col min="7" max="7" width="12.6640625" bestFit="1" customWidth="1"/>
    <col min="8" max="8" width="11.109375" bestFit="1" customWidth="1"/>
    <col min="9" max="9" width="20" bestFit="1" customWidth="1"/>
    <col min="10" max="10" width="14.88671875" bestFit="1" customWidth="1"/>
    <col min="11" max="11" width="12" bestFit="1" customWidth="1"/>
    <col min="12" max="12" width="11.33203125" bestFit="1" customWidth="1"/>
    <col min="13" max="13" width="13.33203125" bestFit="1" customWidth="1"/>
    <col min="14" max="14" width="11.6640625" customWidth="1"/>
    <col min="15" max="15" width="10.6640625" customWidth="1"/>
    <col min="16" max="16" width="10.33203125" bestFit="1" customWidth="1"/>
    <col min="17" max="17" width="10.6640625" bestFit="1" customWidth="1"/>
    <col min="18" max="18" width="12.109375" bestFit="1" customWidth="1"/>
    <col min="19" max="19" width="10.44140625" bestFit="1" customWidth="1"/>
    <col min="22" max="22" width="16.109375" bestFit="1" customWidth="1"/>
    <col min="23" max="23" width="18.44140625" bestFit="1" customWidth="1"/>
    <col min="24" max="24" width="12.5546875" bestFit="1" customWidth="1"/>
    <col min="25" max="25" width="101.44140625" bestFit="1" customWidth="1"/>
    <col min="26" max="26" width="18.44140625" bestFit="1" customWidth="1"/>
    <col min="27" max="27" width="16" bestFit="1" customWidth="1"/>
    <col min="28" max="28" width="16.109375" bestFit="1" customWidth="1"/>
    <col min="29" max="29" width="18.44140625" bestFit="1" customWidth="1"/>
    <col min="30" max="30" width="12.88671875" bestFit="1" customWidth="1"/>
    <col min="31" max="31" width="16.109375" bestFit="1" customWidth="1"/>
    <col min="32" max="32" width="18.44140625" bestFit="1" customWidth="1"/>
    <col min="34" max="34" width="16.109375" bestFit="1" customWidth="1"/>
    <col min="35" max="35" width="18.44140625" bestFit="1" customWidth="1"/>
    <col min="36" max="37" width="15" bestFit="1" customWidth="1"/>
    <col min="40" max="40" width="8.33203125" bestFit="1" customWidth="1"/>
    <col min="41" max="41" width="12.109375" bestFit="1" customWidth="1"/>
  </cols>
  <sheetData>
    <row r="1" spans="1:41" x14ac:dyDescent="0.3">
      <c r="C1" s="33"/>
      <c r="D1" s="33"/>
      <c r="E1" s="33"/>
      <c r="F1" s="33"/>
      <c r="G1" s="33"/>
      <c r="H1" s="33"/>
      <c r="I1" s="33"/>
      <c r="J1" s="33"/>
      <c r="K1" s="33"/>
      <c r="L1" s="33"/>
      <c r="M1" s="33"/>
      <c r="N1" s="33"/>
      <c r="Q1" t="s">
        <v>697</v>
      </c>
      <c r="R1" t="s">
        <v>698</v>
      </c>
      <c r="V1" s="36" t="s">
        <v>168</v>
      </c>
      <c r="W1" s="37">
        <v>2020</v>
      </c>
      <c r="Y1" s="36" t="s">
        <v>168</v>
      </c>
      <c r="Z1" s="37">
        <v>2021</v>
      </c>
      <c r="AB1" s="36" t="s">
        <v>168</v>
      </c>
      <c r="AC1" s="37">
        <v>2022</v>
      </c>
      <c r="AE1" s="36" t="s">
        <v>168</v>
      </c>
      <c r="AF1" s="37">
        <v>2023</v>
      </c>
      <c r="AH1" s="36" t="s">
        <v>168</v>
      </c>
      <c r="AI1" s="37">
        <v>2024</v>
      </c>
    </row>
    <row r="2" spans="1:41" x14ac:dyDescent="0.3">
      <c r="A2" s="36" t="s">
        <v>168</v>
      </c>
      <c r="B2" s="37">
        <v>2026</v>
      </c>
      <c r="D2" s="33"/>
      <c r="E2" s="33"/>
      <c r="F2" s="33"/>
      <c r="G2" s="33"/>
      <c r="H2" s="33"/>
      <c r="I2" s="36" t="s">
        <v>168</v>
      </c>
      <c r="J2" t="s">
        <v>213</v>
      </c>
      <c r="K2" s="33"/>
      <c r="L2" s="183" t="s">
        <v>699</v>
      </c>
      <c r="M2" s="184" t="s">
        <v>700</v>
      </c>
      <c r="N2" s="33"/>
      <c r="P2" t="s">
        <v>2</v>
      </c>
      <c r="Q2" s="33">
        <v>2887.7</v>
      </c>
      <c r="R2" s="185">
        <v>2139</v>
      </c>
      <c r="Y2" s="36" t="s">
        <v>2</v>
      </c>
      <c r="Z2" t="s">
        <v>162</v>
      </c>
      <c r="AB2" s="36" t="s">
        <v>2</v>
      </c>
      <c r="AC2" t="s">
        <v>162</v>
      </c>
      <c r="AE2" s="36" t="s">
        <v>2</v>
      </c>
      <c r="AF2" t="s">
        <v>162</v>
      </c>
      <c r="AH2" s="36" t="s">
        <v>2</v>
      </c>
      <c r="AI2" t="s">
        <v>162</v>
      </c>
    </row>
    <row r="3" spans="1:41" x14ac:dyDescent="0.3">
      <c r="H3" s="33"/>
      <c r="I3" s="33"/>
      <c r="J3" s="33"/>
      <c r="K3" s="33"/>
      <c r="L3" s="186">
        <v>2021</v>
      </c>
      <c r="M3" s="187">
        <v>9304.17</v>
      </c>
      <c r="N3" s="33"/>
      <c r="P3" t="s">
        <v>701</v>
      </c>
      <c r="Q3" s="33">
        <v>5557.27</v>
      </c>
      <c r="R3" s="185">
        <f>5557.27-596.83-21.66-394.32-237.81-338.33</f>
        <v>3968.3200000000006</v>
      </c>
      <c r="S3" s="188">
        <v>44317</v>
      </c>
      <c r="V3" s="36" t="s">
        <v>215</v>
      </c>
      <c r="W3" t="s">
        <v>702</v>
      </c>
    </row>
    <row r="4" spans="1:41" x14ac:dyDescent="0.3">
      <c r="A4" s="36" t="s">
        <v>702</v>
      </c>
      <c r="B4" s="36" t="s">
        <v>572</v>
      </c>
      <c r="H4" s="33"/>
      <c r="I4" s="36" t="s">
        <v>215</v>
      </c>
      <c r="J4" t="s">
        <v>703</v>
      </c>
      <c r="L4" s="186">
        <v>2022</v>
      </c>
      <c r="M4" s="187">
        <v>8436.86</v>
      </c>
      <c r="N4" s="33"/>
      <c r="V4" s="37" t="s">
        <v>220</v>
      </c>
      <c r="W4" s="189">
        <v>3217.42</v>
      </c>
      <c r="Y4" s="36" t="s">
        <v>215</v>
      </c>
      <c r="Z4" t="s">
        <v>702</v>
      </c>
      <c r="AB4" s="36" t="s">
        <v>215</v>
      </c>
      <c r="AC4" t="s">
        <v>702</v>
      </c>
      <c r="AE4" s="36" t="s">
        <v>215</v>
      </c>
      <c r="AF4" t="s">
        <v>702</v>
      </c>
      <c r="AH4" s="36" t="s">
        <v>215</v>
      </c>
      <c r="AI4" t="s">
        <v>702</v>
      </c>
    </row>
    <row r="5" spans="1:41" x14ac:dyDescent="0.3">
      <c r="A5" s="36" t="s">
        <v>215</v>
      </c>
      <c r="B5" s="32" t="s">
        <v>704</v>
      </c>
      <c r="C5" s="32" t="s">
        <v>162</v>
      </c>
      <c r="D5" s="32" t="s">
        <v>161</v>
      </c>
      <c r="E5" s="32" t="s">
        <v>223</v>
      </c>
      <c r="H5" s="33"/>
      <c r="I5" s="37" t="s">
        <v>705</v>
      </c>
      <c r="J5" s="54">
        <v>191.8626666666666</v>
      </c>
      <c r="L5" s="186">
        <v>2023</v>
      </c>
      <c r="M5" s="187">
        <v>8102.3609999999999</v>
      </c>
      <c r="N5" s="33"/>
      <c r="V5" s="37" t="s">
        <v>226</v>
      </c>
      <c r="W5" s="189">
        <v>7003.56</v>
      </c>
      <c r="Y5" s="37" t="s">
        <v>220</v>
      </c>
      <c r="Z5" s="189">
        <v>9551.7900000000009</v>
      </c>
      <c r="AB5" s="37" t="s">
        <v>220</v>
      </c>
      <c r="AC5" s="189">
        <v>10325.030000000001</v>
      </c>
      <c r="AE5" s="37" t="s">
        <v>220</v>
      </c>
      <c r="AF5" s="189">
        <v>6512.53</v>
      </c>
      <c r="AH5" s="37" t="s">
        <v>226</v>
      </c>
      <c r="AI5" s="189">
        <v>5298.52</v>
      </c>
      <c r="AN5" t="s">
        <v>706</v>
      </c>
      <c r="AO5" s="33">
        <f>Z18</f>
        <v>8670.8058333333338</v>
      </c>
    </row>
    <row r="6" spans="1:41" x14ac:dyDescent="0.3">
      <c r="A6" s="37" t="s">
        <v>220</v>
      </c>
      <c r="B6" s="33">
        <v>11269.48</v>
      </c>
      <c r="C6" s="33">
        <v>18594.310000000001</v>
      </c>
      <c r="D6" s="33">
        <v>6274.9000000000005</v>
      </c>
      <c r="E6" s="33">
        <v>36138.69</v>
      </c>
      <c r="H6" s="33"/>
      <c r="I6" s="37" t="s">
        <v>704</v>
      </c>
      <c r="J6" s="54">
        <v>10571.59083333333</v>
      </c>
      <c r="L6" s="186">
        <v>2024</v>
      </c>
      <c r="M6" s="187">
        <v>8177.97</v>
      </c>
      <c r="N6" s="33"/>
      <c r="V6" s="37" t="s">
        <v>230</v>
      </c>
      <c r="W6" s="189">
        <v>3870</v>
      </c>
      <c r="Y6" s="37" t="s">
        <v>226</v>
      </c>
      <c r="Z6" s="189">
        <v>11005.93</v>
      </c>
      <c r="AB6" s="37" t="s">
        <v>226</v>
      </c>
      <c r="AC6" s="189">
        <v>6014.19</v>
      </c>
      <c r="AE6" s="37" t="s">
        <v>226</v>
      </c>
      <c r="AF6" s="189">
        <v>8564.0300000000007</v>
      </c>
      <c r="AH6" s="37" t="s">
        <v>230</v>
      </c>
      <c r="AI6" s="189">
        <v>13119.38</v>
      </c>
      <c r="AN6">
        <v>2022</v>
      </c>
      <c r="AO6" s="54">
        <f>AC18</f>
        <v>9325.1491666666661</v>
      </c>
    </row>
    <row r="7" spans="1:41" x14ac:dyDescent="0.3">
      <c r="A7" s="37" t="s">
        <v>226</v>
      </c>
      <c r="B7" s="33">
        <v>1468.19</v>
      </c>
      <c r="C7" s="33">
        <v>16594.78</v>
      </c>
      <c r="D7" s="33">
        <v>4423.3830000000007</v>
      </c>
      <c r="E7" s="33">
        <v>22486.352999999999</v>
      </c>
      <c r="H7" s="33"/>
      <c r="I7" s="37" t="s">
        <v>707</v>
      </c>
      <c r="J7" s="54">
        <v>0</v>
      </c>
      <c r="L7" s="190" t="s">
        <v>708</v>
      </c>
      <c r="M7" s="190">
        <f>AVERAGE(M3:M6)</f>
        <v>8505.3402499999993</v>
      </c>
      <c r="N7" s="33"/>
      <c r="V7" s="37" t="s">
        <v>234</v>
      </c>
      <c r="W7" s="189">
        <v>1543.84</v>
      </c>
      <c r="Y7" s="37" t="s">
        <v>230</v>
      </c>
      <c r="Z7" s="189">
        <v>8850.1</v>
      </c>
      <c r="AB7" s="37" t="s">
        <v>230</v>
      </c>
      <c r="AC7" s="189">
        <v>7501</v>
      </c>
      <c r="AE7" s="37" t="s">
        <v>230</v>
      </c>
      <c r="AF7" s="189">
        <v>6481.14</v>
      </c>
      <c r="AH7" s="37" t="s">
        <v>234</v>
      </c>
      <c r="AI7" s="189">
        <v>9686.09</v>
      </c>
      <c r="AN7">
        <v>2023</v>
      </c>
      <c r="AO7" s="54">
        <f>AF18</f>
        <v>8102.3050000000003</v>
      </c>
    </row>
    <row r="8" spans="1:41" x14ac:dyDescent="0.3">
      <c r="A8" s="37" t="s">
        <v>230</v>
      </c>
      <c r="B8" s="33">
        <v>19420.650000000001</v>
      </c>
      <c r="C8" s="33">
        <v>30776.53</v>
      </c>
      <c r="D8" s="33">
        <v>4504.4400000000014</v>
      </c>
      <c r="E8" s="33">
        <v>54701.62</v>
      </c>
      <c r="H8" s="33"/>
      <c r="I8" s="37" t="s">
        <v>162</v>
      </c>
      <c r="J8" s="54">
        <v>8375.4311111111128</v>
      </c>
      <c r="L8" s="186">
        <v>2025</v>
      </c>
      <c r="M8" s="187">
        <v>10460.26</v>
      </c>
      <c r="N8" s="33"/>
      <c r="V8" s="37" t="s">
        <v>237</v>
      </c>
      <c r="W8" s="189">
        <v>2556.61</v>
      </c>
      <c r="Y8" s="37" t="s">
        <v>234</v>
      </c>
      <c r="Z8" s="189">
        <v>6846.17</v>
      </c>
      <c r="AB8" s="37" t="s">
        <v>234</v>
      </c>
      <c r="AC8" s="189">
        <v>7160.99</v>
      </c>
      <c r="AE8" s="37" t="s">
        <v>234</v>
      </c>
      <c r="AF8" s="189">
        <v>7030.18</v>
      </c>
      <c r="AH8" s="37" t="s">
        <v>237</v>
      </c>
      <c r="AI8" s="189">
        <v>11569.26</v>
      </c>
      <c r="AN8">
        <v>2024</v>
      </c>
      <c r="AO8" s="54">
        <f>AI18</f>
        <v>7755.0675000000001</v>
      </c>
    </row>
    <row r="9" spans="1:41" x14ac:dyDescent="0.3">
      <c r="A9" s="37" t="s">
        <v>234</v>
      </c>
      <c r="B9" s="33">
        <v>10341</v>
      </c>
      <c r="C9" s="33">
        <v>23597.67</v>
      </c>
      <c r="D9" s="33">
        <v>4981.8600000000006</v>
      </c>
      <c r="E9" s="33">
        <v>38920.53</v>
      </c>
      <c r="H9" s="33"/>
      <c r="I9" s="37" t="s">
        <v>161</v>
      </c>
      <c r="J9" s="54">
        <v>4223.059166666666</v>
      </c>
      <c r="L9" s="191">
        <v>2026</v>
      </c>
      <c r="M9" s="192">
        <f>AVERAGE(GETPIVOTDATA("Comissão",$A$4,"Vendedor","Paulo","Meses (Pago em)",1))</f>
        <v>18594.310000000001</v>
      </c>
      <c r="N9" s="33"/>
      <c r="V9" s="37" t="s">
        <v>709</v>
      </c>
      <c r="W9" s="189">
        <v>2351.86</v>
      </c>
      <c r="Y9" s="37" t="s">
        <v>237</v>
      </c>
      <c r="Z9" s="189">
        <v>10860.43</v>
      </c>
      <c r="AB9" s="37" t="s">
        <v>237</v>
      </c>
      <c r="AC9" s="189">
        <v>8225.76</v>
      </c>
      <c r="AE9" s="37" t="s">
        <v>237</v>
      </c>
      <c r="AF9" s="189">
        <v>3211.2</v>
      </c>
      <c r="AH9" s="37" t="s">
        <v>709</v>
      </c>
      <c r="AI9" s="189">
        <v>7174.82</v>
      </c>
    </row>
    <row r="10" spans="1:41" x14ac:dyDescent="0.3">
      <c r="A10" s="37" t="s">
        <v>237</v>
      </c>
      <c r="B10" s="33">
        <v>11487.46</v>
      </c>
      <c r="C10" s="33">
        <v>10496.66</v>
      </c>
      <c r="D10" s="33">
        <v>10607.25</v>
      </c>
      <c r="E10" s="33">
        <v>32591.37</v>
      </c>
      <c r="H10" s="33"/>
      <c r="I10" s="37" t="s">
        <v>223</v>
      </c>
      <c r="J10" s="54">
        <v>7115.727375000004</v>
      </c>
      <c r="L10" s="193" t="s">
        <v>710</v>
      </c>
      <c r="M10" s="190">
        <v>8500</v>
      </c>
      <c r="N10" s="33"/>
      <c r="V10" s="37" t="s">
        <v>711</v>
      </c>
      <c r="W10" s="189">
        <v>3620.72</v>
      </c>
      <c r="Y10" s="37" t="s">
        <v>709</v>
      </c>
      <c r="Z10" s="189">
        <v>7115.54</v>
      </c>
      <c r="AB10" s="37" t="s">
        <v>709</v>
      </c>
      <c r="AC10" s="189">
        <v>13521.65</v>
      </c>
      <c r="AE10" s="37" t="s">
        <v>709</v>
      </c>
      <c r="AF10" s="189">
        <v>3262.91</v>
      </c>
      <c r="AH10" s="37" t="s">
        <v>711</v>
      </c>
      <c r="AI10" s="189">
        <v>677.04</v>
      </c>
    </row>
    <row r="11" spans="1:41" x14ac:dyDescent="0.3">
      <c r="A11" s="37" t="s">
        <v>223</v>
      </c>
      <c r="B11" s="33">
        <v>53986.780000000013</v>
      </c>
      <c r="C11" s="33">
        <v>100059.95</v>
      </c>
      <c r="D11" s="33">
        <v>30791.832999999999</v>
      </c>
      <c r="E11" s="33">
        <v>184838.56299999999</v>
      </c>
      <c r="H11" s="33"/>
      <c r="L11" s="33"/>
      <c r="M11" s="33"/>
      <c r="N11" s="33"/>
      <c r="V11" s="37" t="s">
        <v>712</v>
      </c>
      <c r="W11" s="189">
        <v>6740.76</v>
      </c>
      <c r="Y11" s="37" t="s">
        <v>711</v>
      </c>
      <c r="Z11" s="189">
        <v>6085.95</v>
      </c>
      <c r="AB11" s="37" t="s">
        <v>711</v>
      </c>
      <c r="AC11" s="189">
        <v>9935.31</v>
      </c>
      <c r="AE11" s="37" t="s">
        <v>711</v>
      </c>
      <c r="AF11" s="189">
        <v>7708.11</v>
      </c>
      <c r="AH11" s="37" t="s">
        <v>712</v>
      </c>
      <c r="AI11" s="189">
        <v>6751.9</v>
      </c>
    </row>
    <row r="12" spans="1:41" x14ac:dyDescent="0.3">
      <c r="H12" s="33"/>
      <c r="L12" s="33"/>
      <c r="M12" s="33"/>
      <c r="N12" s="33"/>
      <c r="V12" s="37" t="s">
        <v>713</v>
      </c>
      <c r="W12" s="189">
        <v>3943.33</v>
      </c>
      <c r="Y12" s="37" t="s">
        <v>712</v>
      </c>
      <c r="Z12" s="189">
        <v>6042.51</v>
      </c>
      <c r="AB12" s="37" t="s">
        <v>712</v>
      </c>
      <c r="AC12" s="189">
        <v>8170.34</v>
      </c>
      <c r="AE12" s="37" t="s">
        <v>712</v>
      </c>
      <c r="AF12" s="189">
        <v>7985.31</v>
      </c>
      <c r="AH12" s="37" t="s">
        <v>713</v>
      </c>
      <c r="AI12" s="189">
        <v>4793.07</v>
      </c>
    </row>
    <row r="13" spans="1:41" x14ac:dyDescent="0.3">
      <c r="L13" s="33"/>
      <c r="M13" s="33"/>
      <c r="N13" s="33"/>
      <c r="V13" s="37" t="s">
        <v>551</v>
      </c>
      <c r="W13" s="189">
        <v>3688.83</v>
      </c>
      <c r="Y13" s="37" t="s">
        <v>713</v>
      </c>
      <c r="Z13" s="189">
        <v>12879.46</v>
      </c>
      <c r="AB13" s="37" t="s">
        <v>713</v>
      </c>
      <c r="AC13" s="189">
        <v>14096.05</v>
      </c>
      <c r="AE13" s="37" t="s">
        <v>713</v>
      </c>
      <c r="AF13" s="189">
        <v>16102.45</v>
      </c>
      <c r="AH13" s="37" t="s">
        <v>551</v>
      </c>
      <c r="AI13" s="189">
        <v>8631.26</v>
      </c>
    </row>
    <row r="14" spans="1:41" x14ac:dyDescent="0.3">
      <c r="H14" s="33"/>
      <c r="I14" s="37" t="s">
        <v>714</v>
      </c>
      <c r="L14" s="33"/>
      <c r="M14" s="33"/>
      <c r="N14" s="33"/>
      <c r="V14" s="37" t="s">
        <v>555</v>
      </c>
      <c r="W14" s="189">
        <v>6021.58</v>
      </c>
      <c r="Y14" s="37" t="s">
        <v>551</v>
      </c>
      <c r="Z14" s="189">
        <v>4137.12</v>
      </c>
      <c r="AB14" s="37" t="s">
        <v>551</v>
      </c>
      <c r="AC14" s="189">
        <v>8938.44</v>
      </c>
      <c r="AE14" s="37" t="s">
        <v>551</v>
      </c>
      <c r="AF14" s="189">
        <v>16753.759999999998</v>
      </c>
      <c r="AH14" s="37" t="s">
        <v>555</v>
      </c>
      <c r="AI14" s="189">
        <v>21011.54</v>
      </c>
    </row>
    <row r="15" spans="1:41" x14ac:dyDescent="0.3">
      <c r="H15" s="33"/>
      <c r="L15" s="33"/>
      <c r="M15" s="33"/>
      <c r="N15" s="33"/>
      <c r="V15" s="37" t="s">
        <v>556</v>
      </c>
      <c r="W15" s="189">
        <v>8115.23</v>
      </c>
      <c r="Y15" s="37" t="s">
        <v>555</v>
      </c>
      <c r="Z15" s="189">
        <v>9441.0400000000009</v>
      </c>
      <c r="AB15" s="37" t="s">
        <v>555</v>
      </c>
      <c r="AC15" s="189">
        <v>9477.94</v>
      </c>
      <c r="AE15" s="37" t="s">
        <v>555</v>
      </c>
      <c r="AF15" s="189">
        <v>9095.16</v>
      </c>
      <c r="AH15" s="37" t="s">
        <v>556</v>
      </c>
      <c r="AI15" s="189">
        <v>4347.93</v>
      </c>
    </row>
    <row r="16" spans="1:41" ht="18" customHeight="1" x14ac:dyDescent="0.35">
      <c r="H16" s="194">
        <f>(GETPIVOTDATA("Comissão",$A$3,"Vendedor","Paulo")/GETPIVOTDATA("Comissão",$A$3,"Vendedor","Junior"))-1</f>
        <v>0.85341578067815815</v>
      </c>
      <c r="I16" s="1" t="s">
        <v>715</v>
      </c>
      <c r="J16" s="195">
        <f>GETPIVOTDATA("Comissão",$A$3,"Vendedor","Junior")/1</f>
        <v>53986.780000000013</v>
      </c>
      <c r="K16" t="s">
        <v>44</v>
      </c>
      <c r="L16" s="33"/>
      <c r="M16" s="33"/>
      <c r="N16" s="33"/>
      <c r="V16" s="37" t="s">
        <v>223</v>
      </c>
      <c r="W16" s="189">
        <v>52673.740000000013</v>
      </c>
      <c r="Y16" s="37" t="s">
        <v>556</v>
      </c>
      <c r="Z16" s="189">
        <v>11233.63</v>
      </c>
      <c r="AB16" s="37" t="s">
        <v>556</v>
      </c>
      <c r="AC16" s="189">
        <v>8535.09</v>
      </c>
      <c r="AE16" s="37" t="s">
        <v>556</v>
      </c>
      <c r="AF16" s="189">
        <v>4520.88</v>
      </c>
      <c r="AH16" s="37" t="s">
        <v>223</v>
      </c>
      <c r="AI16" s="189">
        <v>93060.81</v>
      </c>
    </row>
    <row r="17" spans="1:35" x14ac:dyDescent="0.3">
      <c r="H17" s="33"/>
      <c r="L17" s="33"/>
      <c r="M17" s="33"/>
      <c r="N17" s="33"/>
      <c r="V17" s="37" t="s">
        <v>708</v>
      </c>
      <c r="W17" s="195">
        <f>GETPIVOTDATA("Comissão",$V$3)/12</f>
        <v>4389.4783333333344</v>
      </c>
      <c r="Y17" s="37" t="s">
        <v>223</v>
      </c>
      <c r="Z17" s="189">
        <v>104049.67</v>
      </c>
      <c r="AB17" s="37" t="s">
        <v>223</v>
      </c>
      <c r="AC17" s="189">
        <v>111901.79</v>
      </c>
      <c r="AE17" s="37" t="s">
        <v>223</v>
      </c>
      <c r="AF17" s="189">
        <v>97227.66</v>
      </c>
    </row>
    <row r="18" spans="1:35" x14ac:dyDescent="0.3">
      <c r="H18" s="35"/>
      <c r="L18" s="33"/>
      <c r="M18" s="33"/>
      <c r="N18" s="33"/>
      <c r="Y18" s="37" t="s">
        <v>708</v>
      </c>
      <c r="Z18" s="196">
        <f>GETPIVOTDATA("Comissão",$Y$4)/12</f>
        <v>8670.8058333333338</v>
      </c>
      <c r="AB18" s="37" t="s">
        <v>708</v>
      </c>
      <c r="AC18" s="195">
        <f>GETPIVOTDATA("Comissão",$AB$4)/12</f>
        <v>9325.1491666666661</v>
      </c>
      <c r="AE18" s="37" t="s">
        <v>708</v>
      </c>
      <c r="AF18" s="195">
        <f>GETPIVOTDATA("Comissão",$AE$4)/12</f>
        <v>8102.3050000000003</v>
      </c>
      <c r="AH18" s="37" t="s">
        <v>708</v>
      </c>
      <c r="AI18" s="195">
        <f>GETPIVOTDATA("Comissão",$AH$4)/12</f>
        <v>7755.0675000000001</v>
      </c>
    </row>
    <row r="19" spans="1:35" x14ac:dyDescent="0.3">
      <c r="H19" s="33"/>
      <c r="L19" s="33"/>
      <c r="M19" s="33"/>
      <c r="N19" s="33"/>
    </row>
    <row r="20" spans="1:35" x14ac:dyDescent="0.3">
      <c r="B20" s="33"/>
      <c r="C20" s="33"/>
      <c r="D20" s="33"/>
      <c r="E20" s="33"/>
      <c r="F20" s="33"/>
      <c r="G20" s="33"/>
      <c r="H20" s="33"/>
      <c r="L20" s="33"/>
      <c r="M20" s="33"/>
      <c r="N20" s="33"/>
    </row>
    <row r="21" spans="1:35" x14ac:dyDescent="0.3">
      <c r="B21" s="33"/>
      <c r="C21" s="33"/>
      <c r="D21" s="33"/>
      <c r="E21" s="33"/>
      <c r="F21" s="33"/>
      <c r="G21" s="33"/>
      <c r="H21" s="33"/>
      <c r="L21" s="33"/>
      <c r="M21" s="33"/>
      <c r="N21" s="33"/>
    </row>
    <row r="22" spans="1:35" x14ac:dyDescent="0.3">
      <c r="B22" s="33"/>
      <c r="C22" s="33"/>
      <c r="D22" s="33"/>
      <c r="E22" s="33"/>
      <c r="F22" s="33"/>
      <c r="G22" s="33"/>
      <c r="H22" s="33"/>
      <c r="I22" s="33"/>
      <c r="J22" s="33"/>
      <c r="K22" s="33"/>
      <c r="L22" s="33"/>
      <c r="M22" s="33"/>
      <c r="N22" s="33"/>
    </row>
    <row r="23" spans="1:35" x14ac:dyDescent="0.3">
      <c r="B23" s="33"/>
      <c r="C23" s="33"/>
      <c r="D23" s="33"/>
      <c r="E23" s="33"/>
      <c r="F23" s="33"/>
      <c r="G23" s="33"/>
      <c r="H23" s="33"/>
      <c r="I23" s="33"/>
      <c r="J23" s="33"/>
      <c r="K23" s="33"/>
      <c r="L23" s="33"/>
      <c r="M23" s="33"/>
      <c r="N23" s="33"/>
    </row>
    <row r="24" spans="1:35" x14ac:dyDescent="0.3">
      <c r="B24" s="33"/>
      <c r="C24" s="33"/>
      <c r="D24" s="33"/>
      <c r="E24" s="33"/>
      <c r="F24" s="33"/>
      <c r="G24" s="33"/>
      <c r="H24" s="33"/>
      <c r="I24" s="33"/>
      <c r="J24" s="33"/>
      <c r="K24" s="33"/>
      <c r="L24" s="33"/>
      <c r="M24" s="33"/>
      <c r="N24" s="33"/>
    </row>
    <row r="25" spans="1:35" x14ac:dyDescent="0.3">
      <c r="A25" s="37"/>
      <c r="B25" s="33"/>
      <c r="C25" s="33"/>
      <c r="D25" s="33"/>
      <c r="E25" s="33"/>
      <c r="F25" s="33"/>
      <c r="G25" s="33"/>
      <c r="H25" s="33"/>
      <c r="I25" s="33"/>
      <c r="J25" s="33"/>
      <c r="K25" s="33"/>
      <c r="L25" s="33"/>
      <c r="M25" s="33"/>
      <c r="N25" s="33"/>
    </row>
    <row r="26" spans="1:35" x14ac:dyDescent="0.3">
      <c r="A26" s="37"/>
      <c r="B26" s="33"/>
      <c r="C26" s="33"/>
      <c r="D26" s="33"/>
      <c r="E26" s="33"/>
      <c r="F26" s="33"/>
      <c r="G26" s="33"/>
      <c r="H26" s="33"/>
      <c r="I26" s="33"/>
      <c r="J26" s="33"/>
      <c r="K26" s="33"/>
      <c r="L26" s="33"/>
      <c r="M26" s="33"/>
      <c r="N26" s="33"/>
    </row>
    <row r="27" spans="1:35" x14ac:dyDescent="0.3">
      <c r="A27" s="37"/>
      <c r="B27" s="33"/>
      <c r="C27" s="33"/>
      <c r="D27" s="33"/>
      <c r="E27" s="33"/>
      <c r="F27" s="33"/>
      <c r="G27" s="33"/>
      <c r="H27" s="33"/>
      <c r="I27" s="33"/>
      <c r="J27" s="33"/>
      <c r="K27" s="33"/>
      <c r="L27" s="33"/>
      <c r="M27" s="33"/>
      <c r="N27" s="33"/>
    </row>
    <row r="28" spans="1:35" x14ac:dyDescent="0.3">
      <c r="A28" s="37"/>
      <c r="B28" s="33"/>
      <c r="C28" s="33"/>
      <c r="D28" s="33"/>
      <c r="E28" s="33"/>
      <c r="F28" s="33"/>
      <c r="G28" s="33"/>
      <c r="H28" s="33"/>
      <c r="I28" s="33"/>
      <c r="J28" s="33"/>
      <c r="K28" s="33"/>
      <c r="L28" s="33"/>
      <c r="M28" s="33"/>
      <c r="N28" s="33"/>
    </row>
    <row r="29" spans="1:35" x14ac:dyDescent="0.3">
      <c r="A29" s="37"/>
      <c r="B29" s="33"/>
      <c r="C29" s="33"/>
      <c r="D29" s="33"/>
      <c r="E29" s="33"/>
      <c r="F29" s="33"/>
      <c r="G29" s="33"/>
      <c r="H29" s="33"/>
      <c r="I29" s="33"/>
      <c r="J29" s="33"/>
      <c r="K29" s="33"/>
      <c r="L29" s="33"/>
      <c r="M29" s="33"/>
      <c r="N29" s="33"/>
    </row>
    <row r="30" spans="1:35" hidden="1" x14ac:dyDescent="0.3">
      <c r="A30" s="37"/>
      <c r="B30" s="33"/>
      <c r="C30" s="33"/>
      <c r="D30" s="33"/>
      <c r="E30" s="33"/>
      <c r="F30" s="33"/>
      <c r="G30" s="33"/>
      <c r="H30" s="33"/>
      <c r="I30" s="33"/>
      <c r="J30" s="33"/>
      <c r="K30" s="33"/>
      <c r="L30" s="33"/>
      <c r="M30" s="33"/>
      <c r="N30" s="33"/>
    </row>
    <row r="31" spans="1:35" hidden="1" x14ac:dyDescent="0.3">
      <c r="A31" s="37"/>
      <c r="B31" s="33"/>
      <c r="C31" s="33"/>
      <c r="D31" s="33"/>
      <c r="E31" s="33"/>
      <c r="F31" s="33"/>
      <c r="G31" s="33"/>
      <c r="H31" s="33"/>
      <c r="I31" s="33"/>
      <c r="J31" s="33"/>
      <c r="K31" s="33"/>
      <c r="L31" s="33"/>
      <c r="M31" s="33"/>
      <c r="N31" s="33"/>
    </row>
    <row r="32" spans="1:35" hidden="1" x14ac:dyDescent="0.3">
      <c r="A32" s="37"/>
      <c r="B32" s="33"/>
      <c r="C32" s="33"/>
      <c r="D32" s="33"/>
      <c r="E32" s="33"/>
      <c r="F32" s="33"/>
      <c r="G32" s="33"/>
      <c r="H32" s="33"/>
      <c r="I32" s="33"/>
      <c r="J32" s="33"/>
      <c r="K32" s="33"/>
      <c r="L32" s="33"/>
      <c r="M32" s="33"/>
      <c r="N32" s="33"/>
    </row>
    <row r="33" spans="1:14" hidden="1" x14ac:dyDescent="0.3">
      <c r="A33" s="37"/>
      <c r="B33" s="33"/>
      <c r="C33" s="33"/>
      <c r="D33" s="33"/>
      <c r="E33" s="33"/>
      <c r="F33" s="33"/>
      <c r="G33" s="33"/>
      <c r="H33" s="33"/>
      <c r="I33" s="33"/>
      <c r="J33" s="33"/>
      <c r="K33" s="33"/>
      <c r="L33" s="33"/>
      <c r="M33" s="33"/>
      <c r="N33" s="33"/>
    </row>
    <row r="34" spans="1:14" hidden="1" x14ac:dyDescent="0.3">
      <c r="A34" s="37"/>
      <c r="B34" s="33"/>
      <c r="C34" s="33"/>
      <c r="D34" s="33"/>
      <c r="E34" s="33"/>
      <c r="F34" s="33"/>
      <c r="G34" s="33"/>
      <c r="H34" s="33"/>
      <c r="I34" s="33"/>
      <c r="J34" s="33"/>
      <c r="K34" s="33"/>
      <c r="L34" s="33"/>
      <c r="M34" s="33"/>
      <c r="N34" s="33"/>
    </row>
    <row r="35" spans="1:14" hidden="1" x14ac:dyDescent="0.3">
      <c r="A35" s="37"/>
      <c r="B35" s="33"/>
      <c r="C35" s="33"/>
      <c r="D35" s="33"/>
      <c r="E35" s="33"/>
      <c r="F35" s="33"/>
      <c r="G35" s="33"/>
      <c r="H35" s="33"/>
      <c r="I35" s="33"/>
      <c r="J35" s="33"/>
      <c r="K35" s="33"/>
      <c r="L35" s="33"/>
      <c r="M35" s="33"/>
      <c r="N35" s="33"/>
    </row>
    <row r="36" spans="1:14" hidden="1" x14ac:dyDescent="0.3">
      <c r="A36" s="37"/>
      <c r="B36" s="33"/>
      <c r="C36" s="33"/>
      <c r="D36" s="33"/>
      <c r="E36" s="33"/>
      <c r="F36" s="33"/>
      <c r="G36" s="33"/>
      <c r="H36" s="33"/>
      <c r="I36" s="33"/>
      <c r="J36" s="33"/>
      <c r="K36" s="33"/>
      <c r="L36" s="33"/>
      <c r="M36" s="33"/>
      <c r="N36" s="33"/>
    </row>
    <row r="37" spans="1:14" hidden="1" x14ac:dyDescent="0.3">
      <c r="A37" s="37"/>
      <c r="B37" s="33"/>
      <c r="C37" s="33"/>
      <c r="D37" s="33"/>
      <c r="E37" s="33"/>
      <c r="F37" s="33"/>
      <c r="G37" s="33"/>
      <c r="H37" s="33"/>
      <c r="I37" s="33"/>
      <c r="J37" s="33"/>
      <c r="K37" s="33"/>
      <c r="L37" s="33"/>
      <c r="M37" s="33"/>
      <c r="N37" s="33"/>
    </row>
    <row r="38" spans="1:14" hidden="1" x14ac:dyDescent="0.3">
      <c r="A38" s="37"/>
      <c r="B38" s="33"/>
      <c r="C38" s="33"/>
      <c r="D38" s="33"/>
      <c r="E38" s="33"/>
      <c r="F38" s="33"/>
      <c r="G38" s="33"/>
      <c r="H38" s="33"/>
      <c r="I38" s="33"/>
      <c r="J38" s="33"/>
      <c r="K38" s="33"/>
      <c r="L38" s="33"/>
      <c r="M38" s="33"/>
      <c r="N38" s="33"/>
    </row>
    <row r="39" spans="1:14" hidden="1" x14ac:dyDescent="0.3">
      <c r="A39" s="37"/>
      <c r="B39" s="33"/>
      <c r="C39" s="33"/>
      <c r="D39" s="33"/>
      <c r="E39" s="33"/>
      <c r="F39" s="33"/>
      <c r="G39" s="33"/>
      <c r="H39" s="33"/>
      <c r="I39" s="33"/>
      <c r="J39" s="33"/>
      <c r="K39" s="33"/>
      <c r="L39" s="33"/>
      <c r="M39" s="33"/>
      <c r="N39" s="33"/>
    </row>
    <row r="40" spans="1:14" hidden="1" x14ac:dyDescent="0.3">
      <c r="A40" s="37"/>
      <c r="B40" s="33"/>
      <c r="C40" s="33"/>
      <c r="D40" s="33"/>
      <c r="E40" s="33"/>
      <c r="F40" s="33"/>
      <c r="G40" s="33"/>
      <c r="H40" s="33"/>
      <c r="I40" s="33"/>
      <c r="J40" s="33"/>
      <c r="K40" s="33"/>
      <c r="L40" s="33"/>
      <c r="M40" s="33"/>
      <c r="N40" s="33"/>
    </row>
    <row r="41" spans="1:14" hidden="1" x14ac:dyDescent="0.3">
      <c r="A41" s="37"/>
      <c r="B41" s="33"/>
      <c r="C41" s="33"/>
      <c r="D41" s="33"/>
      <c r="E41" s="33"/>
      <c r="F41" s="33"/>
      <c r="G41" s="33"/>
      <c r="H41" s="33"/>
      <c r="I41" s="33"/>
      <c r="J41" s="33"/>
      <c r="K41" s="33"/>
      <c r="L41" s="33"/>
      <c r="M41" s="33"/>
      <c r="N41" s="33"/>
    </row>
    <row r="42" spans="1:14" hidden="1" x14ac:dyDescent="0.3">
      <c r="A42" s="37"/>
      <c r="B42" s="33"/>
      <c r="C42" s="33"/>
      <c r="D42" s="33"/>
      <c r="E42" s="33"/>
      <c r="F42" s="33"/>
      <c r="G42" s="33"/>
      <c r="H42" s="33"/>
      <c r="I42" s="33"/>
      <c r="J42" s="33"/>
      <c r="K42" s="33"/>
      <c r="L42" s="33"/>
      <c r="M42" s="33"/>
      <c r="N42" s="33"/>
    </row>
    <row r="43" spans="1:14" hidden="1" x14ac:dyDescent="0.3">
      <c r="A43" s="37"/>
      <c r="B43" s="33"/>
      <c r="C43" s="33"/>
      <c r="D43" s="33"/>
      <c r="E43" s="33"/>
      <c r="F43" s="33"/>
      <c r="G43" s="33"/>
      <c r="H43" s="33"/>
      <c r="I43" s="33"/>
      <c r="J43" s="33"/>
      <c r="K43" s="33"/>
      <c r="L43" s="33"/>
      <c r="M43" s="33"/>
      <c r="N43" s="33"/>
    </row>
    <row r="44" spans="1:14" hidden="1" x14ac:dyDescent="0.3">
      <c r="A44" s="37"/>
      <c r="B44" s="33"/>
      <c r="C44" s="33"/>
      <c r="D44" s="33"/>
      <c r="E44" s="33"/>
      <c r="F44" s="33"/>
      <c r="G44" s="33"/>
      <c r="H44" s="33"/>
      <c r="I44" s="33"/>
      <c r="J44" s="33"/>
      <c r="K44" s="33"/>
      <c r="L44" s="33"/>
      <c r="M44" s="33"/>
      <c r="N44" s="33"/>
    </row>
    <row r="45" spans="1:14" hidden="1" x14ac:dyDescent="0.3">
      <c r="A45" s="37"/>
      <c r="B45" s="33"/>
      <c r="C45" s="33"/>
      <c r="D45" s="33"/>
      <c r="E45" s="33"/>
      <c r="F45" s="33"/>
      <c r="G45" s="33"/>
      <c r="H45" s="33"/>
      <c r="I45" s="33"/>
      <c r="J45" s="33"/>
      <c r="K45" s="33"/>
      <c r="L45" s="33"/>
      <c r="M45" s="33"/>
      <c r="N45" s="33"/>
    </row>
    <row r="46" spans="1:14" hidden="1" x14ac:dyDescent="0.3">
      <c r="A46" s="37"/>
      <c r="B46" s="33"/>
      <c r="C46" s="33"/>
      <c r="D46" s="33"/>
      <c r="E46" s="33"/>
      <c r="F46" s="33"/>
      <c r="G46" s="33"/>
      <c r="H46" s="33"/>
      <c r="I46" s="33"/>
      <c r="J46" s="33"/>
      <c r="K46" s="33"/>
      <c r="L46" s="33"/>
      <c r="M46" s="33"/>
      <c r="N46" s="33"/>
    </row>
    <row r="47" spans="1:14" hidden="1" x14ac:dyDescent="0.3">
      <c r="A47" s="37"/>
      <c r="B47" s="33"/>
      <c r="C47" s="33"/>
      <c r="D47" s="33"/>
      <c r="E47" s="33"/>
      <c r="F47" s="33"/>
      <c r="G47" s="33"/>
      <c r="H47" s="33"/>
      <c r="I47" s="33"/>
      <c r="J47" s="33"/>
      <c r="K47" s="33"/>
      <c r="L47" s="33"/>
      <c r="M47" s="33"/>
      <c r="N47" s="33"/>
    </row>
    <row r="48" spans="1:14" hidden="1" x14ac:dyDescent="0.3">
      <c r="A48" s="37"/>
      <c r="B48" s="33"/>
      <c r="C48" s="33"/>
      <c r="D48" s="33"/>
      <c r="E48" s="33"/>
      <c r="F48" s="33"/>
      <c r="G48" s="33"/>
      <c r="H48" s="33"/>
      <c r="I48" s="33"/>
      <c r="J48" s="33"/>
      <c r="K48" s="33"/>
      <c r="L48" s="33"/>
      <c r="M48" s="33"/>
      <c r="N48" s="33"/>
    </row>
    <row r="49" spans="1:14" hidden="1" x14ac:dyDescent="0.3">
      <c r="A49" s="37"/>
      <c r="B49" s="33"/>
      <c r="C49" s="33"/>
      <c r="D49" s="33"/>
      <c r="E49" s="33"/>
      <c r="F49" s="33"/>
      <c r="G49" s="33"/>
      <c r="H49" s="33"/>
      <c r="I49" s="33"/>
      <c r="J49" s="33"/>
      <c r="K49" s="33"/>
      <c r="L49" s="33"/>
      <c r="M49" s="33"/>
      <c r="N49" s="33"/>
    </row>
    <row r="50" spans="1:14" hidden="1" x14ac:dyDescent="0.3">
      <c r="A50" s="37"/>
      <c r="B50" s="33"/>
      <c r="C50" s="33"/>
      <c r="D50" s="33"/>
      <c r="E50" s="33"/>
      <c r="F50" s="33"/>
      <c r="G50" s="33"/>
      <c r="H50" s="33"/>
      <c r="I50" s="33"/>
      <c r="J50" s="33"/>
      <c r="K50" s="33"/>
      <c r="L50" s="33"/>
      <c r="M50" s="33"/>
      <c r="N50" s="33"/>
    </row>
    <row r="51" spans="1:14" hidden="1" x14ac:dyDescent="0.3">
      <c r="A51" s="37"/>
      <c r="B51" s="33"/>
      <c r="C51" s="33"/>
      <c r="D51" s="33"/>
      <c r="E51" s="33"/>
      <c r="F51" s="33"/>
      <c r="G51" s="33"/>
      <c r="H51" s="33"/>
      <c r="I51" s="33"/>
      <c r="J51" s="33"/>
      <c r="K51" s="33"/>
      <c r="L51" s="33"/>
      <c r="M51" s="33"/>
      <c r="N51" s="33"/>
    </row>
    <row r="52" spans="1:14" hidden="1" x14ac:dyDescent="0.3">
      <c r="A52" s="37"/>
      <c r="B52" s="33"/>
      <c r="C52" s="33"/>
      <c r="D52" s="33"/>
      <c r="E52" s="33"/>
      <c r="F52" s="33"/>
      <c r="G52" s="33"/>
      <c r="H52" s="33"/>
      <c r="I52" s="33"/>
      <c r="J52" s="33"/>
      <c r="K52" s="33"/>
      <c r="L52" s="33"/>
      <c r="M52" s="33"/>
      <c r="N52" s="33"/>
    </row>
    <row r="53" spans="1:14" hidden="1" x14ac:dyDescent="0.3">
      <c r="A53" s="37"/>
      <c r="B53" s="33"/>
      <c r="C53" s="33"/>
      <c r="D53" s="33"/>
      <c r="E53" s="33"/>
      <c r="F53" s="33"/>
      <c r="G53" s="33"/>
      <c r="H53" s="33"/>
      <c r="I53" s="33"/>
      <c r="J53" s="33"/>
      <c r="K53" s="33"/>
      <c r="L53" s="33"/>
      <c r="M53" s="33"/>
      <c r="N53" s="33"/>
    </row>
    <row r="54" spans="1:14" hidden="1" x14ac:dyDescent="0.3">
      <c r="A54" s="37"/>
      <c r="B54" s="33"/>
      <c r="C54" s="33"/>
      <c r="D54" s="33"/>
      <c r="E54" s="33"/>
      <c r="F54" s="33"/>
      <c r="G54" s="33"/>
      <c r="H54" s="33"/>
      <c r="I54" s="33"/>
      <c r="J54" s="33"/>
      <c r="K54" s="33"/>
      <c r="L54" s="33"/>
      <c r="M54" s="33"/>
      <c r="N54" s="33"/>
    </row>
    <row r="55" spans="1:14" hidden="1" x14ac:dyDescent="0.3">
      <c r="A55" s="37"/>
      <c r="B55" s="33"/>
      <c r="C55" s="33"/>
      <c r="D55" s="33"/>
      <c r="E55" s="33"/>
      <c r="F55" s="33"/>
      <c r="G55" s="33"/>
      <c r="H55" s="33"/>
      <c r="I55" s="33"/>
      <c r="J55" s="33"/>
      <c r="K55" s="33"/>
      <c r="L55" s="33"/>
      <c r="M55" s="33"/>
      <c r="N55" s="33"/>
    </row>
    <row r="56" spans="1:14" hidden="1" x14ac:dyDescent="0.3">
      <c r="A56" s="37"/>
      <c r="B56" s="33"/>
      <c r="C56" s="33"/>
      <c r="D56" s="33"/>
      <c r="E56" s="33"/>
      <c r="F56" s="33"/>
      <c r="G56" s="33"/>
      <c r="H56" s="33"/>
      <c r="I56" s="33"/>
      <c r="J56" s="33"/>
      <c r="K56" s="33"/>
      <c r="L56" s="33"/>
      <c r="M56" s="33"/>
      <c r="N56" s="33"/>
    </row>
    <row r="57" spans="1:14" hidden="1" x14ac:dyDescent="0.3">
      <c r="A57" s="37"/>
      <c r="B57" s="33"/>
      <c r="C57" s="33"/>
      <c r="D57" s="33"/>
      <c r="E57" s="33"/>
      <c r="F57" s="33"/>
      <c r="G57" s="33"/>
      <c r="H57" s="33"/>
      <c r="I57" s="33"/>
      <c r="J57" s="33"/>
      <c r="K57" s="33"/>
      <c r="L57" s="33"/>
      <c r="M57" s="33"/>
      <c r="N57" s="33"/>
    </row>
    <row r="58" spans="1:14" hidden="1" x14ac:dyDescent="0.3">
      <c r="A58" s="37"/>
      <c r="B58" s="33"/>
      <c r="C58" s="33"/>
      <c r="D58" s="33"/>
      <c r="E58" s="33"/>
      <c r="F58" s="33"/>
      <c r="G58" s="33"/>
      <c r="H58" s="33"/>
      <c r="I58" s="33"/>
      <c r="J58" s="33"/>
      <c r="K58" s="33"/>
      <c r="L58" s="33"/>
      <c r="M58" s="33"/>
      <c r="N58" s="33"/>
    </row>
    <row r="59" spans="1:14" hidden="1" x14ac:dyDescent="0.3">
      <c r="A59" s="37"/>
      <c r="B59" s="33"/>
      <c r="C59" s="33"/>
      <c r="D59" s="33"/>
      <c r="E59" s="33"/>
      <c r="F59" s="33"/>
      <c r="G59" s="33"/>
      <c r="H59" s="33"/>
      <c r="I59" s="33"/>
      <c r="J59" s="33"/>
      <c r="K59" s="33"/>
      <c r="L59" s="33"/>
      <c r="M59" s="33"/>
      <c r="N59" s="33"/>
    </row>
    <row r="60" spans="1:14" hidden="1" x14ac:dyDescent="0.3">
      <c r="A60" s="37"/>
      <c r="B60" s="33"/>
      <c r="C60" s="33"/>
      <c r="D60" s="33"/>
      <c r="E60" s="33"/>
      <c r="F60" s="33"/>
      <c r="G60" s="33"/>
      <c r="H60" s="33"/>
      <c r="I60" s="33"/>
      <c r="J60" s="33"/>
      <c r="K60" s="33"/>
      <c r="L60" s="33"/>
      <c r="M60" s="33"/>
      <c r="N60" s="33"/>
    </row>
    <row r="61" spans="1:14" hidden="1" x14ac:dyDescent="0.3">
      <c r="A61" s="37"/>
      <c r="B61" s="33"/>
      <c r="C61" s="33"/>
      <c r="D61" s="33"/>
      <c r="E61" s="33"/>
      <c r="F61" s="33"/>
      <c r="G61" s="33"/>
      <c r="H61" s="33"/>
      <c r="I61" s="33"/>
      <c r="J61" s="33"/>
      <c r="K61" s="33"/>
      <c r="L61" s="33"/>
      <c r="M61" s="33"/>
      <c r="N61" s="33"/>
    </row>
    <row r="62" spans="1:14" hidden="1" x14ac:dyDescent="0.3">
      <c r="A62" s="37"/>
      <c r="B62" s="33"/>
      <c r="C62" s="33"/>
      <c r="D62" s="33"/>
      <c r="E62" s="33"/>
      <c r="F62" s="33"/>
      <c r="G62" s="33"/>
      <c r="H62" s="33"/>
      <c r="I62" s="33"/>
      <c r="J62" s="33"/>
      <c r="K62" s="33"/>
      <c r="L62" s="33"/>
      <c r="M62" s="33"/>
      <c r="N62" s="33"/>
    </row>
    <row r="63" spans="1:14" hidden="1" x14ac:dyDescent="0.3">
      <c r="A63" s="37"/>
      <c r="B63" s="33"/>
      <c r="C63" s="33"/>
      <c r="D63" s="33"/>
      <c r="E63" s="33"/>
      <c r="F63" s="33"/>
      <c r="G63" s="33"/>
      <c r="H63" s="33"/>
      <c r="I63" s="33"/>
      <c r="J63" s="33"/>
      <c r="K63" s="33"/>
      <c r="L63" s="33"/>
      <c r="M63" s="33"/>
      <c r="N63" s="33"/>
    </row>
    <row r="64" spans="1:14" hidden="1" x14ac:dyDescent="0.3">
      <c r="A64" s="37"/>
      <c r="B64" s="33"/>
      <c r="C64" s="33"/>
      <c r="D64" s="33"/>
      <c r="E64" s="33"/>
      <c r="F64" s="33"/>
      <c r="G64" s="33"/>
      <c r="H64" s="33"/>
      <c r="I64" s="33"/>
      <c r="J64" s="33"/>
      <c r="K64" s="33"/>
      <c r="L64" s="33"/>
      <c r="M64" s="33"/>
      <c r="N64" s="33"/>
    </row>
    <row r="65" spans="1:14" hidden="1" x14ac:dyDescent="0.3">
      <c r="A65" s="37"/>
      <c r="B65" s="33"/>
      <c r="C65" s="33"/>
      <c r="D65" s="33"/>
      <c r="E65" s="33"/>
      <c r="F65" s="33"/>
      <c r="G65" s="33"/>
      <c r="H65" s="33"/>
      <c r="I65" s="33"/>
      <c r="J65" s="33"/>
      <c r="K65" s="33"/>
      <c r="L65" s="33"/>
      <c r="M65" s="33"/>
      <c r="N65" s="33"/>
    </row>
    <row r="66" spans="1:14" hidden="1" x14ac:dyDescent="0.3">
      <c r="A66" s="37"/>
      <c r="B66" s="33"/>
      <c r="C66" s="33"/>
      <c r="D66" s="33"/>
      <c r="E66" s="33"/>
      <c r="F66" s="33"/>
      <c r="G66" s="33"/>
      <c r="H66" s="33"/>
      <c r="I66" s="33"/>
      <c r="J66" s="33"/>
      <c r="K66" s="33"/>
      <c r="L66" s="33"/>
      <c r="M66" s="33"/>
      <c r="N66" s="33"/>
    </row>
    <row r="67" spans="1:14" hidden="1" x14ac:dyDescent="0.3">
      <c r="A67" s="37"/>
      <c r="B67" s="33"/>
      <c r="C67" s="33"/>
      <c r="D67" s="33"/>
      <c r="E67" s="33"/>
      <c r="F67" s="33"/>
      <c r="G67" s="33"/>
      <c r="H67" s="33"/>
      <c r="I67" s="33"/>
      <c r="J67" s="33"/>
      <c r="K67" s="33"/>
      <c r="L67" s="33"/>
      <c r="M67" s="33"/>
      <c r="N67" s="33"/>
    </row>
    <row r="68" spans="1:14" hidden="1" x14ac:dyDescent="0.3">
      <c r="A68" s="37"/>
      <c r="B68" s="33"/>
      <c r="C68" s="33"/>
      <c r="D68" s="33"/>
      <c r="E68" s="33"/>
      <c r="F68" s="33"/>
      <c r="G68" s="33"/>
      <c r="H68" s="33"/>
      <c r="I68" s="33"/>
      <c r="J68" s="33"/>
      <c r="K68" s="33"/>
      <c r="L68" s="33"/>
      <c r="M68" s="33"/>
      <c r="N68" s="33"/>
    </row>
    <row r="69" spans="1:14" hidden="1" x14ac:dyDescent="0.3">
      <c r="A69" s="37"/>
      <c r="B69" s="33"/>
      <c r="C69" s="33"/>
      <c r="D69" s="33"/>
      <c r="E69" s="33"/>
      <c r="F69" s="33"/>
      <c r="G69" s="33"/>
      <c r="H69" s="33"/>
      <c r="I69" s="33"/>
      <c r="J69" s="33"/>
      <c r="K69" s="33"/>
      <c r="L69" s="33"/>
      <c r="M69" s="33"/>
      <c r="N69" s="33"/>
    </row>
    <row r="70" spans="1:14" hidden="1" x14ac:dyDescent="0.3">
      <c r="A70" s="37"/>
      <c r="B70" s="33"/>
      <c r="C70" s="33"/>
      <c r="D70" s="33"/>
      <c r="E70" s="33"/>
      <c r="F70" s="33"/>
      <c r="G70" s="33"/>
      <c r="H70" s="33"/>
      <c r="I70" s="33"/>
      <c r="J70" s="33"/>
      <c r="K70" s="33"/>
      <c r="L70" s="33"/>
      <c r="M70" s="33"/>
      <c r="N70" s="33"/>
    </row>
    <row r="71" spans="1:14" hidden="1" x14ac:dyDescent="0.3">
      <c r="A71" s="37"/>
      <c r="B71" s="33"/>
      <c r="C71" s="33"/>
      <c r="D71" s="33"/>
      <c r="E71" s="33"/>
      <c r="F71" s="33"/>
      <c r="G71" s="33"/>
      <c r="H71" s="33"/>
      <c r="I71" s="33"/>
      <c r="J71" s="33"/>
      <c r="K71" s="33"/>
      <c r="L71" s="33"/>
      <c r="M71" s="33"/>
      <c r="N71" s="33"/>
    </row>
    <row r="72" spans="1:14" hidden="1" x14ac:dyDescent="0.3">
      <c r="A72" s="37"/>
      <c r="B72" s="33"/>
      <c r="C72" s="33"/>
      <c r="D72" s="33"/>
      <c r="E72" s="33"/>
      <c r="F72" s="33"/>
      <c r="G72" s="33"/>
      <c r="H72" s="33"/>
      <c r="I72" s="33"/>
      <c r="J72" s="33"/>
      <c r="K72" s="33"/>
      <c r="L72" s="33"/>
      <c r="M72" s="33"/>
      <c r="N72" s="33"/>
    </row>
    <row r="73" spans="1:14" hidden="1" x14ac:dyDescent="0.3">
      <c r="A73" s="37"/>
      <c r="B73" s="33"/>
      <c r="C73" s="33"/>
      <c r="D73" s="33"/>
      <c r="E73" s="33"/>
      <c r="F73" s="33"/>
      <c r="G73" s="33"/>
      <c r="H73" s="33"/>
      <c r="I73" s="33"/>
      <c r="J73" s="33"/>
      <c r="K73" s="33"/>
      <c r="L73" s="33"/>
      <c r="M73" s="33"/>
      <c r="N73" s="33"/>
    </row>
    <row r="74" spans="1:14" hidden="1" x14ac:dyDescent="0.3">
      <c r="A74" s="37"/>
      <c r="B74" s="33"/>
      <c r="C74" s="33"/>
      <c r="D74" s="33"/>
      <c r="E74" s="33"/>
      <c r="F74" s="33"/>
      <c r="G74" s="33"/>
      <c r="H74" s="33"/>
      <c r="I74" s="33"/>
      <c r="J74" s="33"/>
      <c r="K74" s="33"/>
      <c r="L74" s="33"/>
      <c r="M74" s="33"/>
      <c r="N74" s="33"/>
    </row>
    <row r="75" spans="1:14" hidden="1" x14ac:dyDescent="0.3">
      <c r="A75" s="37"/>
      <c r="B75" s="33"/>
      <c r="C75" s="33"/>
      <c r="D75" s="33"/>
      <c r="E75" s="33"/>
      <c r="F75" s="33"/>
      <c r="G75" s="33"/>
      <c r="H75" s="33"/>
      <c r="I75" s="33"/>
      <c r="J75" s="33"/>
      <c r="K75" s="33"/>
      <c r="L75" s="33"/>
      <c r="M75" s="33"/>
      <c r="N75" s="33"/>
    </row>
    <row r="76" spans="1:14" hidden="1" x14ac:dyDescent="0.3">
      <c r="A76" s="37"/>
      <c r="B76" s="33"/>
      <c r="C76" s="33"/>
      <c r="D76" s="33"/>
      <c r="E76" s="33"/>
      <c r="F76" s="33"/>
      <c r="G76" s="33"/>
      <c r="H76" s="33"/>
      <c r="I76" s="33"/>
      <c r="J76" s="33"/>
      <c r="K76" s="33"/>
      <c r="L76" s="33"/>
      <c r="M76" s="33"/>
      <c r="N76" s="33"/>
    </row>
    <row r="77" spans="1:14" hidden="1" x14ac:dyDescent="0.3">
      <c r="A77" s="37"/>
      <c r="B77" s="33"/>
      <c r="C77" s="33"/>
      <c r="D77" s="33"/>
      <c r="E77" s="33"/>
      <c r="F77" s="33"/>
      <c r="G77" s="33"/>
      <c r="H77" s="33"/>
      <c r="I77" s="33"/>
      <c r="J77" s="33"/>
      <c r="K77" s="33"/>
      <c r="L77" s="33"/>
      <c r="M77" s="33"/>
      <c r="N77" s="33"/>
    </row>
    <row r="78" spans="1:14" hidden="1" x14ac:dyDescent="0.3">
      <c r="A78" s="37"/>
      <c r="B78" s="33"/>
      <c r="C78" s="33"/>
      <c r="D78" s="33"/>
      <c r="E78" s="33"/>
      <c r="F78" s="33"/>
      <c r="G78" s="33"/>
      <c r="H78" s="33"/>
      <c r="I78" s="33"/>
      <c r="J78" s="33"/>
      <c r="K78" s="33"/>
      <c r="L78" s="33"/>
      <c r="M78" s="33"/>
      <c r="N78" s="33"/>
    </row>
    <row r="79" spans="1:14" hidden="1" x14ac:dyDescent="0.3">
      <c r="A79" s="37"/>
      <c r="B79" s="33"/>
      <c r="C79" s="33"/>
      <c r="D79" s="33"/>
      <c r="E79" s="33"/>
      <c r="F79" s="33"/>
      <c r="G79" s="33"/>
      <c r="H79" s="33"/>
      <c r="I79" s="33"/>
      <c r="J79" s="33"/>
      <c r="K79" s="33"/>
      <c r="L79" s="33"/>
      <c r="M79" s="33"/>
      <c r="N79" s="33"/>
    </row>
    <row r="80" spans="1:14" hidden="1" x14ac:dyDescent="0.3">
      <c r="A80" s="37"/>
      <c r="B80" s="33"/>
      <c r="C80" s="33"/>
      <c r="D80" s="33"/>
      <c r="E80" s="33"/>
      <c r="F80" s="33"/>
      <c r="G80" s="33"/>
      <c r="H80" s="33"/>
      <c r="I80" s="33"/>
      <c r="J80" s="33"/>
      <c r="K80" s="33"/>
      <c r="L80" s="33"/>
      <c r="M80" s="33"/>
      <c r="N80" s="33"/>
    </row>
    <row r="81" spans="1:14" hidden="1" x14ac:dyDescent="0.3">
      <c r="A81" s="37"/>
      <c r="B81" s="33"/>
      <c r="C81" s="33"/>
      <c r="D81" s="33"/>
      <c r="E81" s="33"/>
      <c r="F81" s="33"/>
      <c r="G81" s="33"/>
      <c r="H81" s="33"/>
      <c r="I81" s="33"/>
      <c r="J81" s="33"/>
      <c r="K81" s="33"/>
      <c r="L81" s="33"/>
      <c r="M81" s="33"/>
      <c r="N81" s="33"/>
    </row>
    <row r="82" spans="1:14" hidden="1" x14ac:dyDescent="0.3">
      <c r="A82" s="37"/>
      <c r="B82" s="33"/>
      <c r="C82" s="33"/>
      <c r="D82" s="33"/>
      <c r="E82" s="33"/>
      <c r="F82" s="33"/>
      <c r="G82" s="33"/>
      <c r="H82" s="33"/>
      <c r="I82" s="33"/>
      <c r="J82" s="33"/>
      <c r="K82" s="33"/>
      <c r="L82" s="33"/>
      <c r="M82" s="33"/>
      <c r="N82" s="33"/>
    </row>
    <row r="83" spans="1:14" hidden="1" x14ac:dyDescent="0.3">
      <c r="A83" s="37"/>
      <c r="B83" s="33"/>
      <c r="C83" s="33"/>
      <c r="D83" s="33"/>
      <c r="E83" s="33"/>
      <c r="F83" s="33"/>
      <c r="G83" s="33"/>
      <c r="H83" s="33"/>
      <c r="I83" s="33"/>
      <c r="J83" s="33"/>
      <c r="K83" s="33"/>
      <c r="L83" s="33"/>
      <c r="M83" s="33"/>
      <c r="N83" s="33"/>
    </row>
    <row r="84" spans="1:14" hidden="1" x14ac:dyDescent="0.3">
      <c r="A84" s="37"/>
      <c r="B84" s="33"/>
      <c r="C84" s="33"/>
      <c r="D84" s="33"/>
      <c r="E84" s="33"/>
      <c r="F84" s="33"/>
      <c r="G84" s="33"/>
      <c r="H84" s="33"/>
      <c r="I84" s="33"/>
      <c r="J84" s="33"/>
      <c r="K84" s="33"/>
      <c r="L84" s="33"/>
      <c r="M84" s="33"/>
      <c r="N84" s="33"/>
    </row>
    <row r="85" spans="1:14" hidden="1" x14ac:dyDescent="0.3">
      <c r="A85" s="37"/>
      <c r="B85" s="33"/>
      <c r="C85" s="33"/>
      <c r="D85" s="33"/>
      <c r="E85" s="33"/>
      <c r="F85" s="33"/>
      <c r="G85" s="33"/>
      <c r="H85" s="33"/>
      <c r="I85" s="33"/>
      <c r="J85" s="33"/>
      <c r="K85" s="33"/>
      <c r="L85" s="33"/>
      <c r="M85" s="33"/>
      <c r="N85" s="33"/>
    </row>
    <row r="86" spans="1:14" hidden="1" x14ac:dyDescent="0.3">
      <c r="A86" s="37"/>
      <c r="B86" s="33"/>
      <c r="C86" s="33"/>
      <c r="D86" s="33"/>
      <c r="E86" s="33"/>
      <c r="F86" s="33"/>
      <c r="G86" s="33"/>
      <c r="H86" s="33"/>
      <c r="I86" s="33"/>
      <c r="J86" s="33"/>
      <c r="K86" s="33"/>
      <c r="L86" s="33"/>
      <c r="M86" s="33"/>
      <c r="N86" s="33"/>
    </row>
    <row r="87" spans="1:14" hidden="1" x14ac:dyDescent="0.3">
      <c r="A87" s="37"/>
      <c r="B87" s="33"/>
      <c r="C87" s="33"/>
      <c r="D87" s="33"/>
      <c r="E87" s="33"/>
      <c r="F87" s="33"/>
      <c r="G87" s="33"/>
      <c r="H87" s="33"/>
      <c r="I87" s="33"/>
      <c r="J87" s="33"/>
      <c r="K87" s="33"/>
      <c r="L87" s="33"/>
      <c r="M87" s="33"/>
      <c r="N87" s="33"/>
    </row>
    <row r="88" spans="1:14" hidden="1" x14ac:dyDescent="0.3">
      <c r="A88" s="37"/>
      <c r="B88" s="33"/>
      <c r="C88" s="33"/>
      <c r="D88" s="33"/>
      <c r="E88" s="33"/>
      <c r="F88" s="33"/>
      <c r="G88" s="33"/>
      <c r="H88" s="33"/>
      <c r="I88" s="33"/>
      <c r="J88" s="33"/>
      <c r="K88" s="33"/>
      <c r="L88" s="33"/>
      <c r="M88" s="33"/>
      <c r="N88" s="33"/>
    </row>
    <row r="89" spans="1:14" hidden="1" x14ac:dyDescent="0.3">
      <c r="A89" s="37"/>
      <c r="B89" s="33"/>
      <c r="C89" s="33"/>
      <c r="D89" s="33"/>
      <c r="E89" s="33"/>
      <c r="F89" s="33"/>
      <c r="G89" s="33"/>
      <c r="H89" s="33"/>
      <c r="I89" s="33"/>
      <c r="J89" s="33"/>
      <c r="K89" s="33"/>
      <c r="L89" s="33"/>
      <c r="M89" s="33"/>
      <c r="N89" s="33"/>
    </row>
    <row r="90" spans="1:14" hidden="1" x14ac:dyDescent="0.3">
      <c r="A90" s="37"/>
      <c r="B90" s="33"/>
      <c r="C90" s="33"/>
      <c r="D90" s="33"/>
      <c r="E90" s="33"/>
      <c r="F90" s="33"/>
      <c r="G90" s="33"/>
      <c r="H90" s="33"/>
      <c r="I90" s="33"/>
      <c r="J90" s="33"/>
      <c r="K90" s="33"/>
      <c r="L90" s="33"/>
      <c r="M90" s="33"/>
      <c r="N90" s="33"/>
    </row>
    <row r="91" spans="1:14" hidden="1" x14ac:dyDescent="0.3">
      <c r="A91" s="37"/>
      <c r="B91" s="33"/>
      <c r="C91" s="33"/>
      <c r="D91" s="33"/>
      <c r="E91" s="33"/>
      <c r="F91" s="33"/>
      <c r="G91" s="33"/>
      <c r="H91" s="33"/>
      <c r="I91" s="33"/>
      <c r="J91" s="33"/>
      <c r="K91" s="33"/>
      <c r="L91" s="33"/>
      <c r="M91" s="33"/>
      <c r="N91" s="33"/>
    </row>
    <row r="92" spans="1:14" hidden="1" x14ac:dyDescent="0.3">
      <c r="A92" s="37"/>
      <c r="B92" s="33"/>
      <c r="C92" s="33"/>
      <c r="D92" s="33"/>
      <c r="E92" s="33"/>
      <c r="F92" s="33"/>
      <c r="G92" s="33"/>
      <c r="H92" s="33"/>
      <c r="I92" s="33"/>
      <c r="J92" s="33"/>
      <c r="K92" s="33"/>
      <c r="L92" s="33"/>
      <c r="M92" s="33"/>
      <c r="N92" s="33"/>
    </row>
    <row r="93" spans="1:14" hidden="1" x14ac:dyDescent="0.3">
      <c r="A93" s="37"/>
      <c r="B93" s="33"/>
      <c r="C93" s="33"/>
      <c r="D93" s="33"/>
      <c r="E93" s="33"/>
      <c r="F93" s="33"/>
      <c r="G93" s="33"/>
      <c r="H93" s="33"/>
      <c r="I93" s="33"/>
      <c r="J93" s="33"/>
      <c r="K93" s="33"/>
      <c r="L93" s="33"/>
      <c r="M93" s="33"/>
      <c r="N93" s="33"/>
    </row>
    <row r="94" spans="1:14" hidden="1" x14ac:dyDescent="0.3">
      <c r="A94" s="37"/>
      <c r="B94" s="33"/>
      <c r="C94" s="33"/>
      <c r="D94" s="33"/>
      <c r="E94" s="33"/>
      <c r="F94" s="33"/>
      <c r="G94" s="33"/>
      <c r="H94" s="33"/>
      <c r="I94" s="33"/>
      <c r="J94" s="33"/>
      <c r="K94" s="33"/>
      <c r="L94" s="33"/>
      <c r="M94" s="33"/>
      <c r="N94" s="33"/>
    </row>
    <row r="95" spans="1:14" hidden="1" x14ac:dyDescent="0.3">
      <c r="A95" s="37"/>
      <c r="B95" s="33"/>
      <c r="C95" s="33"/>
      <c r="D95" s="33"/>
      <c r="E95" s="33"/>
      <c r="F95" s="33"/>
      <c r="G95" s="33"/>
      <c r="H95" s="33"/>
      <c r="I95" s="33"/>
      <c r="J95" s="33"/>
      <c r="K95" s="33"/>
      <c r="L95" s="33"/>
      <c r="M95" s="33"/>
      <c r="N95" s="33"/>
    </row>
    <row r="96" spans="1:14" hidden="1" x14ac:dyDescent="0.3">
      <c r="A96" s="37"/>
      <c r="B96" s="33"/>
      <c r="C96" s="33"/>
      <c r="D96" s="33"/>
      <c r="E96" s="33"/>
      <c r="F96" s="33"/>
      <c r="G96" s="33"/>
      <c r="H96" s="33"/>
      <c r="I96" s="33"/>
      <c r="J96" s="33"/>
      <c r="K96" s="33"/>
      <c r="L96" s="33"/>
      <c r="M96" s="33"/>
      <c r="N96" s="33"/>
    </row>
    <row r="97" spans="1:14" hidden="1" x14ac:dyDescent="0.3">
      <c r="A97" s="37"/>
      <c r="B97" s="33"/>
      <c r="C97" s="33"/>
      <c r="D97" s="33"/>
      <c r="E97" s="33"/>
      <c r="F97" s="33"/>
      <c r="G97" s="33"/>
      <c r="H97" s="33"/>
      <c r="I97" s="33"/>
      <c r="J97" s="33"/>
      <c r="K97" s="33"/>
      <c r="L97" s="33"/>
      <c r="M97" s="33"/>
      <c r="N97" s="33"/>
    </row>
    <row r="98" spans="1:14" hidden="1" x14ac:dyDescent="0.3">
      <c r="A98" s="37"/>
      <c r="B98" s="33"/>
      <c r="C98" s="33"/>
      <c r="D98" s="33"/>
      <c r="E98" s="33"/>
      <c r="F98" s="33"/>
      <c r="G98" s="33"/>
      <c r="H98" s="33"/>
      <c r="I98" s="33"/>
      <c r="J98" s="33"/>
      <c r="K98" s="33"/>
      <c r="L98" s="33"/>
      <c r="M98" s="33"/>
      <c r="N98" s="33"/>
    </row>
    <row r="99" spans="1:14" hidden="1" x14ac:dyDescent="0.3">
      <c r="A99" s="37"/>
      <c r="B99" s="33"/>
      <c r="C99" s="33"/>
      <c r="D99" s="33"/>
      <c r="E99" s="33"/>
      <c r="F99" s="33"/>
      <c r="G99" s="33"/>
      <c r="H99" s="33"/>
      <c r="I99" s="33"/>
      <c r="J99" s="33"/>
      <c r="K99" s="33"/>
      <c r="L99" s="33"/>
      <c r="M99" s="33"/>
      <c r="N99" s="33"/>
    </row>
    <row r="100" spans="1:14" hidden="1" x14ac:dyDescent="0.3">
      <c r="A100" s="37"/>
      <c r="B100" s="33"/>
      <c r="C100" s="33"/>
      <c r="D100" s="33"/>
      <c r="E100" s="33"/>
      <c r="F100" s="33"/>
      <c r="G100" s="33"/>
      <c r="H100" s="33"/>
      <c r="I100" s="33"/>
      <c r="J100" s="33"/>
      <c r="K100" s="33"/>
      <c r="L100" s="33"/>
      <c r="M100" s="33"/>
      <c r="N100" s="33"/>
    </row>
    <row r="101" spans="1:14" hidden="1" x14ac:dyDescent="0.3">
      <c r="A101" s="37"/>
      <c r="B101" s="33"/>
      <c r="C101" s="33"/>
      <c r="D101" s="33"/>
      <c r="E101" s="33"/>
      <c r="F101" s="33"/>
      <c r="G101" s="33"/>
      <c r="H101" s="33"/>
      <c r="I101" s="33"/>
      <c r="J101" s="33"/>
      <c r="K101" s="33"/>
      <c r="L101" s="33"/>
      <c r="M101" s="33"/>
      <c r="N101" s="33"/>
    </row>
    <row r="102" spans="1:14" hidden="1" x14ac:dyDescent="0.3">
      <c r="A102" s="37"/>
      <c r="B102" s="33"/>
      <c r="C102" s="33"/>
      <c r="D102" s="33"/>
      <c r="E102" s="33"/>
      <c r="F102" s="33"/>
      <c r="G102" s="33"/>
      <c r="H102" s="33"/>
      <c r="I102" s="33"/>
      <c r="J102" s="33"/>
      <c r="K102" s="33"/>
      <c r="L102" s="33"/>
      <c r="M102" s="33"/>
      <c r="N102" s="33"/>
    </row>
    <row r="103" spans="1:14" hidden="1" x14ac:dyDescent="0.3">
      <c r="A103" s="37"/>
      <c r="B103" s="33"/>
      <c r="C103" s="33"/>
      <c r="D103" s="33"/>
      <c r="E103" s="33"/>
      <c r="F103" s="33"/>
      <c r="G103" s="33"/>
      <c r="H103" s="33"/>
      <c r="I103" s="33"/>
      <c r="J103" s="33"/>
      <c r="K103" s="33"/>
      <c r="L103" s="33"/>
      <c r="M103" s="33"/>
      <c r="N103" s="33"/>
    </row>
    <row r="104" spans="1:14" hidden="1" x14ac:dyDescent="0.3">
      <c r="A104" s="37"/>
      <c r="B104" s="33"/>
      <c r="C104" s="33"/>
      <c r="D104" s="33"/>
      <c r="E104" s="33"/>
      <c r="F104" s="33"/>
      <c r="G104" s="33"/>
      <c r="H104" s="33"/>
      <c r="I104" s="33"/>
      <c r="J104" s="33"/>
      <c r="K104" s="33"/>
      <c r="L104" s="33"/>
      <c r="M104" s="33"/>
      <c r="N104" s="33"/>
    </row>
    <row r="105" spans="1:14" hidden="1" x14ac:dyDescent="0.3">
      <c r="A105" s="37"/>
      <c r="B105" s="33"/>
      <c r="C105" s="33"/>
      <c r="D105" s="33"/>
      <c r="E105" s="33"/>
      <c r="F105" s="33"/>
      <c r="G105" s="33"/>
      <c r="H105" s="33"/>
      <c r="I105" s="33"/>
      <c r="J105" s="33"/>
      <c r="K105" s="33"/>
      <c r="L105" s="33"/>
      <c r="M105" s="33"/>
      <c r="N105" s="33"/>
    </row>
    <row r="106" spans="1:14" hidden="1" x14ac:dyDescent="0.3">
      <c r="A106" s="37"/>
      <c r="B106" s="33"/>
      <c r="C106" s="33"/>
      <c r="D106" s="33"/>
      <c r="E106" s="33"/>
      <c r="F106" s="33"/>
      <c r="G106" s="33"/>
      <c r="H106" s="33"/>
      <c r="I106" s="33"/>
      <c r="J106" s="33"/>
      <c r="K106" s="33"/>
      <c r="L106" s="33"/>
      <c r="M106" s="33"/>
      <c r="N106" s="33"/>
    </row>
    <row r="107" spans="1:14" hidden="1" x14ac:dyDescent="0.3">
      <c r="A107" s="37"/>
      <c r="B107" s="33"/>
      <c r="C107" s="33"/>
      <c r="D107" s="33"/>
      <c r="E107" s="33"/>
      <c r="F107" s="33"/>
      <c r="G107" s="33"/>
      <c r="H107" s="33"/>
      <c r="I107" s="33"/>
      <c r="J107" s="33"/>
      <c r="K107" s="33"/>
      <c r="L107" s="33"/>
      <c r="M107" s="33"/>
      <c r="N107" s="33"/>
    </row>
    <row r="108" spans="1:14" hidden="1" x14ac:dyDescent="0.3">
      <c r="A108" s="37"/>
      <c r="B108" s="33"/>
      <c r="C108" s="33"/>
      <c r="D108" s="33"/>
      <c r="E108" s="33"/>
      <c r="F108" s="33"/>
      <c r="G108" s="33"/>
      <c r="H108" s="33"/>
      <c r="I108" s="33"/>
      <c r="J108" s="33"/>
      <c r="K108" s="33"/>
      <c r="L108" s="33"/>
      <c r="M108" s="33"/>
      <c r="N108" s="33"/>
    </row>
    <row r="109" spans="1:14" hidden="1" x14ac:dyDescent="0.3">
      <c r="A109" s="37"/>
      <c r="B109" s="33"/>
      <c r="C109" s="33"/>
      <c r="D109" s="33"/>
      <c r="E109" s="33"/>
      <c r="F109" s="33"/>
      <c r="G109" s="33"/>
      <c r="H109" s="33"/>
      <c r="I109" s="33"/>
      <c r="J109" s="33"/>
      <c r="K109" s="33"/>
      <c r="L109" s="33"/>
      <c r="M109" s="33"/>
      <c r="N109" s="33"/>
    </row>
    <row r="110" spans="1:14" hidden="1" x14ac:dyDescent="0.3">
      <c r="A110" s="37"/>
      <c r="B110" s="33"/>
      <c r="C110" s="33"/>
      <c r="D110" s="33"/>
      <c r="E110" s="33"/>
      <c r="F110" s="33"/>
      <c r="G110" s="33"/>
      <c r="H110" s="33"/>
      <c r="I110" s="33"/>
      <c r="J110" s="33"/>
      <c r="K110" s="33"/>
      <c r="L110" s="33"/>
      <c r="M110" s="33"/>
      <c r="N110" s="33"/>
    </row>
    <row r="111" spans="1:14" hidden="1" x14ac:dyDescent="0.3">
      <c r="A111" s="37"/>
      <c r="B111" s="33"/>
      <c r="C111" s="33"/>
      <c r="D111" s="33"/>
      <c r="E111" s="33"/>
      <c r="F111" s="33"/>
      <c r="G111" s="33"/>
      <c r="H111" s="33"/>
      <c r="I111" s="33"/>
      <c r="J111" s="33"/>
      <c r="K111" s="33"/>
      <c r="L111" s="33"/>
      <c r="M111" s="33"/>
      <c r="N111" s="33"/>
    </row>
    <row r="112" spans="1:14" hidden="1" x14ac:dyDescent="0.3">
      <c r="A112" s="37"/>
      <c r="B112" s="33"/>
      <c r="C112" s="33"/>
      <c r="D112" s="33"/>
      <c r="E112" s="33"/>
      <c r="F112" s="33"/>
      <c r="G112" s="33"/>
      <c r="H112" s="33"/>
      <c r="I112" s="33"/>
      <c r="J112" s="33"/>
      <c r="K112" s="33"/>
      <c r="L112" s="33"/>
      <c r="M112" s="33"/>
      <c r="N112" s="33"/>
    </row>
    <row r="113" spans="1:14" hidden="1" x14ac:dyDescent="0.3">
      <c r="A113" s="37"/>
      <c r="B113" s="33"/>
      <c r="C113" s="33"/>
      <c r="D113" s="33"/>
      <c r="E113" s="33"/>
      <c r="F113" s="33"/>
      <c r="G113" s="33"/>
      <c r="H113" s="33"/>
      <c r="I113" s="33"/>
      <c r="J113" s="33"/>
      <c r="K113" s="33"/>
      <c r="L113" s="33"/>
      <c r="M113" s="33"/>
      <c r="N113" s="33"/>
    </row>
    <row r="114" spans="1:14" hidden="1" x14ac:dyDescent="0.3">
      <c r="A114" s="37"/>
      <c r="B114" s="33"/>
      <c r="C114" s="33"/>
      <c r="D114" s="33"/>
      <c r="E114" s="33"/>
      <c r="F114" s="33"/>
      <c r="G114" s="33"/>
      <c r="H114" s="33"/>
      <c r="I114" s="33"/>
      <c r="J114" s="33"/>
      <c r="K114" s="33"/>
      <c r="L114" s="33"/>
      <c r="M114" s="33"/>
      <c r="N114" s="33"/>
    </row>
    <row r="115" spans="1:14" hidden="1" x14ac:dyDescent="0.3">
      <c r="A115" s="37"/>
      <c r="B115" s="33"/>
      <c r="C115" s="33"/>
      <c r="D115" s="33"/>
      <c r="E115" s="33"/>
      <c r="F115" s="33"/>
      <c r="G115" s="33"/>
      <c r="H115" s="33"/>
      <c r="I115" s="33"/>
      <c r="J115" s="33"/>
      <c r="K115" s="33"/>
      <c r="L115" s="33"/>
      <c r="M115" s="33"/>
      <c r="N115" s="33"/>
    </row>
    <row r="116" spans="1:14" hidden="1" x14ac:dyDescent="0.3">
      <c r="A116" s="37"/>
      <c r="B116" s="33"/>
      <c r="C116" s="33"/>
      <c r="D116" s="33"/>
      <c r="E116" s="33"/>
      <c r="F116" s="33"/>
      <c r="G116" s="33"/>
      <c r="H116" s="33"/>
      <c r="I116" s="33"/>
      <c r="J116" s="33"/>
      <c r="K116" s="33"/>
      <c r="L116" s="33"/>
      <c r="M116" s="33"/>
      <c r="N116" s="33"/>
    </row>
    <row r="117" spans="1:14" hidden="1" x14ac:dyDescent="0.3">
      <c r="A117" s="37"/>
      <c r="B117" s="33"/>
      <c r="C117" s="33"/>
      <c r="D117" s="33"/>
      <c r="E117" s="33"/>
      <c r="F117" s="33"/>
      <c r="G117" s="33"/>
      <c r="H117" s="33"/>
      <c r="I117" s="33"/>
      <c r="J117" s="33"/>
      <c r="K117" s="33"/>
      <c r="L117" s="33"/>
      <c r="M117" s="33"/>
      <c r="N117" s="33"/>
    </row>
    <row r="118" spans="1:14" hidden="1" x14ac:dyDescent="0.3">
      <c r="A118" s="37"/>
      <c r="B118" s="33"/>
      <c r="C118" s="33"/>
      <c r="D118" s="33"/>
      <c r="E118" s="33"/>
      <c r="F118" s="33"/>
      <c r="G118" s="33"/>
      <c r="H118" s="33"/>
      <c r="I118" s="33"/>
      <c r="J118" s="33"/>
      <c r="K118" s="33"/>
      <c r="L118" s="33"/>
      <c r="M118" s="33"/>
      <c r="N118" s="33"/>
    </row>
    <row r="119" spans="1:14" hidden="1" x14ac:dyDescent="0.3">
      <c r="A119" s="37"/>
      <c r="B119" s="33"/>
      <c r="C119" s="33"/>
      <c r="D119" s="33"/>
      <c r="E119" s="33"/>
      <c r="F119" s="33"/>
      <c r="G119" s="33"/>
      <c r="H119" s="33"/>
      <c r="I119" s="33"/>
      <c r="J119" s="33"/>
      <c r="K119" s="33"/>
      <c r="L119" s="33"/>
      <c r="M119" s="33"/>
      <c r="N119" s="33"/>
    </row>
    <row r="120" spans="1:14" hidden="1" x14ac:dyDescent="0.3">
      <c r="A120" s="37"/>
      <c r="B120" s="33"/>
      <c r="C120" s="33"/>
      <c r="D120" s="33"/>
      <c r="E120" s="33"/>
      <c r="F120" s="33"/>
      <c r="G120" s="33"/>
      <c r="H120" s="33"/>
      <c r="I120" s="33"/>
      <c r="J120" s="33"/>
      <c r="K120" s="33"/>
      <c r="L120" s="33"/>
      <c r="M120" s="33"/>
      <c r="N120" s="33"/>
    </row>
    <row r="121" spans="1:14" hidden="1" x14ac:dyDescent="0.3">
      <c r="A121" s="37"/>
      <c r="B121" s="33"/>
      <c r="C121" s="33"/>
      <c r="D121" s="33"/>
      <c r="E121" s="33"/>
      <c r="F121" s="33"/>
      <c r="G121" s="33"/>
      <c r="H121" s="33"/>
      <c r="I121" s="33"/>
      <c r="J121" s="33"/>
      <c r="K121" s="33"/>
      <c r="L121" s="33"/>
      <c r="M121" s="33"/>
      <c r="N121" s="33"/>
    </row>
    <row r="122" spans="1:14" hidden="1" x14ac:dyDescent="0.3">
      <c r="A122" s="37"/>
      <c r="B122" s="33"/>
      <c r="C122" s="33"/>
      <c r="D122" s="33"/>
      <c r="E122" s="33"/>
      <c r="F122" s="33"/>
      <c r="G122" s="33"/>
      <c r="H122" s="33"/>
      <c r="I122" s="33"/>
      <c r="J122" s="33"/>
      <c r="K122" s="33"/>
      <c r="L122" s="33"/>
      <c r="M122" s="33"/>
      <c r="N122" s="33"/>
    </row>
    <row r="123" spans="1:14" hidden="1" x14ac:dyDescent="0.3">
      <c r="A123" s="37"/>
      <c r="B123" s="33"/>
      <c r="C123" s="33"/>
      <c r="D123" s="33"/>
      <c r="E123" s="33"/>
      <c r="F123" s="33"/>
      <c r="G123" s="33"/>
      <c r="H123" s="33"/>
      <c r="I123" s="33"/>
      <c r="J123" s="33"/>
      <c r="K123" s="33"/>
      <c r="L123" s="33"/>
      <c r="M123" s="33"/>
      <c r="N123" s="33"/>
    </row>
    <row r="124" spans="1:14" hidden="1" x14ac:dyDescent="0.3">
      <c r="A124" s="37"/>
      <c r="B124" s="33"/>
      <c r="C124" s="33"/>
      <c r="D124" s="33"/>
      <c r="E124" s="33"/>
      <c r="F124" s="33"/>
      <c r="G124" s="33"/>
      <c r="H124" s="33"/>
      <c r="I124" s="33"/>
      <c r="J124" s="33"/>
      <c r="K124" s="33"/>
      <c r="L124" s="33"/>
      <c r="M124" s="33"/>
      <c r="N124" s="33"/>
    </row>
    <row r="125" spans="1:14" hidden="1" x14ac:dyDescent="0.3">
      <c r="A125" s="37"/>
      <c r="B125" s="33"/>
      <c r="C125" s="33"/>
      <c r="D125" s="33"/>
      <c r="E125" s="33"/>
      <c r="F125" s="33"/>
      <c r="G125" s="33"/>
      <c r="H125" s="33"/>
      <c r="I125" s="33"/>
      <c r="J125" s="33"/>
      <c r="K125" s="33"/>
      <c r="L125" s="33"/>
      <c r="M125" s="33"/>
      <c r="N125" s="33"/>
    </row>
    <row r="126" spans="1:14" hidden="1" x14ac:dyDescent="0.3">
      <c r="A126" s="37"/>
      <c r="B126" s="33"/>
      <c r="C126" s="33"/>
      <c r="D126" s="33"/>
      <c r="E126" s="33"/>
      <c r="F126" s="33"/>
      <c r="G126" s="33"/>
      <c r="H126" s="33"/>
      <c r="I126" s="33"/>
      <c r="J126" s="33"/>
      <c r="K126" s="33"/>
      <c r="L126" s="33"/>
      <c r="M126" s="33"/>
      <c r="N126" s="33"/>
    </row>
    <row r="127" spans="1:14" hidden="1" x14ac:dyDescent="0.3">
      <c r="A127" s="37"/>
      <c r="B127" s="33"/>
      <c r="C127" s="33"/>
      <c r="D127" s="33"/>
      <c r="E127" s="33"/>
      <c r="F127" s="33"/>
      <c r="G127" s="33"/>
      <c r="H127" s="33"/>
      <c r="I127" s="33"/>
      <c r="J127" s="33"/>
      <c r="K127" s="33"/>
      <c r="L127" s="33"/>
      <c r="M127" s="33"/>
      <c r="N127" s="33"/>
    </row>
    <row r="128" spans="1:14" hidden="1" x14ac:dyDescent="0.3">
      <c r="A128" s="37"/>
      <c r="B128" s="33"/>
      <c r="C128" s="33"/>
      <c r="D128" s="33"/>
      <c r="E128" s="33"/>
      <c r="F128" s="33"/>
      <c r="G128" s="33"/>
      <c r="H128" s="33"/>
      <c r="I128" s="33"/>
      <c r="J128" s="33"/>
      <c r="K128" s="33"/>
      <c r="L128" s="33"/>
      <c r="M128" s="33"/>
      <c r="N128" s="33"/>
    </row>
    <row r="129" spans="1:14" hidden="1" x14ac:dyDescent="0.3">
      <c r="A129" s="37"/>
      <c r="B129" s="33"/>
      <c r="C129" s="33"/>
      <c r="D129" s="33"/>
      <c r="E129" s="33"/>
      <c r="F129" s="33"/>
      <c r="G129" s="33"/>
      <c r="H129" s="33"/>
      <c r="I129" s="33"/>
      <c r="J129" s="33"/>
      <c r="K129" s="33"/>
      <c r="L129" s="33"/>
      <c r="M129" s="33"/>
      <c r="N129" s="33"/>
    </row>
    <row r="130" spans="1:14" hidden="1" x14ac:dyDescent="0.3">
      <c r="A130" s="37"/>
      <c r="B130" s="33"/>
      <c r="C130" s="33"/>
      <c r="D130" s="33"/>
      <c r="E130" s="33"/>
      <c r="F130" s="33"/>
      <c r="G130" s="33"/>
      <c r="H130" s="33"/>
      <c r="I130" s="33"/>
      <c r="J130" s="33"/>
      <c r="K130" s="33"/>
      <c r="L130" s="33"/>
      <c r="M130" s="33"/>
      <c r="N130" s="33"/>
    </row>
    <row r="131" spans="1:14" hidden="1" x14ac:dyDescent="0.3">
      <c r="A131" s="37"/>
      <c r="B131" s="33"/>
      <c r="C131" s="33"/>
      <c r="D131" s="33"/>
      <c r="E131" s="33"/>
      <c r="F131" s="33"/>
      <c r="G131" s="33"/>
      <c r="H131" s="33"/>
      <c r="I131" s="33"/>
      <c r="J131" s="33"/>
      <c r="K131" s="33"/>
      <c r="L131" s="33"/>
      <c r="M131" s="33"/>
      <c r="N131" s="33"/>
    </row>
    <row r="132" spans="1:14" hidden="1" x14ac:dyDescent="0.3">
      <c r="A132" s="37"/>
      <c r="B132" s="33"/>
      <c r="C132" s="33"/>
      <c r="D132" s="33"/>
      <c r="E132" s="33"/>
      <c r="F132" s="33"/>
      <c r="G132" s="33"/>
      <c r="H132" s="33"/>
      <c r="I132" s="33"/>
      <c r="J132" s="33"/>
      <c r="K132" s="33"/>
      <c r="L132" s="33"/>
      <c r="M132" s="33"/>
      <c r="N132" s="33"/>
    </row>
    <row r="133" spans="1:14" hidden="1" x14ac:dyDescent="0.3">
      <c r="A133" s="37"/>
      <c r="B133" s="33"/>
      <c r="C133" s="33"/>
      <c r="D133" s="33"/>
      <c r="E133" s="33"/>
      <c r="F133" s="33"/>
      <c r="G133" s="33"/>
      <c r="H133" s="33"/>
      <c r="I133" s="33"/>
      <c r="J133" s="33"/>
      <c r="K133" s="33"/>
      <c r="L133" s="33"/>
      <c r="M133" s="33"/>
      <c r="N133" s="33"/>
    </row>
    <row r="134" spans="1:14" hidden="1" x14ac:dyDescent="0.3">
      <c r="A134" s="37"/>
      <c r="B134" s="33"/>
      <c r="C134" s="33"/>
      <c r="D134" s="33"/>
      <c r="E134" s="33"/>
      <c r="F134" s="33"/>
      <c r="G134" s="33"/>
      <c r="H134" s="33"/>
      <c r="I134" s="33"/>
      <c r="J134" s="33"/>
      <c r="K134" s="33"/>
      <c r="L134" s="33"/>
      <c r="M134" s="33"/>
      <c r="N134" s="33"/>
    </row>
    <row r="135" spans="1:14" hidden="1" x14ac:dyDescent="0.3">
      <c r="A135" s="37"/>
      <c r="B135" s="33"/>
      <c r="C135" s="33"/>
      <c r="D135" s="33"/>
      <c r="E135" s="33"/>
      <c r="F135" s="33"/>
      <c r="G135" s="33"/>
      <c r="H135" s="33"/>
      <c r="I135" s="33"/>
      <c r="J135" s="33"/>
      <c r="K135" s="33"/>
      <c r="L135" s="33"/>
      <c r="M135" s="33"/>
      <c r="N135" s="33"/>
    </row>
    <row r="136" spans="1:14" hidden="1" x14ac:dyDescent="0.3">
      <c r="A136" s="37"/>
      <c r="B136" s="33"/>
      <c r="C136" s="33"/>
      <c r="D136" s="33"/>
      <c r="E136" s="33"/>
      <c r="F136" s="33"/>
      <c r="G136" s="33"/>
      <c r="H136" s="33"/>
      <c r="I136" s="33"/>
      <c r="J136" s="33"/>
      <c r="K136" s="33"/>
      <c r="L136" s="33"/>
      <c r="M136" s="33"/>
      <c r="N136" s="33"/>
    </row>
    <row r="137" spans="1:14" hidden="1" x14ac:dyDescent="0.3">
      <c r="A137" s="37"/>
      <c r="B137" s="33"/>
      <c r="C137" s="33"/>
      <c r="D137" s="33"/>
      <c r="E137" s="33"/>
      <c r="F137" s="33"/>
      <c r="G137" s="33"/>
      <c r="H137" s="33"/>
      <c r="I137" s="33"/>
      <c r="J137" s="33"/>
      <c r="K137" s="33"/>
      <c r="L137" s="33"/>
      <c r="M137" s="33"/>
      <c r="N137" s="33"/>
    </row>
    <row r="138" spans="1:14" hidden="1" x14ac:dyDescent="0.3">
      <c r="A138" s="37"/>
      <c r="B138" s="33"/>
      <c r="C138" s="33"/>
      <c r="D138" s="33"/>
      <c r="E138" s="33"/>
      <c r="F138" s="33"/>
      <c r="G138" s="33"/>
      <c r="H138" s="33"/>
      <c r="I138" s="33"/>
      <c r="J138" s="33"/>
      <c r="K138" s="33"/>
      <c r="L138" s="33"/>
      <c r="M138" s="33"/>
      <c r="N138" s="33"/>
    </row>
    <row r="139" spans="1:14" hidden="1" x14ac:dyDescent="0.3">
      <c r="A139" s="37"/>
      <c r="B139" s="33"/>
      <c r="C139" s="33"/>
      <c r="D139" s="33"/>
      <c r="E139" s="33"/>
      <c r="F139" s="33"/>
      <c r="G139" s="33"/>
      <c r="H139" s="33"/>
      <c r="I139" s="33"/>
      <c r="J139" s="33"/>
      <c r="K139" s="33"/>
      <c r="L139" s="33"/>
      <c r="M139" s="33"/>
      <c r="N139" s="33"/>
    </row>
    <row r="140" spans="1:14" hidden="1" x14ac:dyDescent="0.3">
      <c r="A140" s="37"/>
      <c r="B140" s="33"/>
      <c r="C140" s="33"/>
      <c r="D140" s="33"/>
      <c r="E140" s="33"/>
      <c r="F140" s="33"/>
      <c r="G140" s="33"/>
      <c r="H140" s="33"/>
      <c r="I140" s="33"/>
      <c r="J140" s="33"/>
      <c r="K140" s="33"/>
      <c r="L140" s="33"/>
      <c r="M140" s="33"/>
      <c r="N140" s="33"/>
    </row>
    <row r="141" spans="1:14" hidden="1" x14ac:dyDescent="0.3">
      <c r="A141" s="37"/>
      <c r="B141" s="33"/>
      <c r="C141" s="33"/>
      <c r="D141" s="33"/>
      <c r="E141" s="33"/>
      <c r="F141" s="33"/>
      <c r="G141" s="33"/>
      <c r="H141" s="33"/>
      <c r="I141" s="33"/>
      <c r="J141" s="33"/>
      <c r="K141" s="33"/>
      <c r="L141" s="33"/>
      <c r="M141" s="33"/>
      <c r="N141" s="33"/>
    </row>
    <row r="142" spans="1:14" hidden="1" x14ac:dyDescent="0.3">
      <c r="A142" s="37"/>
      <c r="B142" s="33"/>
      <c r="C142" s="33"/>
      <c r="D142" s="33"/>
      <c r="E142" s="33"/>
      <c r="F142" s="33"/>
      <c r="G142" s="33"/>
      <c r="H142" s="33"/>
      <c r="I142" s="33"/>
      <c r="J142" s="33"/>
      <c r="K142" s="33"/>
      <c r="L142" s="33"/>
      <c r="M142" s="33"/>
      <c r="N142" s="33"/>
    </row>
    <row r="143" spans="1:14" hidden="1" x14ac:dyDescent="0.3">
      <c r="A143" s="37"/>
      <c r="B143" s="33"/>
      <c r="C143" s="33"/>
      <c r="D143" s="33"/>
      <c r="E143" s="33"/>
      <c r="F143" s="33"/>
      <c r="G143" s="33"/>
      <c r="H143" s="33"/>
      <c r="I143" s="33"/>
      <c r="J143" s="33"/>
      <c r="K143" s="33"/>
      <c r="L143" s="33"/>
      <c r="M143" s="33"/>
      <c r="N143" s="33"/>
    </row>
    <row r="144" spans="1:14" hidden="1" x14ac:dyDescent="0.3">
      <c r="A144" s="37"/>
      <c r="B144" s="33"/>
      <c r="C144" s="33"/>
      <c r="D144" s="33"/>
      <c r="E144" s="33"/>
      <c r="F144" s="33"/>
      <c r="G144" s="33"/>
      <c r="H144" s="33"/>
      <c r="I144" s="33"/>
      <c r="J144" s="33"/>
      <c r="K144" s="33"/>
      <c r="L144" s="33"/>
      <c r="M144" s="33"/>
      <c r="N144" s="33"/>
    </row>
    <row r="145" spans="1:14" hidden="1" x14ac:dyDescent="0.3">
      <c r="A145" s="37"/>
      <c r="B145" s="33"/>
      <c r="C145" s="33"/>
      <c r="D145" s="33"/>
      <c r="E145" s="33"/>
      <c r="F145" s="33"/>
      <c r="G145" s="33"/>
      <c r="H145" s="33"/>
      <c r="I145" s="33"/>
      <c r="J145" s="33"/>
      <c r="K145" s="33"/>
      <c r="L145" s="33"/>
      <c r="M145" s="33"/>
      <c r="N145" s="33"/>
    </row>
    <row r="146" spans="1:14" hidden="1" x14ac:dyDescent="0.3">
      <c r="A146" s="37"/>
      <c r="B146" s="33"/>
      <c r="C146" s="33"/>
      <c r="D146" s="33"/>
      <c r="E146" s="33"/>
      <c r="F146" s="33"/>
      <c r="G146" s="33"/>
      <c r="H146" s="33"/>
      <c r="I146" s="33"/>
      <c r="J146" s="33"/>
      <c r="K146" s="33"/>
      <c r="L146" s="33"/>
      <c r="M146" s="33"/>
      <c r="N146" s="33"/>
    </row>
    <row r="147" spans="1:14" hidden="1" x14ac:dyDescent="0.3">
      <c r="A147" s="37"/>
      <c r="B147" s="33"/>
      <c r="C147" s="33"/>
      <c r="D147" s="33"/>
      <c r="E147" s="33"/>
      <c r="F147" s="33"/>
      <c r="G147" s="33"/>
      <c r="H147" s="33"/>
      <c r="I147" s="33"/>
      <c r="J147" s="33"/>
      <c r="K147" s="33"/>
      <c r="L147" s="33"/>
      <c r="M147" s="33"/>
      <c r="N147" s="33"/>
    </row>
    <row r="148" spans="1:14" hidden="1" x14ac:dyDescent="0.3">
      <c r="A148" s="37"/>
      <c r="B148" s="33"/>
      <c r="C148" s="33"/>
      <c r="D148" s="33"/>
      <c r="E148" s="33"/>
      <c r="F148" s="33"/>
      <c r="G148" s="33"/>
      <c r="H148" s="33"/>
      <c r="I148" s="33"/>
      <c r="J148" s="33"/>
      <c r="K148" s="33"/>
      <c r="L148" s="33"/>
      <c r="M148" s="33"/>
      <c r="N148" s="33"/>
    </row>
    <row r="149" spans="1:14" hidden="1" x14ac:dyDescent="0.3">
      <c r="A149" s="37"/>
      <c r="B149" s="33"/>
      <c r="C149" s="33"/>
      <c r="D149" s="33"/>
      <c r="E149" s="33"/>
      <c r="F149" s="33"/>
      <c r="G149" s="33"/>
      <c r="H149" s="33"/>
      <c r="I149" s="33"/>
      <c r="J149" s="33"/>
      <c r="K149" s="33"/>
      <c r="L149" s="33"/>
      <c r="M149" s="33"/>
      <c r="N149" s="33"/>
    </row>
    <row r="150" spans="1:14" hidden="1" x14ac:dyDescent="0.3">
      <c r="A150" s="37"/>
      <c r="B150" s="33"/>
      <c r="C150" s="33"/>
      <c r="D150" s="33"/>
      <c r="E150" s="33"/>
      <c r="F150" s="33"/>
      <c r="G150" s="33"/>
      <c r="H150" s="33"/>
      <c r="I150" s="33"/>
      <c r="J150" s="33"/>
      <c r="K150" s="33"/>
      <c r="L150" s="33"/>
      <c r="M150" s="33"/>
      <c r="N150" s="33"/>
    </row>
    <row r="151" spans="1:14" hidden="1" x14ac:dyDescent="0.3">
      <c r="A151" s="37"/>
      <c r="B151" s="33"/>
      <c r="C151" s="33"/>
      <c r="D151" s="33"/>
      <c r="E151" s="33"/>
      <c r="F151" s="33"/>
      <c r="G151" s="33"/>
      <c r="H151" s="33"/>
      <c r="I151" s="33"/>
      <c r="J151" s="33"/>
      <c r="K151" s="33"/>
      <c r="L151" s="33"/>
      <c r="M151" s="33"/>
      <c r="N151" s="33"/>
    </row>
    <row r="152" spans="1:14" hidden="1" x14ac:dyDescent="0.3">
      <c r="A152" s="37"/>
      <c r="B152" s="33"/>
      <c r="C152" s="33"/>
      <c r="D152" s="33"/>
      <c r="E152" s="33"/>
      <c r="F152" s="33"/>
      <c r="G152" s="33"/>
      <c r="H152" s="33"/>
      <c r="I152" s="33"/>
      <c r="J152" s="33"/>
      <c r="K152" s="33"/>
      <c r="L152" s="33"/>
      <c r="M152" s="33"/>
      <c r="N152" s="33"/>
    </row>
    <row r="153" spans="1:14" hidden="1" x14ac:dyDescent="0.3">
      <c r="A153" s="37"/>
      <c r="B153" s="33"/>
      <c r="C153" s="33"/>
      <c r="D153" s="33"/>
      <c r="E153" s="33"/>
      <c r="F153" s="33"/>
      <c r="G153" s="33"/>
      <c r="H153" s="33"/>
      <c r="I153" s="33"/>
      <c r="J153" s="33"/>
      <c r="K153" s="33"/>
      <c r="L153" s="33"/>
      <c r="M153" s="33"/>
      <c r="N153" s="33"/>
    </row>
    <row r="154" spans="1:14" hidden="1" x14ac:dyDescent="0.3">
      <c r="A154" s="37"/>
      <c r="B154" s="33"/>
      <c r="C154" s="33"/>
      <c r="D154" s="33"/>
      <c r="E154" s="33"/>
      <c r="F154" s="33"/>
      <c r="G154" s="33"/>
      <c r="H154" s="33"/>
      <c r="I154" s="33"/>
      <c r="J154" s="33"/>
      <c r="K154" s="33"/>
      <c r="L154" s="33"/>
      <c r="M154" s="33"/>
      <c r="N154" s="33"/>
    </row>
    <row r="155" spans="1:14" hidden="1" x14ac:dyDescent="0.3">
      <c r="A155" s="37"/>
      <c r="B155" s="33"/>
      <c r="C155" s="33"/>
      <c r="D155" s="33"/>
      <c r="E155" s="33"/>
      <c r="F155" s="33"/>
      <c r="G155" s="33"/>
      <c r="H155" s="33"/>
      <c r="I155" s="33"/>
      <c r="J155" s="33"/>
      <c r="K155" s="33"/>
      <c r="L155" s="33"/>
      <c r="M155" s="33"/>
      <c r="N155" s="33"/>
    </row>
    <row r="156" spans="1:14" hidden="1" x14ac:dyDescent="0.3">
      <c r="A156" s="37"/>
      <c r="B156" s="33"/>
      <c r="C156" s="33"/>
      <c r="D156" s="33"/>
      <c r="E156" s="33"/>
      <c r="F156" s="33"/>
      <c r="G156" s="33"/>
      <c r="H156" s="33"/>
      <c r="I156" s="33"/>
      <c r="J156" s="33"/>
      <c r="K156" s="33"/>
      <c r="L156" s="33"/>
      <c r="M156" s="33"/>
      <c r="N156" s="33"/>
    </row>
    <row r="157" spans="1:14" hidden="1" x14ac:dyDescent="0.3">
      <c r="A157" s="37"/>
      <c r="B157" s="33"/>
      <c r="C157" s="33"/>
      <c r="D157" s="33"/>
      <c r="E157" s="33"/>
      <c r="F157" s="33"/>
      <c r="G157" s="33"/>
      <c r="H157" s="33"/>
      <c r="I157" s="33"/>
      <c r="J157" s="33"/>
      <c r="K157" s="33"/>
      <c r="L157" s="33"/>
      <c r="M157" s="33"/>
      <c r="N157" s="33"/>
    </row>
    <row r="158" spans="1:14" hidden="1" x14ac:dyDescent="0.3">
      <c r="A158" s="37"/>
      <c r="B158" s="33"/>
      <c r="C158" s="33"/>
      <c r="D158" s="33"/>
      <c r="E158" s="33"/>
      <c r="F158" s="33"/>
      <c r="G158" s="33"/>
      <c r="H158" s="33"/>
      <c r="I158" s="33"/>
      <c r="J158" s="33"/>
      <c r="K158" s="33"/>
      <c r="L158" s="33"/>
      <c r="M158" s="33"/>
      <c r="N158" s="33"/>
    </row>
    <row r="159" spans="1:14" hidden="1" x14ac:dyDescent="0.3">
      <c r="A159" s="37"/>
      <c r="B159" s="33"/>
      <c r="C159" s="33"/>
      <c r="D159" s="33"/>
      <c r="E159" s="33"/>
      <c r="F159" s="33"/>
      <c r="G159" s="33"/>
      <c r="H159" s="33"/>
      <c r="I159" s="33"/>
      <c r="J159" s="33"/>
      <c r="K159" s="33"/>
      <c r="L159" s="33"/>
      <c r="M159" s="33"/>
      <c r="N159" s="33"/>
    </row>
    <row r="160" spans="1:14" hidden="1" x14ac:dyDescent="0.3">
      <c r="A160" s="37"/>
      <c r="B160" s="33"/>
      <c r="C160" s="33"/>
      <c r="D160" s="33"/>
      <c r="E160" s="33"/>
      <c r="F160" s="33"/>
      <c r="G160" s="33"/>
      <c r="H160" s="33"/>
      <c r="I160" s="33"/>
      <c r="J160" s="33"/>
      <c r="K160" s="33"/>
      <c r="L160" s="33"/>
      <c r="M160" s="33"/>
      <c r="N160" s="33"/>
    </row>
    <row r="161" spans="1:14" hidden="1" x14ac:dyDescent="0.3">
      <c r="A161" s="37"/>
      <c r="B161" s="33"/>
      <c r="C161" s="33"/>
      <c r="D161" s="33"/>
      <c r="E161" s="33"/>
      <c r="F161" s="33"/>
      <c r="G161" s="33"/>
      <c r="H161" s="33"/>
      <c r="I161" s="33"/>
      <c r="J161" s="33"/>
      <c r="K161" s="33"/>
      <c r="L161" s="33"/>
      <c r="M161" s="33"/>
      <c r="N161" s="33"/>
    </row>
    <row r="162" spans="1:14" hidden="1" x14ac:dyDescent="0.3">
      <c r="A162" s="37"/>
      <c r="B162" s="33"/>
      <c r="C162" s="33"/>
      <c r="D162" s="33"/>
      <c r="E162" s="33"/>
      <c r="F162" s="33"/>
      <c r="G162" s="33"/>
      <c r="H162" s="33"/>
      <c r="I162" s="33"/>
      <c r="J162" s="33"/>
      <c r="K162" s="33"/>
      <c r="L162" s="33"/>
      <c r="M162" s="33"/>
      <c r="N162" s="33"/>
    </row>
    <row r="163" spans="1:14" hidden="1" x14ac:dyDescent="0.3">
      <c r="A163" s="37"/>
      <c r="B163" s="33"/>
      <c r="C163" s="33"/>
      <c r="D163" s="33"/>
      <c r="E163" s="33"/>
      <c r="F163" s="33"/>
      <c r="G163" s="33"/>
      <c r="H163" s="33"/>
      <c r="I163" s="33"/>
      <c r="J163" s="33"/>
      <c r="K163" s="33"/>
      <c r="L163" s="33"/>
      <c r="M163" s="33"/>
      <c r="N163" s="33"/>
    </row>
    <row r="164" spans="1:14" hidden="1" x14ac:dyDescent="0.3">
      <c r="A164" s="37"/>
      <c r="B164" s="33"/>
      <c r="C164" s="33"/>
      <c r="D164" s="33"/>
      <c r="E164" s="33"/>
      <c r="F164" s="33"/>
      <c r="G164" s="33"/>
      <c r="H164" s="33"/>
      <c r="I164" s="33"/>
      <c r="J164" s="33"/>
      <c r="K164" s="33"/>
      <c r="L164" s="33"/>
      <c r="M164" s="33"/>
      <c r="N164" s="33"/>
    </row>
    <row r="165" spans="1:14" hidden="1" x14ac:dyDescent="0.3">
      <c r="A165" s="37"/>
      <c r="B165" s="33"/>
      <c r="C165" s="33"/>
      <c r="D165" s="33"/>
      <c r="E165" s="33"/>
      <c r="F165" s="33"/>
      <c r="G165" s="33"/>
      <c r="H165" s="33"/>
      <c r="I165" s="33"/>
      <c r="J165" s="33"/>
      <c r="K165" s="33"/>
      <c r="L165" s="33"/>
      <c r="M165" s="33"/>
      <c r="N165" s="33"/>
    </row>
    <row r="166" spans="1:14" hidden="1" x14ac:dyDescent="0.3">
      <c r="A166" s="37"/>
      <c r="B166" s="33"/>
      <c r="C166" s="33"/>
      <c r="D166" s="33"/>
      <c r="E166" s="33"/>
      <c r="F166" s="33"/>
      <c r="G166" s="33"/>
      <c r="H166" s="33"/>
      <c r="I166" s="33"/>
      <c r="J166" s="33"/>
      <c r="K166" s="33"/>
      <c r="L166" s="33"/>
      <c r="M166" s="33"/>
      <c r="N166" s="33"/>
    </row>
    <row r="167" spans="1:14" hidden="1" x14ac:dyDescent="0.3">
      <c r="A167" s="37"/>
      <c r="B167" s="33"/>
      <c r="C167" s="33"/>
      <c r="D167" s="33"/>
      <c r="E167" s="33"/>
      <c r="F167" s="33"/>
      <c r="G167" s="33"/>
      <c r="H167" s="33"/>
      <c r="I167" s="33"/>
      <c r="J167" s="33"/>
      <c r="K167" s="33"/>
      <c r="L167" s="33"/>
      <c r="M167" s="33"/>
      <c r="N167" s="33"/>
    </row>
    <row r="168" spans="1:14" hidden="1" x14ac:dyDescent="0.3">
      <c r="A168" s="37"/>
      <c r="B168" s="33"/>
      <c r="C168" s="33"/>
      <c r="D168" s="33"/>
      <c r="E168" s="33"/>
      <c r="F168" s="33"/>
      <c r="G168" s="33"/>
      <c r="H168" s="33"/>
      <c r="I168" s="33"/>
      <c r="J168" s="33"/>
      <c r="K168" s="33"/>
      <c r="L168" s="33"/>
      <c r="M168" s="33"/>
      <c r="N168" s="33"/>
    </row>
    <row r="169" spans="1:14" hidden="1" x14ac:dyDescent="0.3">
      <c r="A169" s="37"/>
      <c r="B169" s="33"/>
      <c r="C169" s="33"/>
      <c r="D169" s="33"/>
      <c r="E169" s="33"/>
      <c r="F169" s="33"/>
      <c r="G169" s="33"/>
      <c r="H169" s="33"/>
      <c r="I169" s="33"/>
      <c r="J169" s="33"/>
      <c r="K169" s="33"/>
      <c r="L169" s="33"/>
      <c r="M169" s="33"/>
      <c r="N169" s="33"/>
    </row>
    <row r="170" spans="1:14" hidden="1" x14ac:dyDescent="0.3">
      <c r="A170" s="37"/>
      <c r="B170" s="33"/>
      <c r="C170" s="33"/>
      <c r="D170" s="33"/>
      <c r="E170" s="33"/>
      <c r="F170" s="33"/>
      <c r="G170" s="33"/>
      <c r="H170" s="33"/>
      <c r="I170" s="33"/>
      <c r="J170" s="33"/>
      <c r="K170" s="33"/>
      <c r="L170" s="33"/>
      <c r="M170" s="33"/>
      <c r="N170" s="33"/>
    </row>
    <row r="171" spans="1:14" hidden="1" x14ac:dyDescent="0.3">
      <c r="A171" s="37"/>
      <c r="B171" s="33"/>
      <c r="C171" s="33"/>
      <c r="D171" s="33"/>
      <c r="E171" s="33"/>
      <c r="F171" s="33"/>
      <c r="G171" s="33"/>
      <c r="H171" s="33"/>
      <c r="I171" s="33"/>
      <c r="J171" s="33"/>
      <c r="K171" s="33"/>
      <c r="L171" s="33"/>
      <c r="M171" s="33"/>
      <c r="N171" s="33"/>
    </row>
    <row r="172" spans="1:14" hidden="1" x14ac:dyDescent="0.3">
      <c r="A172" s="37"/>
      <c r="B172" s="33"/>
      <c r="C172" s="33"/>
      <c r="D172" s="33"/>
      <c r="E172" s="33"/>
      <c r="F172" s="33"/>
      <c r="G172" s="33"/>
      <c r="H172" s="33"/>
      <c r="I172" s="33"/>
      <c r="J172" s="33"/>
      <c r="K172" s="33"/>
      <c r="L172" s="33"/>
      <c r="M172" s="33"/>
      <c r="N172" s="33"/>
    </row>
    <row r="173" spans="1:14" hidden="1" x14ac:dyDescent="0.3">
      <c r="A173" s="37"/>
      <c r="B173" s="33"/>
      <c r="C173" s="33"/>
      <c r="D173" s="33"/>
      <c r="E173" s="33"/>
      <c r="F173" s="33"/>
      <c r="G173" s="33"/>
      <c r="H173" s="33"/>
      <c r="I173" s="33"/>
      <c r="J173" s="33"/>
      <c r="K173" s="33"/>
      <c r="L173" s="33"/>
      <c r="M173" s="33"/>
      <c r="N173" s="33"/>
    </row>
    <row r="174" spans="1:14" hidden="1" x14ac:dyDescent="0.3">
      <c r="A174" s="37"/>
      <c r="B174" s="33"/>
      <c r="C174" s="33"/>
      <c r="D174" s="33"/>
      <c r="E174" s="33"/>
      <c r="F174" s="33"/>
      <c r="G174" s="33"/>
      <c r="H174" s="33"/>
      <c r="I174" s="33"/>
      <c r="J174" s="33"/>
      <c r="K174" s="33"/>
      <c r="L174" s="33"/>
      <c r="M174" s="33"/>
      <c r="N174" s="33"/>
    </row>
    <row r="175" spans="1:14" hidden="1" x14ac:dyDescent="0.3">
      <c r="A175" s="37"/>
      <c r="B175" s="33"/>
      <c r="C175" s="33"/>
      <c r="D175" s="33"/>
      <c r="E175" s="33"/>
      <c r="F175" s="33"/>
      <c r="G175" s="33"/>
      <c r="H175" s="33"/>
      <c r="I175" s="33"/>
      <c r="J175" s="33"/>
      <c r="K175" s="33"/>
      <c r="L175" s="33"/>
      <c r="M175" s="33"/>
      <c r="N175" s="33"/>
    </row>
    <row r="176" spans="1:14" hidden="1" x14ac:dyDescent="0.3">
      <c r="A176" s="37"/>
      <c r="B176" s="33"/>
      <c r="C176" s="33"/>
      <c r="D176" s="33"/>
      <c r="E176" s="33"/>
      <c r="F176" s="33"/>
      <c r="G176" s="33"/>
      <c r="H176" s="33"/>
      <c r="I176" s="33"/>
      <c r="J176" s="33"/>
      <c r="K176" s="33"/>
      <c r="L176" s="33"/>
      <c r="M176" s="33"/>
      <c r="N176" s="33"/>
    </row>
    <row r="177" spans="1:14" hidden="1" x14ac:dyDescent="0.3">
      <c r="A177" s="37"/>
      <c r="B177" s="33"/>
      <c r="C177" s="33"/>
      <c r="D177" s="33"/>
      <c r="E177" s="33"/>
      <c r="F177" s="33"/>
      <c r="G177" s="33"/>
      <c r="H177" s="33"/>
      <c r="I177" s="33"/>
      <c r="J177" s="33"/>
      <c r="K177" s="33"/>
      <c r="L177" s="33"/>
      <c r="M177" s="33"/>
      <c r="N177" s="33"/>
    </row>
    <row r="178" spans="1:14" hidden="1" x14ac:dyDescent="0.3">
      <c r="A178" s="37"/>
      <c r="B178" s="33"/>
      <c r="C178" s="33"/>
      <c r="D178" s="33"/>
      <c r="E178" s="33"/>
      <c r="F178" s="33"/>
      <c r="G178" s="33"/>
      <c r="H178" s="33"/>
      <c r="I178" s="33"/>
      <c r="J178" s="33"/>
      <c r="K178" s="33"/>
      <c r="L178" s="33"/>
      <c r="M178" s="33"/>
      <c r="N178" s="33"/>
    </row>
    <row r="179" spans="1:14" hidden="1" x14ac:dyDescent="0.3">
      <c r="A179" s="37"/>
      <c r="B179" s="33"/>
      <c r="C179" s="33"/>
      <c r="D179" s="33"/>
      <c r="E179" s="33"/>
      <c r="F179" s="33"/>
      <c r="G179" s="33"/>
      <c r="H179" s="33"/>
      <c r="I179" s="33"/>
      <c r="J179" s="33"/>
      <c r="K179" s="33"/>
      <c r="L179" s="33"/>
      <c r="M179" s="33"/>
      <c r="N179" s="33"/>
    </row>
    <row r="180" spans="1:14" hidden="1" x14ac:dyDescent="0.3">
      <c r="A180" s="37"/>
      <c r="B180" s="33"/>
      <c r="C180" s="33"/>
      <c r="D180" s="33"/>
      <c r="E180" s="33"/>
      <c r="F180" s="33"/>
      <c r="G180" s="33"/>
      <c r="H180" s="33"/>
      <c r="I180" s="33"/>
      <c r="J180" s="33"/>
      <c r="K180" s="33"/>
      <c r="L180" s="33"/>
      <c r="M180" s="33"/>
      <c r="N180" s="33"/>
    </row>
    <row r="181" spans="1:14" hidden="1" x14ac:dyDescent="0.3">
      <c r="A181" s="37"/>
      <c r="B181" s="33"/>
      <c r="C181" s="33"/>
      <c r="D181" s="33"/>
      <c r="E181" s="33"/>
      <c r="F181" s="33"/>
      <c r="G181" s="33"/>
      <c r="H181" s="33"/>
      <c r="I181" s="33"/>
      <c r="J181" s="33"/>
      <c r="K181" s="33"/>
      <c r="L181" s="33"/>
      <c r="M181" s="33"/>
      <c r="N181" s="33"/>
    </row>
    <row r="182" spans="1:14" hidden="1" x14ac:dyDescent="0.3">
      <c r="A182" s="37"/>
      <c r="B182" s="33"/>
      <c r="C182" s="33"/>
      <c r="D182" s="33"/>
      <c r="E182" s="33"/>
      <c r="F182" s="33"/>
      <c r="G182" s="33"/>
      <c r="H182" s="33"/>
      <c r="I182" s="33"/>
      <c r="J182" s="33"/>
      <c r="K182" s="33"/>
      <c r="L182" s="33"/>
      <c r="M182" s="33"/>
      <c r="N182" s="33"/>
    </row>
    <row r="183" spans="1:14" hidden="1" x14ac:dyDescent="0.3">
      <c r="A183" s="37"/>
      <c r="B183" s="33"/>
      <c r="C183" s="33"/>
      <c r="D183" s="33"/>
      <c r="E183" s="33"/>
      <c r="F183" s="33"/>
      <c r="G183" s="33"/>
      <c r="H183" s="33"/>
      <c r="I183" s="33"/>
      <c r="J183" s="33"/>
      <c r="K183" s="33"/>
      <c r="L183" s="33"/>
      <c r="M183" s="33"/>
      <c r="N183" s="33"/>
    </row>
    <row r="184" spans="1:14" hidden="1" x14ac:dyDescent="0.3">
      <c r="A184" s="37"/>
      <c r="B184" s="33"/>
      <c r="C184" s="33"/>
      <c r="D184" s="33"/>
      <c r="E184" s="33"/>
      <c r="F184" s="33"/>
      <c r="G184" s="33"/>
      <c r="H184" s="33"/>
      <c r="I184" s="33"/>
      <c r="J184" s="33"/>
      <c r="K184" s="33"/>
      <c r="L184" s="33"/>
      <c r="M184" s="33"/>
      <c r="N184" s="33"/>
    </row>
    <row r="185" spans="1:14" hidden="1" x14ac:dyDescent="0.3">
      <c r="A185" s="37"/>
      <c r="B185" s="33"/>
      <c r="C185" s="33"/>
      <c r="D185" s="33"/>
      <c r="E185" s="33"/>
      <c r="F185" s="33"/>
      <c r="G185" s="33"/>
      <c r="H185" s="33"/>
      <c r="I185" s="33"/>
      <c r="J185" s="33"/>
      <c r="K185" s="33"/>
      <c r="L185" s="33"/>
      <c r="M185" s="33"/>
      <c r="N185" s="33"/>
    </row>
    <row r="186" spans="1:14" hidden="1" x14ac:dyDescent="0.3">
      <c r="A186" s="37"/>
      <c r="B186" s="33"/>
      <c r="C186" s="33"/>
      <c r="D186" s="33"/>
      <c r="E186" s="33"/>
      <c r="F186" s="33"/>
      <c r="G186" s="33"/>
      <c r="H186" s="33"/>
      <c r="I186" s="33"/>
      <c r="J186" s="33"/>
      <c r="K186" s="33"/>
      <c r="L186" s="33"/>
      <c r="M186" s="33"/>
      <c r="N186" s="33"/>
    </row>
    <row r="187" spans="1:14" hidden="1" x14ac:dyDescent="0.3">
      <c r="A187" s="37"/>
      <c r="B187" s="33"/>
      <c r="C187" s="33"/>
      <c r="D187" s="33"/>
      <c r="E187" s="33"/>
      <c r="F187" s="33"/>
      <c r="G187" s="33"/>
      <c r="H187" s="33"/>
      <c r="I187" s="33"/>
      <c r="J187" s="33"/>
      <c r="K187" s="33"/>
      <c r="L187" s="33"/>
      <c r="M187" s="33"/>
      <c r="N187" s="33"/>
    </row>
    <row r="188" spans="1:14" hidden="1" x14ac:dyDescent="0.3">
      <c r="A188" s="37"/>
      <c r="B188" s="33"/>
      <c r="C188" s="33"/>
      <c r="D188" s="33"/>
      <c r="E188" s="33"/>
      <c r="F188" s="33"/>
      <c r="G188" s="33"/>
      <c r="H188" s="33"/>
      <c r="I188" s="33"/>
      <c r="J188" s="33"/>
      <c r="K188" s="33"/>
      <c r="L188" s="33"/>
      <c r="M188" s="33"/>
      <c r="N188" s="33"/>
    </row>
    <row r="189" spans="1:14" hidden="1" x14ac:dyDescent="0.3">
      <c r="A189" s="37"/>
      <c r="B189" s="33"/>
      <c r="C189" s="33"/>
      <c r="D189" s="33"/>
      <c r="E189" s="33"/>
      <c r="F189" s="33"/>
      <c r="G189" s="33"/>
      <c r="H189" s="33"/>
      <c r="I189" s="33"/>
      <c r="J189" s="33"/>
      <c r="K189" s="33"/>
      <c r="L189" s="33"/>
      <c r="M189" s="33"/>
      <c r="N189" s="33"/>
    </row>
    <row r="190" spans="1:14" hidden="1" x14ac:dyDescent="0.3">
      <c r="A190" s="37"/>
      <c r="B190" s="33"/>
      <c r="C190" s="33"/>
      <c r="D190" s="33"/>
      <c r="E190" s="33"/>
      <c r="F190" s="33"/>
      <c r="G190" s="33"/>
      <c r="H190" s="33"/>
      <c r="I190" s="33"/>
      <c r="J190" s="33"/>
      <c r="K190" s="33"/>
      <c r="L190" s="33"/>
      <c r="M190" s="33"/>
      <c r="N190" s="33"/>
    </row>
    <row r="191" spans="1:14" hidden="1" x14ac:dyDescent="0.3">
      <c r="A191" s="37"/>
      <c r="B191" s="33"/>
      <c r="C191" s="33"/>
      <c r="D191" s="33"/>
      <c r="E191" s="33"/>
      <c r="F191" s="33"/>
      <c r="G191" s="33"/>
      <c r="H191" s="33"/>
      <c r="I191" s="33"/>
      <c r="J191" s="33"/>
      <c r="K191" s="33"/>
      <c r="L191" s="33"/>
      <c r="M191" s="33"/>
      <c r="N191" s="33"/>
    </row>
    <row r="192" spans="1:14" hidden="1" x14ac:dyDescent="0.3">
      <c r="A192" s="37"/>
      <c r="B192" s="33"/>
      <c r="C192" s="33"/>
      <c r="D192" s="33"/>
      <c r="E192" s="33"/>
      <c r="F192" s="33"/>
      <c r="G192" s="33"/>
      <c r="H192" s="33"/>
      <c r="I192" s="33"/>
      <c r="J192" s="33"/>
      <c r="K192" s="33"/>
      <c r="L192" s="33"/>
      <c r="M192" s="33"/>
      <c r="N192" s="33"/>
    </row>
    <row r="193" spans="1:14" hidden="1" x14ac:dyDescent="0.3">
      <c r="A193" s="37"/>
      <c r="B193" s="33"/>
      <c r="C193" s="33"/>
      <c r="D193" s="33"/>
      <c r="E193" s="33"/>
      <c r="F193" s="33"/>
      <c r="G193" s="33"/>
      <c r="H193" s="33"/>
      <c r="I193" s="33"/>
      <c r="J193" s="33"/>
      <c r="K193" s="33"/>
      <c r="L193" s="33"/>
      <c r="M193" s="33"/>
      <c r="N193" s="33"/>
    </row>
    <row r="194" spans="1:14" hidden="1" x14ac:dyDescent="0.3">
      <c r="A194" s="37"/>
      <c r="B194" s="33"/>
      <c r="C194" s="33"/>
      <c r="D194" s="33"/>
      <c r="E194" s="33"/>
      <c r="F194" s="33"/>
      <c r="G194" s="33"/>
      <c r="H194" s="33"/>
      <c r="I194" s="33"/>
      <c r="J194" s="33"/>
      <c r="K194" s="33"/>
      <c r="L194" s="33"/>
      <c r="M194" s="33"/>
      <c r="N194" s="33"/>
    </row>
    <row r="195" spans="1:14" hidden="1" x14ac:dyDescent="0.3">
      <c r="A195" s="37"/>
      <c r="B195" s="33"/>
      <c r="C195" s="33"/>
      <c r="D195" s="33"/>
      <c r="E195" s="33"/>
      <c r="F195" s="33"/>
      <c r="G195" s="33"/>
      <c r="H195" s="33"/>
      <c r="I195" s="33"/>
      <c r="J195" s="33"/>
      <c r="K195" s="33"/>
      <c r="L195" s="33"/>
      <c r="M195" s="33"/>
      <c r="N195" s="33"/>
    </row>
    <row r="196" spans="1:14" hidden="1" x14ac:dyDescent="0.3">
      <c r="A196" s="37"/>
      <c r="B196" s="33"/>
      <c r="C196" s="33"/>
      <c r="D196" s="33"/>
      <c r="E196" s="33"/>
      <c r="F196" s="33"/>
      <c r="G196" s="33"/>
      <c r="H196" s="33"/>
      <c r="I196" s="33"/>
      <c r="J196" s="33"/>
      <c r="K196" s="33"/>
      <c r="L196" s="33"/>
      <c r="M196" s="33"/>
      <c r="N196" s="33"/>
    </row>
    <row r="197" spans="1:14" hidden="1" x14ac:dyDescent="0.3">
      <c r="A197" s="37"/>
      <c r="B197" s="33"/>
      <c r="C197" s="33"/>
      <c r="D197" s="33"/>
      <c r="E197" s="33"/>
      <c r="F197" s="33"/>
      <c r="G197" s="33"/>
      <c r="H197" s="33"/>
      <c r="I197" s="33"/>
      <c r="J197" s="33"/>
      <c r="K197" s="33"/>
      <c r="L197" s="33"/>
      <c r="M197" s="33"/>
      <c r="N197" s="33"/>
    </row>
    <row r="198" spans="1:14" hidden="1" x14ac:dyDescent="0.3">
      <c r="A198" s="37"/>
      <c r="B198" s="33"/>
      <c r="C198" s="33"/>
      <c r="D198" s="33"/>
      <c r="E198" s="33"/>
      <c r="F198" s="33"/>
      <c r="G198" s="33"/>
      <c r="H198" s="33"/>
      <c r="I198" s="33"/>
      <c r="J198" s="33"/>
      <c r="K198" s="33"/>
      <c r="L198" s="33"/>
      <c r="M198" s="33"/>
      <c r="N198" s="33"/>
    </row>
    <row r="199" spans="1:14" hidden="1" x14ac:dyDescent="0.3">
      <c r="A199" s="37"/>
      <c r="B199" s="33"/>
      <c r="C199" s="33"/>
      <c r="D199" s="33"/>
      <c r="E199" s="33"/>
      <c r="F199" s="33"/>
      <c r="G199" s="33"/>
      <c r="H199" s="33"/>
      <c r="I199" s="33"/>
      <c r="J199" s="33"/>
      <c r="K199" s="33"/>
      <c r="L199" s="33"/>
      <c r="M199" s="33"/>
      <c r="N199" s="33"/>
    </row>
    <row r="200" spans="1:14" hidden="1" x14ac:dyDescent="0.3">
      <c r="A200" s="37"/>
      <c r="B200" s="33"/>
      <c r="C200" s="33"/>
      <c r="D200" s="33"/>
      <c r="E200" s="33"/>
      <c r="F200" s="33"/>
      <c r="G200" s="33"/>
      <c r="H200" s="33"/>
      <c r="I200" s="33"/>
      <c r="J200" s="33"/>
      <c r="K200" s="33"/>
      <c r="L200" s="33"/>
      <c r="M200" s="33"/>
      <c r="N200" s="33"/>
    </row>
    <row r="201" spans="1:14" hidden="1" x14ac:dyDescent="0.3">
      <c r="A201" s="37"/>
      <c r="B201" s="33"/>
      <c r="C201" s="33"/>
      <c r="D201" s="33"/>
      <c r="E201" s="33"/>
      <c r="F201" s="33"/>
      <c r="G201" s="33"/>
      <c r="H201" s="33"/>
      <c r="I201" s="33"/>
      <c r="J201" s="33"/>
      <c r="K201" s="33"/>
      <c r="L201" s="33"/>
      <c r="M201" s="33"/>
      <c r="N201" s="33"/>
    </row>
    <row r="202" spans="1:14" hidden="1" x14ac:dyDescent="0.3">
      <c r="A202" s="37"/>
      <c r="B202" s="33"/>
      <c r="C202" s="33"/>
      <c r="D202" s="33"/>
      <c r="E202" s="33"/>
      <c r="F202" s="33"/>
      <c r="G202" s="33"/>
      <c r="H202" s="33"/>
      <c r="I202" s="33"/>
      <c r="J202" s="33"/>
      <c r="K202" s="33"/>
      <c r="L202" s="33"/>
      <c r="M202" s="33"/>
      <c r="N202" s="33"/>
    </row>
    <row r="203" spans="1:14" hidden="1" x14ac:dyDescent="0.3">
      <c r="A203" s="37"/>
      <c r="B203" s="33"/>
      <c r="C203" s="33"/>
      <c r="D203" s="33"/>
      <c r="E203" s="33"/>
      <c r="F203" s="33"/>
      <c r="G203" s="33"/>
      <c r="H203" s="33"/>
      <c r="I203" s="33"/>
      <c r="J203" s="33"/>
      <c r="K203" s="33"/>
      <c r="L203" s="33"/>
      <c r="M203" s="33"/>
      <c r="N203" s="33"/>
    </row>
    <row r="204" spans="1:14" hidden="1" x14ac:dyDescent="0.3">
      <c r="A204" s="37"/>
      <c r="B204" s="33"/>
      <c r="C204" s="33"/>
      <c r="D204" s="33"/>
      <c r="E204" s="33"/>
      <c r="F204" s="33"/>
      <c r="G204" s="33"/>
      <c r="H204" s="33"/>
      <c r="I204" s="33"/>
      <c r="J204" s="33"/>
      <c r="K204" s="33"/>
      <c r="L204" s="33"/>
      <c r="M204" s="33"/>
      <c r="N204" s="33"/>
    </row>
    <row r="205" spans="1:14" hidden="1" x14ac:dyDescent="0.3">
      <c r="A205" s="37"/>
      <c r="B205" s="33"/>
      <c r="C205" s="33"/>
      <c r="D205" s="33"/>
      <c r="E205" s="33"/>
      <c r="F205" s="33"/>
      <c r="G205" s="33"/>
      <c r="H205" s="33"/>
      <c r="I205" s="33"/>
      <c r="J205" s="33"/>
      <c r="K205" s="33"/>
      <c r="L205" s="33"/>
      <c r="M205" s="33"/>
      <c r="N205" s="33"/>
    </row>
    <row r="206" spans="1:14" hidden="1" x14ac:dyDescent="0.3">
      <c r="A206" s="37"/>
      <c r="B206" s="33"/>
      <c r="C206" s="33"/>
      <c r="D206" s="33"/>
      <c r="E206" s="33"/>
      <c r="F206" s="33"/>
      <c r="G206" s="33"/>
      <c r="H206" s="33"/>
      <c r="I206" s="33"/>
      <c r="J206" s="33"/>
      <c r="K206" s="33"/>
      <c r="L206" s="33"/>
      <c r="M206" s="33"/>
      <c r="N206" s="33"/>
    </row>
    <row r="207" spans="1:14" hidden="1" x14ac:dyDescent="0.3">
      <c r="A207" s="37"/>
      <c r="B207" s="33"/>
      <c r="C207" s="33"/>
      <c r="D207" s="33"/>
      <c r="E207" s="33"/>
      <c r="F207" s="33"/>
      <c r="G207" s="33"/>
      <c r="H207" s="33"/>
      <c r="I207" s="33"/>
      <c r="J207" s="33"/>
      <c r="K207" s="33"/>
      <c r="L207" s="33"/>
      <c r="M207" s="33"/>
      <c r="N207" s="33"/>
    </row>
    <row r="208" spans="1:14" hidden="1" x14ac:dyDescent="0.3">
      <c r="A208" s="37"/>
      <c r="B208" s="33"/>
      <c r="C208" s="33"/>
      <c r="D208" s="33"/>
      <c r="E208" s="33"/>
      <c r="F208" s="33"/>
      <c r="G208" s="33"/>
      <c r="H208" s="33"/>
      <c r="I208" s="33"/>
      <c r="J208" s="33"/>
      <c r="K208" s="33"/>
      <c r="L208" s="33"/>
      <c r="M208" s="33"/>
      <c r="N208" s="33"/>
    </row>
    <row r="209" spans="1:14" hidden="1" x14ac:dyDescent="0.3">
      <c r="A209" s="37"/>
      <c r="B209" s="33"/>
      <c r="C209" s="33"/>
      <c r="D209" s="33"/>
      <c r="E209" s="33"/>
      <c r="F209" s="33"/>
      <c r="G209" s="33"/>
      <c r="H209" s="33"/>
      <c r="I209" s="33"/>
      <c r="J209" s="33"/>
      <c r="K209" s="33"/>
      <c r="L209" s="33"/>
      <c r="M209" s="33"/>
      <c r="N209" s="33"/>
    </row>
    <row r="210" spans="1:14" hidden="1" x14ac:dyDescent="0.3">
      <c r="A210" s="37"/>
      <c r="B210" s="33"/>
      <c r="C210" s="33"/>
      <c r="D210" s="33"/>
      <c r="E210" s="33"/>
      <c r="F210" s="33"/>
      <c r="G210" s="33"/>
      <c r="H210" s="33"/>
      <c r="I210" s="33"/>
      <c r="J210" s="33"/>
      <c r="K210" s="33"/>
      <c r="L210" s="33"/>
      <c r="M210" s="33"/>
      <c r="N210" s="33"/>
    </row>
    <row r="211" spans="1:14" hidden="1" x14ac:dyDescent="0.3">
      <c r="A211" s="37"/>
      <c r="B211" s="33"/>
      <c r="C211" s="33"/>
      <c r="D211" s="33"/>
      <c r="E211" s="33"/>
      <c r="F211" s="33"/>
      <c r="G211" s="33"/>
      <c r="H211" s="33"/>
      <c r="I211" s="33"/>
      <c r="J211" s="33"/>
      <c r="K211" s="33"/>
      <c r="L211" s="33"/>
      <c r="M211" s="33"/>
      <c r="N211" s="33"/>
    </row>
    <row r="212" spans="1:14" hidden="1" x14ac:dyDescent="0.3">
      <c r="A212" s="37"/>
      <c r="B212" s="33"/>
      <c r="C212" s="33"/>
      <c r="D212" s="33"/>
      <c r="E212" s="33"/>
      <c r="F212" s="33"/>
      <c r="G212" s="33"/>
      <c r="H212" s="33"/>
      <c r="I212" s="33"/>
      <c r="J212" s="33"/>
      <c r="K212" s="33"/>
      <c r="L212" s="33"/>
      <c r="M212" s="33"/>
      <c r="N212" s="33"/>
    </row>
    <row r="213" spans="1:14" hidden="1" x14ac:dyDescent="0.3">
      <c r="A213" s="37"/>
      <c r="B213" s="33"/>
      <c r="C213" s="33"/>
      <c r="D213" s="33"/>
      <c r="E213" s="33"/>
      <c r="F213" s="33"/>
      <c r="G213" s="33"/>
      <c r="H213" s="33"/>
      <c r="I213" s="33"/>
      <c r="J213" s="33"/>
      <c r="K213" s="33"/>
      <c r="L213" s="33"/>
      <c r="M213" s="33"/>
      <c r="N213" s="33"/>
    </row>
    <row r="214" spans="1:14" hidden="1" x14ac:dyDescent="0.3">
      <c r="A214" s="37"/>
      <c r="B214" s="33"/>
      <c r="C214" s="33"/>
      <c r="D214" s="33"/>
      <c r="E214" s="33"/>
      <c r="F214" s="33"/>
      <c r="G214" s="33"/>
      <c r="H214" s="33"/>
      <c r="I214" s="33"/>
      <c r="J214" s="33"/>
      <c r="K214" s="33"/>
      <c r="L214" s="33"/>
      <c r="M214" s="33"/>
      <c r="N214" s="33"/>
    </row>
    <row r="215" spans="1:14" hidden="1" x14ac:dyDescent="0.3">
      <c r="A215" s="37"/>
      <c r="B215" s="33"/>
      <c r="C215" s="33"/>
      <c r="D215" s="33"/>
      <c r="E215" s="33"/>
      <c r="F215" s="33"/>
      <c r="G215" s="33"/>
      <c r="H215" s="33"/>
      <c r="I215" s="33"/>
      <c r="J215" s="33"/>
      <c r="K215" s="33"/>
      <c r="L215" s="33"/>
      <c r="M215" s="33"/>
      <c r="N215" s="33"/>
    </row>
    <row r="216" spans="1:14" hidden="1" x14ac:dyDescent="0.3">
      <c r="A216" s="37"/>
      <c r="B216" s="33"/>
      <c r="C216" s="33"/>
      <c r="D216" s="33"/>
      <c r="E216" s="33"/>
      <c r="F216" s="33"/>
      <c r="G216" s="33"/>
      <c r="H216" s="33"/>
      <c r="I216" s="33"/>
      <c r="J216" s="33"/>
      <c r="K216" s="33"/>
      <c r="L216" s="33"/>
      <c r="M216" s="33"/>
      <c r="N216" s="33"/>
    </row>
    <row r="217" spans="1:14" hidden="1" x14ac:dyDescent="0.3">
      <c r="A217" s="37"/>
      <c r="B217" s="33"/>
      <c r="C217" s="33"/>
      <c r="D217" s="33"/>
      <c r="E217" s="33"/>
      <c r="F217" s="33"/>
      <c r="G217" s="33"/>
      <c r="H217" s="33"/>
      <c r="I217" s="33"/>
      <c r="J217" s="33"/>
      <c r="K217" s="33"/>
      <c r="L217" s="33"/>
      <c r="M217" s="33"/>
      <c r="N217" s="33"/>
    </row>
    <row r="218" spans="1:14" hidden="1" x14ac:dyDescent="0.3">
      <c r="A218" s="37"/>
      <c r="B218" s="33"/>
      <c r="C218" s="33"/>
      <c r="D218" s="33"/>
      <c r="E218" s="33"/>
      <c r="F218" s="33"/>
      <c r="G218" s="33"/>
      <c r="H218" s="33"/>
      <c r="I218" s="33"/>
      <c r="J218" s="33"/>
      <c r="K218" s="33"/>
      <c r="L218" s="33"/>
      <c r="M218" s="33"/>
      <c r="N218" s="33"/>
    </row>
    <row r="219" spans="1:14" hidden="1" x14ac:dyDescent="0.3">
      <c r="A219" s="37"/>
      <c r="B219" s="33"/>
      <c r="C219" s="33"/>
      <c r="D219" s="33"/>
      <c r="E219" s="33"/>
      <c r="F219" s="33"/>
      <c r="G219" s="33"/>
      <c r="H219" s="33"/>
      <c r="I219" s="33"/>
      <c r="J219" s="33"/>
      <c r="K219" s="33"/>
      <c r="L219" s="33"/>
      <c r="M219" s="33"/>
      <c r="N219" s="33"/>
    </row>
    <row r="220" spans="1:14" hidden="1" x14ac:dyDescent="0.3">
      <c r="A220" s="37"/>
      <c r="B220" s="33"/>
      <c r="C220" s="33"/>
      <c r="D220" s="33"/>
      <c r="E220" s="33"/>
      <c r="F220" s="33"/>
      <c r="G220" s="33"/>
      <c r="H220" s="33"/>
      <c r="I220" s="33"/>
      <c r="J220" s="33"/>
      <c r="K220" s="33"/>
      <c r="L220" s="33"/>
      <c r="M220" s="33"/>
      <c r="N220" s="33"/>
    </row>
    <row r="221" spans="1:14" hidden="1" x14ac:dyDescent="0.3">
      <c r="A221" s="37"/>
      <c r="B221" s="33"/>
      <c r="C221" s="33"/>
      <c r="D221" s="33"/>
      <c r="E221" s="33"/>
      <c r="F221" s="33"/>
      <c r="G221" s="33"/>
      <c r="H221" s="33"/>
      <c r="I221" s="33"/>
      <c r="J221" s="33"/>
      <c r="K221" s="33"/>
      <c r="L221" s="33"/>
      <c r="M221" s="33"/>
      <c r="N221" s="33"/>
    </row>
    <row r="222" spans="1:14" hidden="1" x14ac:dyDescent="0.3">
      <c r="A222" s="37"/>
      <c r="B222" s="33"/>
      <c r="C222" s="33"/>
      <c r="D222" s="33"/>
      <c r="E222" s="33"/>
      <c r="F222" s="33"/>
      <c r="G222" s="33"/>
      <c r="H222" s="33"/>
      <c r="I222" s="33"/>
      <c r="J222" s="33"/>
      <c r="K222" s="33"/>
      <c r="L222" s="33"/>
      <c r="M222" s="33"/>
      <c r="N222" s="33"/>
    </row>
    <row r="223" spans="1:14" hidden="1" x14ac:dyDescent="0.3">
      <c r="A223" s="37"/>
      <c r="B223" s="33"/>
      <c r="C223" s="33"/>
      <c r="D223" s="33"/>
      <c r="E223" s="33"/>
      <c r="F223" s="33"/>
      <c r="G223" s="33"/>
      <c r="H223" s="33"/>
      <c r="I223" s="33"/>
      <c r="J223" s="33"/>
      <c r="K223" s="33"/>
      <c r="L223" s="33"/>
      <c r="M223" s="33"/>
      <c r="N223" s="33"/>
    </row>
    <row r="224" spans="1:14" hidden="1" x14ac:dyDescent="0.3">
      <c r="A224" s="37"/>
      <c r="B224" s="33"/>
      <c r="C224" s="33"/>
      <c r="D224" s="33"/>
      <c r="E224" s="33"/>
      <c r="F224" s="33"/>
      <c r="G224" s="33"/>
      <c r="H224" s="33"/>
      <c r="I224" s="33"/>
      <c r="J224" s="33"/>
      <c r="K224" s="33"/>
      <c r="L224" s="33"/>
      <c r="M224" s="33"/>
      <c r="N224" s="33"/>
    </row>
    <row r="225" spans="1:14" hidden="1" x14ac:dyDescent="0.3">
      <c r="A225" s="37"/>
      <c r="B225" s="33"/>
      <c r="C225" s="33"/>
      <c r="D225" s="33"/>
      <c r="E225" s="33"/>
      <c r="F225" s="33"/>
      <c r="G225" s="33"/>
      <c r="H225" s="33"/>
      <c r="I225" s="33"/>
      <c r="J225" s="33"/>
      <c r="K225" s="33"/>
      <c r="L225" s="33"/>
      <c r="M225" s="33"/>
      <c r="N225" s="33"/>
    </row>
    <row r="226" spans="1:14" hidden="1" x14ac:dyDescent="0.3">
      <c r="A226" s="37"/>
      <c r="B226" s="33"/>
      <c r="C226" s="33"/>
      <c r="D226" s="33"/>
      <c r="E226" s="33"/>
      <c r="F226" s="33"/>
      <c r="G226" s="33"/>
      <c r="H226" s="33"/>
      <c r="I226" s="33"/>
      <c r="J226" s="33"/>
      <c r="K226" s="33"/>
      <c r="L226" s="33"/>
      <c r="M226" s="33"/>
      <c r="N226" s="33"/>
    </row>
    <row r="227" spans="1:14" hidden="1" x14ac:dyDescent="0.3">
      <c r="A227" s="37"/>
      <c r="B227" s="33"/>
      <c r="C227" s="33"/>
      <c r="D227" s="33"/>
      <c r="E227" s="33"/>
      <c r="F227" s="33"/>
      <c r="G227" s="33"/>
      <c r="H227" s="33"/>
      <c r="I227" s="33"/>
      <c r="J227" s="33"/>
      <c r="K227" s="33"/>
      <c r="L227" s="33"/>
      <c r="M227" s="33"/>
      <c r="N227" s="33"/>
    </row>
    <row r="228" spans="1:14" hidden="1" x14ac:dyDescent="0.3">
      <c r="A228" s="37"/>
      <c r="B228" s="33"/>
      <c r="C228" s="33"/>
      <c r="D228" s="33"/>
      <c r="E228" s="33"/>
      <c r="F228" s="33"/>
      <c r="G228" s="33"/>
      <c r="H228" s="33"/>
      <c r="I228" s="33"/>
      <c r="J228" s="33"/>
      <c r="K228" s="33"/>
      <c r="L228" s="33"/>
      <c r="M228" s="33"/>
      <c r="N228" s="33"/>
    </row>
    <row r="229" spans="1:14" hidden="1" x14ac:dyDescent="0.3">
      <c r="A229" s="37"/>
      <c r="B229" s="33"/>
      <c r="C229" s="33"/>
      <c r="D229" s="33"/>
      <c r="E229" s="33"/>
      <c r="F229" s="33"/>
      <c r="G229" s="33"/>
      <c r="H229" s="33"/>
      <c r="I229" s="33"/>
      <c r="J229" s="33"/>
      <c r="K229" s="33"/>
      <c r="L229" s="33"/>
      <c r="M229" s="33"/>
      <c r="N229" s="33"/>
    </row>
    <row r="230" spans="1:14" hidden="1" x14ac:dyDescent="0.3">
      <c r="A230" s="37"/>
      <c r="B230" s="33"/>
      <c r="C230" s="33"/>
      <c r="D230" s="33"/>
      <c r="E230" s="33"/>
      <c r="F230" s="33"/>
      <c r="G230" s="33"/>
      <c r="H230" s="33"/>
      <c r="I230" s="33"/>
      <c r="J230" s="33"/>
      <c r="K230" s="33"/>
      <c r="L230" s="33"/>
      <c r="M230" s="33"/>
      <c r="N230" s="33"/>
    </row>
    <row r="231" spans="1:14" hidden="1" x14ac:dyDescent="0.3">
      <c r="A231" s="37"/>
      <c r="B231" s="33"/>
      <c r="C231" s="33"/>
      <c r="D231" s="33"/>
      <c r="E231" s="33"/>
      <c r="F231" s="33"/>
      <c r="G231" s="33"/>
      <c r="H231" s="33"/>
      <c r="I231" s="33"/>
      <c r="J231" s="33"/>
      <c r="K231" s="33"/>
      <c r="L231" s="33"/>
      <c r="M231" s="33"/>
      <c r="N231" s="33"/>
    </row>
    <row r="232" spans="1:14" hidden="1" x14ac:dyDescent="0.3">
      <c r="A232" s="37"/>
      <c r="B232" s="33"/>
      <c r="C232" s="33"/>
      <c r="D232" s="33"/>
      <c r="E232" s="33"/>
      <c r="F232" s="33"/>
      <c r="G232" s="33"/>
      <c r="H232" s="33"/>
      <c r="I232" s="33"/>
      <c r="J232" s="33"/>
      <c r="K232" s="33"/>
      <c r="L232" s="33"/>
      <c r="M232" s="33"/>
      <c r="N232" s="33"/>
    </row>
    <row r="233" spans="1:14" hidden="1" x14ac:dyDescent="0.3">
      <c r="A233" s="37"/>
      <c r="B233" s="33"/>
      <c r="C233" s="33"/>
      <c r="D233" s="33"/>
      <c r="E233" s="33"/>
      <c r="F233" s="33"/>
      <c r="G233" s="33"/>
      <c r="H233" s="33"/>
      <c r="I233" s="33"/>
      <c r="J233" s="33"/>
      <c r="K233" s="33"/>
      <c r="L233" s="33"/>
      <c r="M233" s="33"/>
      <c r="N233" s="33"/>
    </row>
    <row r="234" spans="1:14" hidden="1" x14ac:dyDescent="0.3">
      <c r="A234" s="37"/>
      <c r="B234" s="33"/>
      <c r="C234" s="33"/>
      <c r="D234" s="33"/>
      <c r="E234" s="33"/>
      <c r="F234" s="33"/>
      <c r="G234" s="33"/>
      <c r="H234" s="33"/>
      <c r="I234" s="33"/>
      <c r="J234" s="33"/>
      <c r="K234" s="33"/>
      <c r="L234" s="33"/>
      <c r="M234" s="33"/>
      <c r="N234" s="33"/>
    </row>
    <row r="235" spans="1:14" hidden="1" x14ac:dyDescent="0.3">
      <c r="A235" s="37"/>
      <c r="B235" s="33"/>
      <c r="C235" s="33"/>
      <c r="D235" s="33"/>
      <c r="E235" s="33"/>
      <c r="F235" s="33"/>
      <c r="G235" s="33"/>
      <c r="H235" s="33"/>
      <c r="I235" s="33"/>
      <c r="J235" s="33"/>
      <c r="K235" s="33"/>
      <c r="L235" s="33"/>
      <c r="M235" s="33"/>
      <c r="N235" s="33"/>
    </row>
    <row r="236" spans="1:14" hidden="1" x14ac:dyDescent="0.3">
      <c r="A236" s="37"/>
      <c r="B236" s="33"/>
      <c r="C236" s="33"/>
      <c r="D236" s="33"/>
      <c r="E236" s="33"/>
      <c r="F236" s="33"/>
      <c r="G236" s="33"/>
      <c r="H236" s="33"/>
      <c r="I236" s="33"/>
      <c r="J236" s="33"/>
      <c r="K236" s="33"/>
      <c r="L236" s="33"/>
      <c r="M236" s="33"/>
      <c r="N236" s="33"/>
    </row>
    <row r="237" spans="1:14" hidden="1" x14ac:dyDescent="0.3">
      <c r="A237" s="37"/>
      <c r="B237" s="33"/>
      <c r="C237" s="33"/>
      <c r="D237" s="33"/>
      <c r="E237" s="33"/>
      <c r="F237" s="33"/>
      <c r="G237" s="33"/>
      <c r="H237" s="33"/>
      <c r="I237" s="33"/>
      <c r="J237" s="33"/>
      <c r="K237" s="33"/>
      <c r="L237" s="33"/>
      <c r="M237" s="33"/>
      <c r="N237" s="33"/>
    </row>
    <row r="238" spans="1:14" hidden="1" x14ac:dyDescent="0.3">
      <c r="A238" s="37"/>
      <c r="B238" s="33"/>
      <c r="C238" s="33"/>
      <c r="D238" s="33"/>
      <c r="E238" s="33"/>
      <c r="F238" s="33"/>
      <c r="G238" s="33"/>
      <c r="H238" s="33"/>
      <c r="I238" s="33"/>
      <c r="J238" s="33"/>
      <c r="K238" s="33"/>
      <c r="L238" s="33"/>
      <c r="M238" s="33"/>
      <c r="N238" s="33"/>
    </row>
    <row r="239" spans="1:14" hidden="1" x14ac:dyDescent="0.3">
      <c r="A239" s="37"/>
      <c r="B239" s="33"/>
      <c r="C239" s="33"/>
      <c r="D239" s="33"/>
      <c r="E239" s="33"/>
      <c r="F239" s="33"/>
      <c r="G239" s="33"/>
      <c r="H239" s="33"/>
      <c r="I239" s="33"/>
      <c r="J239" s="33"/>
      <c r="K239" s="33"/>
      <c r="L239" s="33"/>
      <c r="M239" s="33"/>
      <c r="N239" s="33"/>
    </row>
    <row r="240" spans="1:14" hidden="1" x14ac:dyDescent="0.3">
      <c r="A240" s="37"/>
      <c r="B240" s="33"/>
      <c r="C240" s="33"/>
      <c r="D240" s="33"/>
      <c r="E240" s="33"/>
      <c r="F240" s="33"/>
      <c r="G240" s="33"/>
      <c r="H240" s="33"/>
      <c r="I240" s="33"/>
      <c r="J240" s="33"/>
      <c r="K240" s="33"/>
      <c r="L240" s="33"/>
      <c r="M240" s="33"/>
      <c r="N240" s="33"/>
    </row>
    <row r="241" spans="1:14" hidden="1" x14ac:dyDescent="0.3">
      <c r="A241" s="37"/>
      <c r="B241" s="33"/>
      <c r="C241" s="33"/>
      <c r="D241" s="33"/>
      <c r="E241" s="33"/>
      <c r="F241" s="33"/>
      <c r="G241" s="33"/>
      <c r="H241" s="33"/>
      <c r="I241" s="33"/>
      <c r="J241" s="33"/>
      <c r="K241" s="33"/>
      <c r="L241" s="33"/>
      <c r="M241" s="33"/>
      <c r="N241" s="33"/>
    </row>
    <row r="242" spans="1:14" hidden="1" x14ac:dyDescent="0.3">
      <c r="A242" s="37"/>
      <c r="B242" s="33"/>
      <c r="C242" s="33"/>
      <c r="D242" s="33"/>
      <c r="E242" s="33"/>
      <c r="F242" s="33"/>
      <c r="G242" s="33"/>
      <c r="H242" s="33"/>
      <c r="I242" s="33"/>
      <c r="J242" s="33"/>
      <c r="K242" s="33"/>
      <c r="L242" s="33"/>
      <c r="M242" s="33"/>
      <c r="N242" s="33"/>
    </row>
    <row r="243" spans="1:14" hidden="1" x14ac:dyDescent="0.3">
      <c r="A243" s="37"/>
      <c r="B243" s="33"/>
      <c r="C243" s="33"/>
      <c r="D243" s="33"/>
      <c r="E243" s="33"/>
      <c r="F243" s="33"/>
      <c r="G243" s="33"/>
      <c r="H243" s="33"/>
      <c r="I243" s="33"/>
      <c r="J243" s="33"/>
      <c r="K243" s="33"/>
      <c r="L243" s="33"/>
      <c r="M243" s="33"/>
      <c r="N243" s="33"/>
    </row>
    <row r="244" spans="1:14" hidden="1" x14ac:dyDescent="0.3">
      <c r="A244" s="37"/>
      <c r="B244" s="33"/>
      <c r="C244" s="33"/>
      <c r="D244" s="33"/>
      <c r="E244" s="33"/>
      <c r="F244" s="33"/>
      <c r="G244" s="33"/>
      <c r="H244" s="33"/>
      <c r="I244" s="33"/>
      <c r="J244" s="33"/>
      <c r="K244" s="33"/>
      <c r="L244" s="33"/>
      <c r="M244" s="33"/>
      <c r="N244" s="33"/>
    </row>
    <row r="245" spans="1:14" hidden="1" x14ac:dyDescent="0.3">
      <c r="A245" s="37"/>
      <c r="B245" s="33"/>
      <c r="C245" s="33"/>
      <c r="D245" s="33"/>
      <c r="E245" s="33"/>
      <c r="F245" s="33"/>
      <c r="G245" s="33"/>
      <c r="H245" s="33"/>
      <c r="I245" s="33"/>
      <c r="J245" s="33"/>
      <c r="K245" s="33"/>
      <c r="L245" s="33"/>
      <c r="M245" s="33"/>
      <c r="N245" s="33"/>
    </row>
    <row r="246" spans="1:14" hidden="1" x14ac:dyDescent="0.3">
      <c r="A246" s="37"/>
      <c r="B246" s="33"/>
      <c r="C246" s="33"/>
      <c r="D246" s="33"/>
      <c r="E246" s="33"/>
      <c r="F246" s="33"/>
      <c r="G246" s="33"/>
      <c r="H246" s="33"/>
      <c r="I246" s="33"/>
      <c r="J246" s="33"/>
      <c r="K246" s="33"/>
      <c r="L246" s="33"/>
      <c r="M246" s="33"/>
      <c r="N246" s="33"/>
    </row>
    <row r="247" spans="1:14" hidden="1" x14ac:dyDescent="0.3">
      <c r="A247" s="37"/>
      <c r="B247" s="33"/>
      <c r="C247" s="33"/>
      <c r="D247" s="33"/>
      <c r="E247" s="33"/>
      <c r="F247" s="33"/>
      <c r="G247" s="33"/>
      <c r="H247" s="33"/>
      <c r="I247" s="33"/>
      <c r="J247" s="33"/>
      <c r="K247" s="33"/>
      <c r="L247" s="33"/>
      <c r="M247" s="33"/>
      <c r="N247" s="33"/>
    </row>
    <row r="248" spans="1:14" hidden="1" x14ac:dyDescent="0.3">
      <c r="A248" s="37"/>
      <c r="B248" s="33"/>
      <c r="C248" s="33"/>
      <c r="D248" s="33"/>
      <c r="E248" s="33"/>
      <c r="F248" s="33"/>
      <c r="G248" s="33"/>
      <c r="H248" s="33"/>
      <c r="I248" s="33"/>
      <c r="J248" s="33"/>
      <c r="K248" s="33"/>
      <c r="L248" s="33"/>
      <c r="M248" s="33"/>
      <c r="N248" s="33"/>
    </row>
    <row r="249" spans="1:14" hidden="1" x14ac:dyDescent="0.3">
      <c r="A249" s="37"/>
      <c r="B249" s="33"/>
      <c r="C249" s="33"/>
      <c r="D249" s="33"/>
      <c r="E249" s="33"/>
      <c r="F249" s="33"/>
      <c r="G249" s="33"/>
      <c r="H249" s="33"/>
      <c r="I249" s="33"/>
      <c r="J249" s="33"/>
      <c r="K249" s="33"/>
      <c r="L249" s="33"/>
      <c r="M249" s="33"/>
      <c r="N249" s="33"/>
    </row>
    <row r="250" spans="1:14" hidden="1" x14ac:dyDescent="0.3">
      <c r="A250" s="37"/>
      <c r="B250" s="33"/>
      <c r="C250" s="33"/>
      <c r="D250" s="33"/>
      <c r="E250" s="33"/>
      <c r="F250" s="33"/>
      <c r="G250" s="33"/>
      <c r="H250" s="33"/>
      <c r="I250" s="33"/>
      <c r="J250" s="33"/>
      <c r="K250" s="33"/>
      <c r="L250" s="33"/>
      <c r="M250" s="33"/>
      <c r="N250" s="33"/>
    </row>
    <row r="251" spans="1:14" hidden="1" x14ac:dyDescent="0.3">
      <c r="A251" s="37"/>
      <c r="B251" s="33"/>
      <c r="C251" s="33"/>
      <c r="D251" s="33"/>
      <c r="E251" s="33"/>
      <c r="F251" s="33"/>
      <c r="G251" s="33"/>
      <c r="H251" s="33"/>
      <c r="I251" s="33"/>
      <c r="J251" s="33"/>
      <c r="K251" s="33"/>
      <c r="L251" s="33"/>
      <c r="M251" s="33"/>
      <c r="N251" s="33"/>
    </row>
    <row r="252" spans="1:14" hidden="1" x14ac:dyDescent="0.3">
      <c r="A252" s="37"/>
      <c r="B252" s="33"/>
      <c r="C252" s="33"/>
      <c r="D252" s="33"/>
      <c r="E252" s="33"/>
      <c r="F252" s="33"/>
      <c r="G252" s="33"/>
      <c r="H252" s="33"/>
      <c r="I252" s="33"/>
      <c r="J252" s="33"/>
      <c r="K252" s="33"/>
      <c r="L252" s="33"/>
      <c r="M252" s="33"/>
      <c r="N252" s="33"/>
    </row>
    <row r="253" spans="1:14" hidden="1" x14ac:dyDescent="0.3">
      <c r="A253" s="37"/>
      <c r="B253" s="33"/>
      <c r="C253" s="33"/>
      <c r="D253" s="33"/>
      <c r="E253" s="33"/>
      <c r="F253" s="33"/>
      <c r="G253" s="33"/>
      <c r="H253" s="33"/>
      <c r="I253" s="33"/>
      <c r="J253" s="33"/>
      <c r="K253" s="33"/>
      <c r="L253" s="33"/>
      <c r="M253" s="33"/>
      <c r="N253" s="33"/>
    </row>
    <row r="254" spans="1:14" hidden="1" x14ac:dyDescent="0.3">
      <c r="A254" s="37"/>
      <c r="B254" s="33"/>
      <c r="C254" s="33"/>
      <c r="D254" s="33"/>
      <c r="E254" s="33"/>
      <c r="F254" s="33"/>
      <c r="G254" s="33"/>
      <c r="H254" s="33"/>
      <c r="I254" s="33"/>
      <c r="J254" s="33"/>
      <c r="K254" s="33"/>
      <c r="L254" s="33"/>
      <c r="M254" s="33"/>
      <c r="N254" s="33"/>
    </row>
    <row r="255" spans="1:14" hidden="1" x14ac:dyDescent="0.3">
      <c r="A255" s="37"/>
      <c r="B255" s="33"/>
      <c r="C255" s="33"/>
      <c r="D255" s="33"/>
      <c r="E255" s="33"/>
      <c r="F255" s="33"/>
      <c r="G255" s="33"/>
      <c r="H255" s="33"/>
      <c r="I255" s="33"/>
      <c r="J255" s="33"/>
      <c r="K255" s="33"/>
      <c r="L255" s="33"/>
      <c r="M255" s="33"/>
      <c r="N255" s="33"/>
    </row>
    <row r="256" spans="1:14" hidden="1" x14ac:dyDescent="0.3">
      <c r="A256" s="37"/>
      <c r="B256" s="33"/>
      <c r="C256" s="33"/>
      <c r="D256" s="33"/>
      <c r="E256" s="33"/>
      <c r="F256" s="33"/>
      <c r="G256" s="33"/>
      <c r="H256" s="33"/>
      <c r="I256" s="33"/>
      <c r="J256" s="33"/>
      <c r="K256" s="33"/>
      <c r="L256" s="33"/>
      <c r="M256" s="33"/>
      <c r="N256" s="33"/>
    </row>
    <row r="257" spans="1:14" hidden="1" x14ac:dyDescent="0.3">
      <c r="A257" s="37"/>
      <c r="B257" s="33"/>
      <c r="C257" s="33"/>
      <c r="D257" s="33"/>
      <c r="E257" s="33"/>
      <c r="F257" s="33"/>
      <c r="G257" s="33"/>
      <c r="H257" s="33"/>
      <c r="I257" s="33"/>
      <c r="J257" s="33"/>
      <c r="K257" s="33"/>
      <c r="L257" s="33"/>
      <c r="M257" s="33"/>
      <c r="N257" s="33"/>
    </row>
    <row r="258" spans="1:14" hidden="1" x14ac:dyDescent="0.3">
      <c r="A258" s="37"/>
      <c r="B258" s="33"/>
      <c r="C258" s="33"/>
      <c r="D258" s="33"/>
      <c r="E258" s="33"/>
      <c r="F258" s="33"/>
      <c r="G258" s="33"/>
      <c r="H258" s="33"/>
      <c r="I258" s="33"/>
      <c r="J258" s="33"/>
      <c r="K258" s="33"/>
      <c r="L258" s="33"/>
      <c r="M258" s="33"/>
      <c r="N258" s="33"/>
    </row>
    <row r="259" spans="1:14" hidden="1" x14ac:dyDescent="0.3">
      <c r="A259" s="37"/>
      <c r="B259" s="33"/>
      <c r="C259" s="33"/>
      <c r="D259" s="33"/>
      <c r="E259" s="33"/>
      <c r="F259" s="33"/>
      <c r="G259" s="33"/>
      <c r="H259" s="33"/>
      <c r="I259" s="33"/>
      <c r="J259" s="33"/>
      <c r="K259" s="33"/>
      <c r="L259" s="33"/>
      <c r="M259" s="33"/>
      <c r="N259" s="33"/>
    </row>
    <row r="260" spans="1:14" hidden="1" x14ac:dyDescent="0.3">
      <c r="A260" s="37"/>
      <c r="B260" s="33"/>
      <c r="C260" s="33"/>
      <c r="D260" s="33"/>
      <c r="E260" s="33"/>
      <c r="F260" s="33"/>
      <c r="G260" s="33"/>
      <c r="H260" s="33"/>
      <c r="I260" s="33"/>
      <c r="J260" s="33"/>
      <c r="K260" s="33"/>
      <c r="L260" s="33"/>
      <c r="M260" s="33"/>
      <c r="N260" s="33"/>
    </row>
    <row r="261" spans="1:14" hidden="1" x14ac:dyDescent="0.3">
      <c r="A261" s="37"/>
      <c r="B261" s="33"/>
      <c r="C261" s="33"/>
      <c r="D261" s="33"/>
      <c r="E261" s="33"/>
      <c r="F261" s="33"/>
      <c r="G261" s="33"/>
      <c r="H261" s="33"/>
      <c r="I261" s="33"/>
      <c r="J261" s="33"/>
      <c r="K261" s="33"/>
      <c r="L261" s="33"/>
      <c r="M261" s="33"/>
      <c r="N261" s="33"/>
    </row>
    <row r="262" spans="1:14" hidden="1" x14ac:dyDescent="0.3">
      <c r="A262" s="37"/>
      <c r="B262" s="33"/>
      <c r="C262" s="33"/>
      <c r="D262" s="33"/>
      <c r="E262" s="33"/>
      <c r="F262" s="33"/>
      <c r="G262" s="33"/>
      <c r="H262" s="33"/>
      <c r="I262" s="33"/>
      <c r="J262" s="33"/>
      <c r="K262" s="33"/>
      <c r="L262" s="33"/>
      <c r="M262" s="33"/>
      <c r="N262" s="33"/>
    </row>
    <row r="263" spans="1:14" hidden="1" x14ac:dyDescent="0.3">
      <c r="A263" s="37"/>
      <c r="B263" s="33"/>
      <c r="C263" s="33"/>
      <c r="D263" s="33"/>
      <c r="E263" s="33"/>
      <c r="F263" s="33"/>
      <c r="G263" s="33"/>
      <c r="H263" s="33"/>
      <c r="I263" s="33"/>
      <c r="J263" s="33"/>
      <c r="K263" s="33"/>
      <c r="L263" s="33"/>
      <c r="M263" s="33"/>
      <c r="N263" s="33"/>
    </row>
    <row r="264" spans="1:14" hidden="1" x14ac:dyDescent="0.3">
      <c r="A264" s="37"/>
      <c r="B264" s="33"/>
      <c r="C264" s="33"/>
      <c r="D264" s="33"/>
      <c r="E264" s="33"/>
      <c r="F264" s="33"/>
      <c r="G264" s="33"/>
      <c r="H264" s="33"/>
      <c r="I264" s="33"/>
      <c r="J264" s="33"/>
      <c r="K264" s="33"/>
      <c r="L264" s="33"/>
      <c r="M264" s="33"/>
      <c r="N264" s="33"/>
    </row>
    <row r="265" spans="1:14" hidden="1" x14ac:dyDescent="0.3">
      <c r="A265" s="37"/>
      <c r="B265" s="33"/>
      <c r="C265" s="33"/>
      <c r="D265" s="33"/>
      <c r="E265" s="33"/>
      <c r="F265" s="33"/>
      <c r="G265" s="33"/>
      <c r="H265" s="33"/>
      <c r="I265" s="33"/>
      <c r="J265" s="33"/>
      <c r="K265" s="33"/>
      <c r="L265" s="33"/>
      <c r="M265" s="33"/>
      <c r="N265" s="33"/>
    </row>
    <row r="266" spans="1:14" hidden="1" x14ac:dyDescent="0.3">
      <c r="A266" s="37"/>
      <c r="B266" s="33"/>
      <c r="C266" s="33"/>
      <c r="D266" s="33"/>
      <c r="E266" s="33"/>
      <c r="F266" s="33"/>
      <c r="G266" s="33"/>
      <c r="H266" s="33"/>
      <c r="I266" s="33"/>
      <c r="J266" s="33"/>
      <c r="K266" s="33"/>
      <c r="L266" s="33"/>
      <c r="M266" s="33"/>
      <c r="N266" s="33"/>
    </row>
    <row r="267" spans="1:14" hidden="1" x14ac:dyDescent="0.3">
      <c r="A267" s="37"/>
      <c r="B267" s="33"/>
      <c r="C267" s="33"/>
      <c r="D267" s="33"/>
      <c r="E267" s="33"/>
      <c r="F267" s="33"/>
      <c r="G267" s="33"/>
      <c r="H267" s="33"/>
      <c r="I267" s="33"/>
      <c r="J267" s="33"/>
      <c r="K267" s="33"/>
      <c r="L267" s="33"/>
      <c r="M267" s="33"/>
      <c r="N267" s="33"/>
    </row>
    <row r="268" spans="1:14" hidden="1" x14ac:dyDescent="0.3">
      <c r="A268" s="37"/>
      <c r="B268" s="33"/>
      <c r="C268" s="33"/>
      <c r="D268" s="33"/>
      <c r="E268" s="33"/>
      <c r="F268" s="33"/>
      <c r="G268" s="33"/>
      <c r="H268" s="33"/>
      <c r="I268" s="33"/>
      <c r="J268" s="33"/>
      <c r="K268" s="33"/>
      <c r="L268" s="33"/>
      <c r="M268" s="33"/>
      <c r="N268" s="33"/>
    </row>
    <row r="269" spans="1:14" hidden="1" x14ac:dyDescent="0.3">
      <c r="A269" s="37"/>
      <c r="B269" s="33"/>
      <c r="C269" s="33"/>
      <c r="D269" s="33"/>
      <c r="E269" s="33"/>
      <c r="F269" s="33"/>
      <c r="G269" s="33"/>
      <c r="H269" s="33"/>
      <c r="I269" s="33"/>
      <c r="J269" s="33"/>
      <c r="K269" s="33"/>
      <c r="L269" s="33"/>
      <c r="M269" s="33"/>
      <c r="N269" s="33"/>
    </row>
    <row r="270" spans="1:14" hidden="1" x14ac:dyDescent="0.3">
      <c r="A270" s="37"/>
      <c r="B270" s="33"/>
      <c r="C270" s="33"/>
      <c r="D270" s="33"/>
      <c r="E270" s="33"/>
      <c r="F270" s="33"/>
      <c r="G270" s="33"/>
      <c r="H270" s="33"/>
      <c r="I270" s="33"/>
      <c r="J270" s="33"/>
      <c r="K270" s="33"/>
      <c r="L270" s="33"/>
      <c r="M270" s="33"/>
      <c r="N270" s="33"/>
    </row>
    <row r="271" spans="1:14" hidden="1" x14ac:dyDescent="0.3">
      <c r="A271" s="37"/>
      <c r="B271" s="33"/>
      <c r="C271" s="33"/>
      <c r="D271" s="33"/>
      <c r="E271" s="33"/>
      <c r="F271" s="33"/>
      <c r="G271" s="33"/>
      <c r="H271" s="33"/>
      <c r="I271" s="33"/>
      <c r="J271" s="33"/>
      <c r="K271" s="33"/>
      <c r="L271" s="33"/>
      <c r="M271" s="33"/>
      <c r="N271" s="33"/>
    </row>
    <row r="272" spans="1:14" hidden="1" x14ac:dyDescent="0.3">
      <c r="A272" s="37"/>
      <c r="B272" s="33"/>
      <c r="C272" s="33"/>
      <c r="D272" s="33"/>
      <c r="E272" s="33"/>
      <c r="F272" s="33"/>
      <c r="G272" s="33"/>
      <c r="H272" s="33"/>
      <c r="I272" s="33"/>
      <c r="J272" s="33"/>
      <c r="K272" s="33"/>
      <c r="L272" s="33"/>
      <c r="M272" s="33"/>
      <c r="N272" s="33"/>
    </row>
    <row r="273" spans="1:14" hidden="1" x14ac:dyDescent="0.3">
      <c r="A273" s="37"/>
      <c r="B273" s="33"/>
      <c r="C273" s="33"/>
      <c r="D273" s="33"/>
      <c r="E273" s="33"/>
      <c r="F273" s="33"/>
      <c r="G273" s="33"/>
      <c r="H273" s="33"/>
      <c r="I273" s="33"/>
      <c r="J273" s="33"/>
      <c r="K273" s="33"/>
      <c r="L273" s="33"/>
      <c r="M273" s="33"/>
      <c r="N273" s="33"/>
    </row>
    <row r="274" spans="1:14" hidden="1" x14ac:dyDescent="0.3">
      <c r="A274" s="37"/>
      <c r="B274" s="33"/>
      <c r="C274" s="33"/>
      <c r="D274" s="33"/>
      <c r="E274" s="33"/>
      <c r="F274" s="33"/>
      <c r="G274" s="33"/>
      <c r="H274" s="33"/>
      <c r="I274" s="33"/>
      <c r="J274" s="33"/>
      <c r="K274" s="33"/>
      <c r="L274" s="33"/>
      <c r="M274" s="33"/>
      <c r="N274" s="33"/>
    </row>
    <row r="275" spans="1:14" hidden="1" x14ac:dyDescent="0.3">
      <c r="A275" s="37"/>
      <c r="B275" s="33"/>
      <c r="C275" s="33"/>
      <c r="D275" s="33"/>
      <c r="E275" s="33"/>
      <c r="F275" s="33"/>
      <c r="G275" s="33"/>
      <c r="H275" s="33"/>
      <c r="I275" s="33"/>
      <c r="J275" s="33"/>
      <c r="K275" s="33"/>
      <c r="L275" s="33"/>
      <c r="M275" s="33"/>
      <c r="N275" s="33"/>
    </row>
    <row r="276" spans="1:14" hidden="1" x14ac:dyDescent="0.3">
      <c r="A276" s="37"/>
      <c r="B276" s="33"/>
      <c r="C276" s="33"/>
      <c r="D276" s="33"/>
      <c r="E276" s="33"/>
      <c r="F276" s="33"/>
      <c r="G276" s="33"/>
      <c r="H276" s="33"/>
      <c r="I276" s="33"/>
      <c r="J276" s="33"/>
      <c r="K276" s="33"/>
      <c r="L276" s="33"/>
      <c r="M276" s="33"/>
      <c r="N276" s="33"/>
    </row>
    <row r="277" spans="1:14" hidden="1" x14ac:dyDescent="0.3">
      <c r="A277" s="37"/>
      <c r="B277" s="33"/>
      <c r="C277" s="33"/>
      <c r="D277" s="33"/>
      <c r="E277" s="33"/>
      <c r="F277" s="33"/>
      <c r="G277" s="33"/>
      <c r="H277" s="33"/>
      <c r="I277" s="33"/>
      <c r="J277" s="33"/>
      <c r="K277" s="33"/>
      <c r="L277" s="33"/>
      <c r="M277" s="33"/>
      <c r="N277" s="33"/>
    </row>
    <row r="278" spans="1:14" hidden="1" x14ac:dyDescent="0.3">
      <c r="A278" s="37"/>
      <c r="B278" s="33"/>
      <c r="C278" s="33"/>
      <c r="D278" s="33"/>
      <c r="E278" s="33"/>
      <c r="F278" s="33"/>
      <c r="G278" s="33"/>
      <c r="H278" s="33"/>
      <c r="I278" s="33"/>
      <c r="J278" s="33"/>
      <c r="K278" s="33"/>
      <c r="L278" s="33"/>
      <c r="M278" s="33"/>
      <c r="N278" s="33"/>
    </row>
    <row r="279" spans="1:14" hidden="1" x14ac:dyDescent="0.3">
      <c r="A279" s="37"/>
      <c r="B279" s="33"/>
      <c r="C279" s="33"/>
      <c r="D279" s="33"/>
      <c r="E279" s="33"/>
      <c r="F279" s="33"/>
      <c r="G279" s="33"/>
      <c r="H279" s="33"/>
      <c r="I279" s="33"/>
      <c r="J279" s="33"/>
      <c r="K279" s="33"/>
      <c r="L279" s="33"/>
      <c r="M279" s="33"/>
      <c r="N279" s="33"/>
    </row>
    <row r="280" spans="1:14" hidden="1" x14ac:dyDescent="0.3">
      <c r="A280" s="37"/>
      <c r="B280" s="33"/>
      <c r="C280" s="33"/>
      <c r="D280" s="33"/>
      <c r="E280" s="33"/>
      <c r="F280" s="33"/>
      <c r="G280" s="33"/>
      <c r="H280" s="33"/>
      <c r="I280" s="33"/>
      <c r="J280" s="33"/>
      <c r="K280" s="33"/>
      <c r="L280" s="33"/>
      <c r="M280" s="33"/>
      <c r="N280" s="33"/>
    </row>
    <row r="281" spans="1:14" hidden="1" x14ac:dyDescent="0.3">
      <c r="A281" s="37"/>
      <c r="B281" s="33"/>
      <c r="C281" s="33"/>
      <c r="D281" s="33"/>
      <c r="E281" s="33"/>
      <c r="F281" s="33"/>
      <c r="G281" s="33"/>
      <c r="H281" s="33"/>
      <c r="I281" s="33"/>
      <c r="J281" s="33"/>
      <c r="K281" s="33"/>
      <c r="L281" s="33"/>
      <c r="M281" s="33"/>
      <c r="N281" s="33"/>
    </row>
    <row r="282" spans="1:14" hidden="1" x14ac:dyDescent="0.3"/>
    <row r="283" spans="1:14" hidden="1" x14ac:dyDescent="0.3"/>
    <row r="284" spans="1:14" hidden="1" x14ac:dyDescent="0.3"/>
    <row r="285" spans="1:14" hidden="1" x14ac:dyDescent="0.3"/>
    <row r="286" spans="1:14" hidden="1" x14ac:dyDescent="0.3"/>
    <row r="287" spans="1:14" hidden="1" x14ac:dyDescent="0.3"/>
    <row r="288" spans="1:14"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6" spans="1:18" ht="14.25" customHeight="1" x14ac:dyDescent="0.3">
      <c r="A866" s="1" t="s">
        <v>716</v>
      </c>
    </row>
    <row r="867" spans="1:18" x14ac:dyDescent="0.3">
      <c r="A867" s="2" t="s">
        <v>169</v>
      </c>
      <c r="B867" s="2" t="s">
        <v>2</v>
      </c>
      <c r="C867" s="2" t="s">
        <v>717</v>
      </c>
      <c r="D867" s="2" t="s">
        <v>718</v>
      </c>
      <c r="E867" s="2" t="s">
        <v>719</v>
      </c>
      <c r="F867" s="2" t="s">
        <v>168</v>
      </c>
    </row>
    <row r="868" spans="1:18" hidden="1" x14ac:dyDescent="0.3">
      <c r="A868" s="197">
        <v>43831</v>
      </c>
      <c r="B868" s="32" t="s">
        <v>162</v>
      </c>
      <c r="C868" s="198">
        <v>3217.42</v>
      </c>
      <c r="D868" s="197">
        <v>43831</v>
      </c>
      <c r="E868" s="32">
        <v>1</v>
      </c>
      <c r="F868" s="32">
        <v>2020</v>
      </c>
    </row>
    <row r="869" spans="1:18" hidden="1" x14ac:dyDescent="0.3">
      <c r="A869" s="197">
        <v>43862</v>
      </c>
      <c r="B869" s="32" t="s">
        <v>162</v>
      </c>
      <c r="C869" s="198">
        <v>7003.56</v>
      </c>
      <c r="D869" s="197">
        <v>43862</v>
      </c>
      <c r="E869" s="32">
        <v>1</v>
      </c>
      <c r="F869" s="32">
        <v>2020</v>
      </c>
      <c r="P869" s="199"/>
      <c r="Q869" s="199" t="s">
        <v>697</v>
      </c>
      <c r="R869" s="199" t="s">
        <v>698</v>
      </c>
    </row>
    <row r="870" spans="1:18" hidden="1" x14ac:dyDescent="0.3">
      <c r="A870" s="197">
        <v>43891</v>
      </c>
      <c r="B870" s="32" t="s">
        <v>162</v>
      </c>
      <c r="C870" s="198">
        <v>3870</v>
      </c>
      <c r="D870" s="197">
        <v>43891</v>
      </c>
      <c r="E870" s="32">
        <v>1</v>
      </c>
      <c r="F870" s="32">
        <v>2020</v>
      </c>
      <c r="P870" s="200" t="s">
        <v>2</v>
      </c>
      <c r="Q870" s="201">
        <v>2887.7</v>
      </c>
      <c r="R870" s="202">
        <v>2139</v>
      </c>
    </row>
    <row r="871" spans="1:18" hidden="1" x14ac:dyDescent="0.3">
      <c r="A871" s="197">
        <v>43922</v>
      </c>
      <c r="B871" s="32" t="s">
        <v>162</v>
      </c>
      <c r="C871" s="198">
        <v>1543.84</v>
      </c>
      <c r="D871" s="197">
        <v>43922</v>
      </c>
      <c r="E871" s="32">
        <v>1</v>
      </c>
      <c r="F871" s="32">
        <v>2020</v>
      </c>
      <c r="P871" s="200" t="s">
        <v>701</v>
      </c>
      <c r="Q871" s="201">
        <v>5557.27</v>
      </c>
      <c r="R871" s="202">
        <f>5557.27-596.83-21.66-394.32-237.81-338.33</f>
        <v>3968.3200000000006</v>
      </c>
    </row>
    <row r="872" spans="1:18" hidden="1" x14ac:dyDescent="0.3">
      <c r="A872" s="197">
        <v>43952</v>
      </c>
      <c r="B872" s="32" t="s">
        <v>162</v>
      </c>
      <c r="C872" s="198">
        <v>2556.61</v>
      </c>
      <c r="D872" s="197">
        <v>43952</v>
      </c>
      <c r="E872" s="32">
        <v>1</v>
      </c>
      <c r="F872" s="32">
        <v>2020</v>
      </c>
      <c r="P872" s="188"/>
      <c r="Q872" s="33">
        <f>(Q871-Q870)-480.52</f>
        <v>2189.0500000000006</v>
      </c>
      <c r="R872" s="54">
        <f>(R871-R870)-329.28</f>
        <v>1500.0400000000006</v>
      </c>
    </row>
    <row r="873" spans="1:18" hidden="1" x14ac:dyDescent="0.3">
      <c r="A873" s="197">
        <v>43983</v>
      </c>
      <c r="B873" s="32" t="s">
        <v>162</v>
      </c>
      <c r="C873" s="198">
        <v>2351.86</v>
      </c>
      <c r="D873" s="197">
        <v>43983</v>
      </c>
      <c r="E873" s="32">
        <v>1</v>
      </c>
      <c r="F873" s="32">
        <v>2020</v>
      </c>
    </row>
    <row r="874" spans="1:18" hidden="1" x14ac:dyDescent="0.3">
      <c r="A874" s="197">
        <v>44013</v>
      </c>
      <c r="B874" s="32" t="s">
        <v>162</v>
      </c>
      <c r="C874" s="198">
        <v>3620.72</v>
      </c>
      <c r="D874" s="197">
        <v>44013</v>
      </c>
      <c r="E874" s="32">
        <v>1</v>
      </c>
      <c r="F874" s="32">
        <v>2020</v>
      </c>
    </row>
    <row r="875" spans="1:18" hidden="1" x14ac:dyDescent="0.3">
      <c r="A875" s="197">
        <v>44044</v>
      </c>
      <c r="B875" s="32" t="s">
        <v>162</v>
      </c>
      <c r="C875" s="198">
        <v>6740.76</v>
      </c>
      <c r="D875" s="197">
        <v>44044</v>
      </c>
      <c r="E875" s="32">
        <v>1</v>
      </c>
      <c r="F875" s="32">
        <v>2020</v>
      </c>
    </row>
    <row r="876" spans="1:18" hidden="1" x14ac:dyDescent="0.3">
      <c r="A876" s="197">
        <v>44075</v>
      </c>
      <c r="B876" s="32" t="s">
        <v>162</v>
      </c>
      <c r="C876" s="198">
        <v>3943.33</v>
      </c>
      <c r="D876" s="197">
        <v>44075</v>
      </c>
      <c r="E876" s="32">
        <v>1</v>
      </c>
      <c r="F876" s="32">
        <v>2020</v>
      </c>
    </row>
    <row r="877" spans="1:18" hidden="1" x14ac:dyDescent="0.3">
      <c r="A877" s="197">
        <v>44105</v>
      </c>
      <c r="B877" s="32" t="s">
        <v>162</v>
      </c>
      <c r="C877" s="198">
        <v>3688.83</v>
      </c>
      <c r="D877" s="197">
        <v>44105</v>
      </c>
      <c r="E877" s="32">
        <v>1</v>
      </c>
      <c r="F877" s="32">
        <v>2020</v>
      </c>
    </row>
    <row r="878" spans="1:18" hidden="1" x14ac:dyDescent="0.3">
      <c r="A878" s="197">
        <v>44136</v>
      </c>
      <c r="B878" s="32" t="s">
        <v>162</v>
      </c>
      <c r="C878" s="198">
        <v>6021.58</v>
      </c>
      <c r="D878" s="197">
        <v>44136</v>
      </c>
      <c r="E878" s="32">
        <v>1</v>
      </c>
      <c r="F878" s="32">
        <v>2020</v>
      </c>
    </row>
    <row r="879" spans="1:18" hidden="1" x14ac:dyDescent="0.3">
      <c r="A879" s="197">
        <v>44166</v>
      </c>
      <c r="B879" s="32" t="s">
        <v>162</v>
      </c>
      <c r="C879" s="198">
        <v>8115.23</v>
      </c>
      <c r="D879" s="197">
        <v>44166</v>
      </c>
      <c r="E879" s="32">
        <v>1</v>
      </c>
      <c r="F879" s="32">
        <v>2020</v>
      </c>
    </row>
    <row r="880" spans="1:18" hidden="1" x14ac:dyDescent="0.3">
      <c r="A880" s="197">
        <v>44197</v>
      </c>
      <c r="B880" s="32" t="s">
        <v>162</v>
      </c>
      <c r="C880" s="198">
        <v>11005.93</v>
      </c>
      <c r="D880" s="197">
        <v>44228</v>
      </c>
      <c r="E880" s="32">
        <v>1</v>
      </c>
      <c r="F880" s="32">
        <v>2021</v>
      </c>
    </row>
    <row r="881" spans="1:37" hidden="1" x14ac:dyDescent="0.3">
      <c r="A881" s="197">
        <v>44228</v>
      </c>
      <c r="B881" s="32" t="s">
        <v>162</v>
      </c>
      <c r="C881" s="198">
        <v>8850.1</v>
      </c>
      <c r="D881" s="197">
        <v>44256</v>
      </c>
      <c r="E881" s="32">
        <v>1</v>
      </c>
      <c r="F881" s="32">
        <v>2021</v>
      </c>
    </row>
    <row r="882" spans="1:37" hidden="1" x14ac:dyDescent="0.3">
      <c r="A882" s="197">
        <v>44256</v>
      </c>
      <c r="B882" s="32" t="s">
        <v>162</v>
      </c>
      <c r="C882" s="198">
        <v>6846.17</v>
      </c>
      <c r="D882" s="197">
        <v>44287</v>
      </c>
      <c r="E882" s="32">
        <v>1</v>
      </c>
      <c r="F882" s="32">
        <v>2021</v>
      </c>
    </row>
    <row r="883" spans="1:37" hidden="1" x14ac:dyDescent="0.3">
      <c r="A883" s="197">
        <v>44287</v>
      </c>
      <c r="B883" s="32" t="s">
        <v>162</v>
      </c>
      <c r="C883" s="198">
        <v>10860.43</v>
      </c>
      <c r="D883" s="197">
        <v>44317</v>
      </c>
      <c r="E883" s="32">
        <v>1</v>
      </c>
      <c r="F883" s="32">
        <v>2021</v>
      </c>
    </row>
    <row r="884" spans="1:37" hidden="1" x14ac:dyDescent="0.3">
      <c r="A884" s="197">
        <v>44317</v>
      </c>
      <c r="B884" s="32" t="s">
        <v>162</v>
      </c>
      <c r="C884" s="198">
        <v>7115.54</v>
      </c>
      <c r="D884" s="197">
        <v>44348</v>
      </c>
      <c r="E884" s="32">
        <v>1</v>
      </c>
      <c r="F884" s="32">
        <v>2021</v>
      </c>
    </row>
    <row r="885" spans="1:37" hidden="1" x14ac:dyDescent="0.3">
      <c r="A885" s="197">
        <v>44348</v>
      </c>
      <c r="B885" s="32" t="s">
        <v>162</v>
      </c>
      <c r="C885" s="198">
        <v>6085.95</v>
      </c>
      <c r="D885" s="197">
        <v>44378</v>
      </c>
      <c r="E885" s="32">
        <v>1</v>
      </c>
      <c r="F885" s="32">
        <v>2021</v>
      </c>
      <c r="AJ885" s="33"/>
      <c r="AK885" s="54"/>
    </row>
    <row r="886" spans="1:37" ht="15" hidden="1" customHeight="1" thickBot="1" x14ac:dyDescent="0.35">
      <c r="A886" s="197">
        <v>44378</v>
      </c>
      <c r="B886" s="32" t="s">
        <v>162</v>
      </c>
      <c r="C886" s="198">
        <v>6042.51</v>
      </c>
      <c r="D886" s="197">
        <v>44409</v>
      </c>
      <c r="E886" s="32">
        <v>1</v>
      </c>
      <c r="F886" s="32">
        <v>2021</v>
      </c>
      <c r="Y886" s="203" t="s">
        <v>720</v>
      </c>
      <c r="Z886" s="203" t="s">
        <v>2</v>
      </c>
      <c r="AA886" s="204"/>
      <c r="AB886" s="205" t="s">
        <v>701</v>
      </c>
      <c r="AC886" s="32"/>
    </row>
    <row r="887" spans="1:37" hidden="1" x14ac:dyDescent="0.3">
      <c r="A887" s="197">
        <v>44409</v>
      </c>
      <c r="B887" s="32" t="s">
        <v>162</v>
      </c>
      <c r="C887" s="198">
        <v>12879.46</v>
      </c>
      <c r="D887" s="197">
        <v>44440</v>
      </c>
      <c r="E887" s="32">
        <v>1</v>
      </c>
      <c r="F887" s="32">
        <v>2021</v>
      </c>
      <c r="Y887" s="206">
        <v>2021</v>
      </c>
      <c r="Z887" s="419">
        <f>Z18</f>
        <v>8670.8058333333338</v>
      </c>
      <c r="AA887" s="206"/>
      <c r="AB887" s="207">
        <v>0</v>
      </c>
      <c r="AC887" s="208"/>
    </row>
    <row r="888" spans="1:37" hidden="1" x14ac:dyDescent="0.3">
      <c r="A888" s="197">
        <v>44440</v>
      </c>
      <c r="B888" s="32" t="s">
        <v>162</v>
      </c>
      <c r="C888" s="198">
        <v>4137.12</v>
      </c>
      <c r="D888" s="197">
        <v>44470</v>
      </c>
      <c r="E888" s="32">
        <v>1</v>
      </c>
      <c r="F888" s="32">
        <v>2021</v>
      </c>
      <c r="Y888" s="209">
        <v>2022</v>
      </c>
      <c r="Z888" s="420"/>
      <c r="AA888" s="209"/>
      <c r="AB888" s="210">
        <f>AC18</f>
        <v>9325.1491666666661</v>
      </c>
    </row>
    <row r="889" spans="1:37" hidden="1" x14ac:dyDescent="0.3">
      <c r="A889" s="197">
        <v>44470</v>
      </c>
      <c r="B889" s="32" t="s">
        <v>162</v>
      </c>
      <c r="C889" s="198">
        <v>9441.0400000000009</v>
      </c>
      <c r="D889" s="197">
        <v>44501</v>
      </c>
      <c r="E889" s="32">
        <v>1</v>
      </c>
      <c r="F889" s="32">
        <v>2021</v>
      </c>
      <c r="Y889" s="209">
        <v>2023</v>
      </c>
      <c r="Z889" s="420"/>
      <c r="AA889" s="209"/>
      <c r="AB889" s="210">
        <f>AF18</f>
        <v>8102.3050000000003</v>
      </c>
      <c r="AC889" s="53"/>
    </row>
    <row r="890" spans="1:37" ht="15" hidden="1" customHeight="1" thickBot="1" x14ac:dyDescent="0.35">
      <c r="A890" s="197">
        <v>44501</v>
      </c>
      <c r="B890" s="32" t="s">
        <v>162</v>
      </c>
      <c r="C890" s="198">
        <v>11233.63</v>
      </c>
      <c r="D890" s="197">
        <v>44531</v>
      </c>
      <c r="E890" s="32">
        <v>1</v>
      </c>
      <c r="F890" s="32">
        <v>2021</v>
      </c>
      <c r="Y890" s="211">
        <v>2024</v>
      </c>
      <c r="Z890" s="421"/>
      <c r="AA890" s="211"/>
      <c r="AB890" s="212">
        <f>AI16</f>
        <v>93060.81</v>
      </c>
    </row>
    <row r="891" spans="1:37" hidden="1" x14ac:dyDescent="0.3">
      <c r="A891" s="197">
        <v>44531</v>
      </c>
      <c r="B891" s="32" t="s">
        <v>162</v>
      </c>
      <c r="C891" s="198">
        <v>9551.7900000000009</v>
      </c>
      <c r="D891" s="197">
        <v>44562</v>
      </c>
      <c r="E891" s="32">
        <v>1</v>
      </c>
      <c r="F891" s="32">
        <v>2021</v>
      </c>
      <c r="Y891" s="32"/>
      <c r="Z891" s="32"/>
      <c r="AA891" s="32"/>
      <c r="AB891" s="32"/>
      <c r="AC891" s="54"/>
      <c r="AD891" s="54"/>
    </row>
    <row r="892" spans="1:37" hidden="1" x14ac:dyDescent="0.3">
      <c r="A892" s="197">
        <v>44562</v>
      </c>
      <c r="B892" s="32" t="s">
        <v>162</v>
      </c>
      <c r="C892" s="198">
        <v>10325.030000000001</v>
      </c>
      <c r="D892" s="197">
        <f>comissao[[#This Row],[Mês]]</f>
        <v>44562</v>
      </c>
      <c r="E892" s="32">
        <v>1</v>
      </c>
      <c r="F892" s="32">
        <v>2022</v>
      </c>
    </row>
    <row r="893" spans="1:37" hidden="1" x14ac:dyDescent="0.3">
      <c r="A893" s="197">
        <v>44593</v>
      </c>
      <c r="B893" s="32" t="s">
        <v>162</v>
      </c>
      <c r="C893" s="198">
        <v>6014.19</v>
      </c>
      <c r="D893" s="197">
        <f>comissao[[#This Row],[Mês]]</f>
        <v>44593</v>
      </c>
      <c r="E893" s="32">
        <v>1</v>
      </c>
      <c r="F893" s="32">
        <v>2022</v>
      </c>
    </row>
    <row r="894" spans="1:37" ht="21.6" hidden="1" customHeight="1" thickBot="1" x14ac:dyDescent="0.45">
      <c r="A894" s="197">
        <v>44621</v>
      </c>
      <c r="B894" s="32" t="s">
        <v>162</v>
      </c>
      <c r="C894" s="198">
        <v>7501</v>
      </c>
      <c r="D894" s="197">
        <f>comissao[[#This Row],[Mês]]</f>
        <v>44621</v>
      </c>
      <c r="E894" s="32">
        <v>1</v>
      </c>
      <c r="F894" s="32">
        <v>2022</v>
      </c>
      <c r="Y894" s="213" t="s">
        <v>721</v>
      </c>
      <c r="Z894" s="32" t="s">
        <v>722</v>
      </c>
      <c r="AA894" s="417" t="s">
        <v>723</v>
      </c>
      <c r="AB894" s="418"/>
      <c r="AC894" s="418"/>
    </row>
    <row r="895" spans="1:37" ht="15" hidden="1" customHeight="1" thickBot="1" x14ac:dyDescent="0.35">
      <c r="A895" s="197">
        <v>44652</v>
      </c>
      <c r="B895" s="32" t="s">
        <v>162</v>
      </c>
      <c r="C895" s="198">
        <v>7160.99</v>
      </c>
      <c r="D895" s="197">
        <f>comissao[[#This Row],[Mês]]</f>
        <v>44652</v>
      </c>
      <c r="E895" s="32">
        <v>1</v>
      </c>
      <c r="F895" s="32">
        <v>2022</v>
      </c>
      <c r="Y895" s="214" t="s">
        <v>724</v>
      </c>
      <c r="Z895" s="215">
        <v>2021</v>
      </c>
      <c r="AA895" s="215">
        <v>2022</v>
      </c>
      <c r="AB895" s="215">
        <v>2023</v>
      </c>
      <c r="AC895" s="216">
        <v>2024</v>
      </c>
      <c r="AD895" s="217"/>
    </row>
    <row r="896" spans="1:37" hidden="1" x14ac:dyDescent="0.3">
      <c r="A896" s="197">
        <v>44682</v>
      </c>
      <c r="B896" s="32" t="s">
        <v>162</v>
      </c>
      <c r="C896" s="198">
        <v>8225.76</v>
      </c>
      <c r="D896" s="197">
        <f>comissao[[#This Row],[Mês]]</f>
        <v>44682</v>
      </c>
      <c r="E896" s="32">
        <v>1</v>
      </c>
      <c r="F896" s="32">
        <v>2022</v>
      </c>
      <c r="Y896" s="218" t="s">
        <v>725</v>
      </c>
      <c r="Z896" s="219">
        <v>1640281.68</v>
      </c>
      <c r="AA896" s="219">
        <v>1707330.58</v>
      </c>
      <c r="AB896" s="219">
        <v>1877690.07</v>
      </c>
      <c r="AC896" s="220">
        <v>2317247.21</v>
      </c>
      <c r="AD896" s="35"/>
    </row>
    <row r="897" spans="1:30" ht="15" hidden="1" customHeight="1" thickBot="1" x14ac:dyDescent="0.35">
      <c r="A897" s="197">
        <v>44713</v>
      </c>
      <c r="B897" s="32" t="s">
        <v>162</v>
      </c>
      <c r="C897" s="198">
        <v>13521.65</v>
      </c>
      <c r="D897" s="197">
        <f>comissao[[#This Row],[Mês]]</f>
        <v>44713</v>
      </c>
      <c r="E897" s="32">
        <v>1</v>
      </c>
      <c r="F897" s="32">
        <v>2022</v>
      </c>
      <c r="Y897" s="221" t="s">
        <v>726</v>
      </c>
      <c r="Z897" s="222">
        <v>137603.31</v>
      </c>
      <c r="AA897" s="222">
        <v>160713.38</v>
      </c>
      <c r="AB897" s="222">
        <v>129728.19</v>
      </c>
      <c r="AC897" s="223">
        <v>176869.79</v>
      </c>
      <c r="AD897" s="35"/>
    </row>
    <row r="898" spans="1:30" hidden="1" x14ac:dyDescent="0.3">
      <c r="A898" s="197">
        <v>44743</v>
      </c>
      <c r="B898" s="32" t="s">
        <v>162</v>
      </c>
      <c r="C898" s="198">
        <v>9935.31</v>
      </c>
      <c r="D898" s="197">
        <f>comissao[[#This Row],[Mês]]</f>
        <v>44743</v>
      </c>
      <c r="E898" s="32">
        <v>1</v>
      </c>
      <c r="F898" s="32">
        <v>2022</v>
      </c>
      <c r="Z898" s="224" t="s">
        <v>727</v>
      </c>
    </row>
    <row r="899" spans="1:30" hidden="1" x14ac:dyDescent="0.3">
      <c r="A899" s="197">
        <v>44774</v>
      </c>
      <c r="B899" s="32" t="s">
        <v>162</v>
      </c>
      <c r="C899" s="198">
        <v>8170.34</v>
      </c>
      <c r="D899" s="197">
        <f>comissao[[#This Row],[Mês]]</f>
        <v>44774</v>
      </c>
      <c r="E899" s="32">
        <v>1</v>
      </c>
      <c r="F899" s="32">
        <v>2022</v>
      </c>
    </row>
    <row r="900" spans="1:30" ht="21" hidden="1" customHeight="1" x14ac:dyDescent="0.4">
      <c r="A900" s="197">
        <v>44805</v>
      </c>
      <c r="B900" s="32" t="s">
        <v>162</v>
      </c>
      <c r="C900" s="198">
        <v>14096.05</v>
      </c>
      <c r="D900" s="197">
        <f>comissao[[#This Row],[Mês]]</f>
        <v>44805</v>
      </c>
      <c r="E900" s="32">
        <v>1</v>
      </c>
      <c r="F900" s="32">
        <v>2022</v>
      </c>
      <c r="Y900" s="213" t="s">
        <v>728</v>
      </c>
    </row>
    <row r="901" spans="1:30" ht="15" hidden="1" customHeight="1" thickBot="1" x14ac:dyDescent="0.35">
      <c r="A901" s="197">
        <v>44835</v>
      </c>
      <c r="B901" s="32" t="s">
        <v>162</v>
      </c>
      <c r="C901" s="198">
        <v>8938.44</v>
      </c>
      <c r="D901" s="197">
        <f>comissao[[#This Row],[Mês]]</f>
        <v>44835</v>
      </c>
      <c r="E901" s="32">
        <v>1</v>
      </c>
      <c r="F901" s="32">
        <v>2022</v>
      </c>
      <c r="Y901" s="77"/>
      <c r="Z901" s="225" t="s">
        <v>727</v>
      </c>
      <c r="AA901" s="215">
        <v>2022</v>
      </c>
      <c r="AB901" s="215">
        <v>2023</v>
      </c>
      <c r="AC901" s="216">
        <v>2024</v>
      </c>
    </row>
    <row r="902" spans="1:30" hidden="1" x14ac:dyDescent="0.3">
      <c r="A902" s="197">
        <v>44866</v>
      </c>
      <c r="B902" s="32" t="s">
        <v>162</v>
      </c>
      <c r="C902" s="198">
        <v>9477.94</v>
      </c>
      <c r="D902" s="197">
        <f>comissao[[#This Row],[Mês]]</f>
        <v>44866</v>
      </c>
      <c r="E902" s="32">
        <v>1</v>
      </c>
      <c r="F902" s="32">
        <v>2022</v>
      </c>
      <c r="Y902" s="226" t="s">
        <v>729</v>
      </c>
      <c r="Z902" s="227">
        <v>1640281.68</v>
      </c>
      <c r="AA902" s="228">
        <f>(AA896/$Z$902)-1</f>
        <v>4.0876454829392506E-2</v>
      </c>
      <c r="AB902" s="228">
        <f>(AB896/$Z$902)-1</f>
        <v>0.14473635406328511</v>
      </c>
      <c r="AC902" s="229">
        <f>(AC896/$Z$902)-1</f>
        <v>0.41271297378630734</v>
      </c>
    </row>
    <row r="903" spans="1:30" ht="15" hidden="1" customHeight="1" thickBot="1" x14ac:dyDescent="0.35">
      <c r="A903" s="197">
        <v>44896</v>
      </c>
      <c r="B903" s="32" t="s">
        <v>162</v>
      </c>
      <c r="C903" s="198">
        <v>8535.09</v>
      </c>
      <c r="D903" s="197">
        <f>comissao[[#This Row],[Mês]]</f>
        <v>44896</v>
      </c>
      <c r="E903" s="32">
        <v>1</v>
      </c>
      <c r="F903" s="32">
        <v>2022</v>
      </c>
      <c r="Y903" s="230" t="s">
        <v>160</v>
      </c>
      <c r="Z903" s="222">
        <v>137603.31</v>
      </c>
      <c r="AA903" s="231">
        <f>(AA897/$Z$903)-1</f>
        <v>0.16794705011093125</v>
      </c>
      <c r="AB903" s="231">
        <f>(AB897/$Z$903)-1</f>
        <v>-5.7230600048792435E-2</v>
      </c>
      <c r="AC903" s="232">
        <f>(AC897/$Z$903)-1</f>
        <v>0.28535999606404827</v>
      </c>
    </row>
    <row r="904" spans="1:30" hidden="1" x14ac:dyDescent="0.3">
      <c r="A904" s="197">
        <v>44931</v>
      </c>
      <c r="B904" s="32" t="s">
        <v>162</v>
      </c>
      <c r="C904" s="198">
        <v>6512.53</v>
      </c>
      <c r="D904" s="197">
        <f>comissao[[#This Row],[Mês]]</f>
        <v>44931</v>
      </c>
      <c r="E904" s="32">
        <v>1</v>
      </c>
      <c r="F904" s="32">
        <v>2023</v>
      </c>
    </row>
    <row r="905" spans="1:30" ht="21" hidden="1" customHeight="1" x14ac:dyDescent="0.4">
      <c r="A905" s="197">
        <v>44931</v>
      </c>
      <c r="B905" s="32" t="s">
        <v>161</v>
      </c>
      <c r="C905" s="198">
        <f>2057.71</f>
        <v>2057.71</v>
      </c>
      <c r="D905" s="197">
        <v>44962</v>
      </c>
      <c r="E905" s="32">
        <v>1</v>
      </c>
      <c r="F905" s="32">
        <v>2023</v>
      </c>
      <c r="Y905" s="213" t="s">
        <v>730</v>
      </c>
    </row>
    <row r="906" spans="1:30" ht="15" hidden="1" customHeight="1" thickBot="1" x14ac:dyDescent="0.35">
      <c r="A906" s="197">
        <v>44931</v>
      </c>
      <c r="B906" s="32" t="s">
        <v>704</v>
      </c>
      <c r="C906" s="198">
        <f>2583.12+357</f>
        <v>2940.12</v>
      </c>
      <c r="D906" s="197">
        <v>44962</v>
      </c>
      <c r="E906" s="32">
        <v>1</v>
      </c>
      <c r="F906" s="32">
        <v>2023</v>
      </c>
      <c r="Y906" s="77"/>
      <c r="Z906" s="233">
        <v>2021</v>
      </c>
      <c r="AA906" s="215">
        <v>2022</v>
      </c>
      <c r="AB906" s="215">
        <v>2023</v>
      </c>
      <c r="AC906" s="216">
        <v>2024</v>
      </c>
    </row>
    <row r="907" spans="1:30" hidden="1" x14ac:dyDescent="0.3">
      <c r="A907" s="197">
        <v>44962</v>
      </c>
      <c r="B907" s="32" t="s">
        <v>162</v>
      </c>
      <c r="C907" s="198">
        <f>8553.08+10.95</f>
        <v>8564.0300000000007</v>
      </c>
      <c r="D907" s="197">
        <f>comissao[[#This Row],[Mês]]</f>
        <v>44962</v>
      </c>
      <c r="E907" s="32">
        <v>1</v>
      </c>
      <c r="F907" s="32">
        <v>2023</v>
      </c>
      <c r="Y907" s="234" t="s">
        <v>729</v>
      </c>
      <c r="Z907" s="227">
        <v>1640281.68</v>
      </c>
      <c r="AA907" s="228">
        <f>(AA896/Z907)-1</f>
        <v>4.0876454829392506E-2</v>
      </c>
      <c r="AB907" s="228">
        <f>(AB896/AA896)-1</f>
        <v>9.9781197616691131E-2</v>
      </c>
      <c r="AC907" s="229">
        <f>(AC896/AB896)-1</f>
        <v>0.23409461818158306</v>
      </c>
    </row>
    <row r="908" spans="1:30" ht="15" hidden="1" customHeight="1" thickBot="1" x14ac:dyDescent="0.35">
      <c r="A908" s="197">
        <v>44962</v>
      </c>
      <c r="B908" s="32" t="s">
        <v>161</v>
      </c>
      <c r="C908" s="198">
        <f>59.67+741.76</f>
        <v>801.43</v>
      </c>
      <c r="D908" s="197">
        <v>44990</v>
      </c>
      <c r="E908" s="32">
        <v>1</v>
      </c>
      <c r="F908" s="32">
        <v>2023</v>
      </c>
      <c r="Y908" s="221" t="s">
        <v>160</v>
      </c>
      <c r="Z908" s="222">
        <v>137603.31</v>
      </c>
      <c r="AA908" s="231">
        <f>(AA897/Z908)-1</f>
        <v>0.16794705011093125</v>
      </c>
      <c r="AB908" s="231">
        <f>(AB897/AA897)-1</f>
        <v>-0.19279782430062764</v>
      </c>
      <c r="AC908" s="232">
        <f>(AC897/AB897)-1</f>
        <v>0.3633874796218155</v>
      </c>
    </row>
    <row r="909" spans="1:30" hidden="1" x14ac:dyDescent="0.3">
      <c r="A909" s="197">
        <v>44962</v>
      </c>
      <c r="B909" s="32" t="s">
        <v>704</v>
      </c>
      <c r="C909" s="198">
        <v>1817.54</v>
      </c>
      <c r="D909" s="197">
        <v>44990</v>
      </c>
      <c r="E909" s="32">
        <v>1</v>
      </c>
      <c r="F909" s="32">
        <v>2023</v>
      </c>
    </row>
    <row r="910" spans="1:30" hidden="1" x14ac:dyDescent="0.3">
      <c r="A910" s="197">
        <v>44990</v>
      </c>
      <c r="B910" s="32" t="s">
        <v>162</v>
      </c>
      <c r="C910" s="198">
        <v>6481.14</v>
      </c>
      <c r="D910" s="197">
        <f>comissao[[#This Row],[Mês]]</f>
        <v>44990</v>
      </c>
      <c r="E910" s="32">
        <v>1</v>
      </c>
      <c r="F910" s="32">
        <v>2023</v>
      </c>
    </row>
    <row r="911" spans="1:30" hidden="1" x14ac:dyDescent="0.3">
      <c r="A911" s="197">
        <v>44990</v>
      </c>
      <c r="B911" s="32" t="s">
        <v>161</v>
      </c>
      <c r="C911" s="198">
        <f>138.6+7604.34</f>
        <v>7742.9400000000005</v>
      </c>
      <c r="D911" s="197">
        <v>45021</v>
      </c>
      <c r="E911" s="32">
        <v>1</v>
      </c>
      <c r="F911" s="32">
        <v>2023</v>
      </c>
    </row>
    <row r="912" spans="1:30" hidden="1" x14ac:dyDescent="0.3">
      <c r="A912" s="197">
        <v>44990</v>
      </c>
      <c r="B912" s="32" t="s">
        <v>704</v>
      </c>
      <c r="C912" s="198">
        <f>6536.71+63</f>
        <v>6599.71</v>
      </c>
      <c r="D912" s="197">
        <v>45021</v>
      </c>
      <c r="E912" s="32">
        <v>1</v>
      </c>
      <c r="F912" s="32">
        <v>2023</v>
      </c>
    </row>
    <row r="913" spans="1:6" hidden="1" x14ac:dyDescent="0.3">
      <c r="A913" s="197">
        <v>45021</v>
      </c>
      <c r="B913" s="32" t="s">
        <v>162</v>
      </c>
      <c r="C913" s="198">
        <v>7030.18</v>
      </c>
      <c r="D913" s="197">
        <f>comissao[[#This Row],[Mês]]</f>
        <v>45021</v>
      </c>
      <c r="E913" s="32">
        <v>1</v>
      </c>
      <c r="F913" s="32">
        <v>2023</v>
      </c>
    </row>
    <row r="914" spans="1:6" hidden="1" x14ac:dyDescent="0.3">
      <c r="A914" s="197">
        <v>45021</v>
      </c>
      <c r="B914" s="32" t="s">
        <v>161</v>
      </c>
      <c r="C914" s="198">
        <v>4433.51</v>
      </c>
      <c r="D914" s="197">
        <v>45051</v>
      </c>
      <c r="E914" s="32">
        <v>1</v>
      </c>
      <c r="F914" s="32">
        <v>2023</v>
      </c>
    </row>
    <row r="915" spans="1:6" hidden="1" x14ac:dyDescent="0.3">
      <c r="A915" s="197">
        <v>45021</v>
      </c>
      <c r="B915" s="32" t="s">
        <v>704</v>
      </c>
      <c r="C915" s="198">
        <f>8924.82+670</f>
        <v>9594.82</v>
      </c>
      <c r="D915" s="197">
        <v>45051</v>
      </c>
      <c r="E915" s="32">
        <v>1</v>
      </c>
      <c r="F915" s="32">
        <v>2023</v>
      </c>
    </row>
    <row r="916" spans="1:6" hidden="1" x14ac:dyDescent="0.3">
      <c r="A916" s="197">
        <v>45051</v>
      </c>
      <c r="B916" s="32" t="s">
        <v>162</v>
      </c>
      <c r="C916" s="198">
        <v>3211.2</v>
      </c>
      <c r="D916" s="197">
        <f>comissao[[#This Row],[Mês]]</f>
        <v>45051</v>
      </c>
      <c r="E916" s="32">
        <v>1</v>
      </c>
      <c r="F916" s="32">
        <v>2023</v>
      </c>
    </row>
    <row r="917" spans="1:6" hidden="1" x14ac:dyDescent="0.3">
      <c r="A917" s="197">
        <v>45051</v>
      </c>
      <c r="B917" s="32" t="s">
        <v>161</v>
      </c>
      <c r="C917" s="198">
        <f>27.84+315.45</f>
        <v>343.28999999999996</v>
      </c>
      <c r="D917" s="197">
        <v>45082</v>
      </c>
      <c r="E917" s="32">
        <v>1</v>
      </c>
      <c r="F917" s="32">
        <v>2023</v>
      </c>
    </row>
    <row r="918" spans="1:6" hidden="1" x14ac:dyDescent="0.3">
      <c r="A918" s="197">
        <v>45051</v>
      </c>
      <c r="B918" s="32" t="s">
        <v>704</v>
      </c>
      <c r="C918" s="198">
        <f>1802.05+818.4</f>
        <v>2620.4499999999998</v>
      </c>
      <c r="D918" s="197">
        <v>45082</v>
      </c>
      <c r="E918" s="32">
        <v>1</v>
      </c>
      <c r="F918" s="32">
        <v>2023</v>
      </c>
    </row>
    <row r="919" spans="1:6" hidden="1" x14ac:dyDescent="0.3">
      <c r="A919" s="197">
        <v>45082</v>
      </c>
      <c r="B919" s="32" t="s">
        <v>162</v>
      </c>
      <c r="C919" s="198">
        <f>93.33+3158.63+10.95</f>
        <v>3262.91</v>
      </c>
      <c r="D919" s="197">
        <f>comissao[[#This Row],[Mês]]</f>
        <v>45082</v>
      </c>
      <c r="E919" s="32">
        <v>1</v>
      </c>
      <c r="F919" s="32">
        <v>2023</v>
      </c>
    </row>
    <row r="920" spans="1:6" hidden="1" x14ac:dyDescent="0.3">
      <c r="A920" s="197">
        <v>45082</v>
      </c>
      <c r="B920" s="32" t="s">
        <v>161</v>
      </c>
      <c r="C920" s="198">
        <f>2649.25+36.24+40.64</f>
        <v>2726.1299999999997</v>
      </c>
      <c r="D920" s="197">
        <v>45112</v>
      </c>
      <c r="E920" s="32">
        <v>1</v>
      </c>
      <c r="F920" s="32">
        <v>2023</v>
      </c>
    </row>
    <row r="921" spans="1:6" hidden="1" x14ac:dyDescent="0.3">
      <c r="A921" s="197">
        <v>45082</v>
      </c>
      <c r="B921" s="32" t="s">
        <v>704</v>
      </c>
      <c r="C921" s="198">
        <f>1382.06+818.4</f>
        <v>2200.46</v>
      </c>
      <c r="D921" s="197">
        <v>45112</v>
      </c>
      <c r="E921" s="32">
        <v>1</v>
      </c>
      <c r="F921" s="32">
        <v>2023</v>
      </c>
    </row>
    <row r="922" spans="1:6" hidden="1" x14ac:dyDescent="0.3">
      <c r="A922" s="197">
        <v>45112</v>
      </c>
      <c r="B922" s="32" t="s">
        <v>162</v>
      </c>
      <c r="C922" s="198">
        <f>1120.35+1400.01+1849.33+3338.42</f>
        <v>7708.11</v>
      </c>
      <c r="D922" s="197">
        <f>comissao[[#This Row],[Mês]]</f>
        <v>45112</v>
      </c>
      <c r="E922" s="32">
        <v>1</v>
      </c>
      <c r="F922" s="32">
        <v>2023</v>
      </c>
    </row>
    <row r="923" spans="1:6" hidden="1" x14ac:dyDescent="0.3">
      <c r="A923" s="197">
        <v>45112</v>
      </c>
      <c r="B923" s="32" t="s">
        <v>161</v>
      </c>
      <c r="C923" s="198">
        <f>53.26+313.68+2846.24</f>
        <v>3213.18</v>
      </c>
      <c r="D923" s="197">
        <v>45143</v>
      </c>
      <c r="E923" s="32">
        <v>1</v>
      </c>
      <c r="F923" s="32">
        <v>2023</v>
      </c>
    </row>
    <row r="924" spans="1:6" hidden="1" x14ac:dyDescent="0.3">
      <c r="A924" s="197">
        <v>45112</v>
      </c>
      <c r="B924" s="32" t="s">
        <v>704</v>
      </c>
      <c r="C924" s="198">
        <f>1159.4+142.02+2591.8</f>
        <v>3893.2200000000003</v>
      </c>
      <c r="D924" s="197">
        <v>45143</v>
      </c>
      <c r="E924" s="32">
        <v>1</v>
      </c>
      <c r="F924" s="32">
        <v>2023</v>
      </c>
    </row>
    <row r="925" spans="1:6" hidden="1" x14ac:dyDescent="0.3">
      <c r="A925" s="197">
        <v>45143</v>
      </c>
      <c r="B925" s="32" t="s">
        <v>162</v>
      </c>
      <c r="C925" s="198">
        <f>93.33+7207.97+684.01</f>
        <v>7985.31</v>
      </c>
      <c r="D925" s="197">
        <f>comissao[[#This Row],[Mês]]</f>
        <v>45143</v>
      </c>
      <c r="E925" s="32">
        <v>1</v>
      </c>
      <c r="F925" s="32">
        <v>2023</v>
      </c>
    </row>
    <row r="926" spans="1:6" hidden="1" x14ac:dyDescent="0.3">
      <c r="A926" s="197">
        <v>45143</v>
      </c>
      <c r="B926" s="32" t="s">
        <v>161</v>
      </c>
      <c r="C926" s="198">
        <f>59.46+883.14+41.24</f>
        <v>983.84</v>
      </c>
      <c r="D926" s="197">
        <v>45174</v>
      </c>
      <c r="E926" s="32">
        <v>1</v>
      </c>
      <c r="F926" s="32">
        <v>2023</v>
      </c>
    </row>
    <row r="927" spans="1:6" hidden="1" x14ac:dyDescent="0.3">
      <c r="A927" s="197">
        <v>45143</v>
      </c>
      <c r="B927" s="32" t="s">
        <v>704</v>
      </c>
      <c r="C927" s="198">
        <f>5748.13+142.02+211.4</f>
        <v>6101.55</v>
      </c>
      <c r="D927" s="197">
        <v>45174</v>
      </c>
      <c r="E927" s="32">
        <v>1</v>
      </c>
      <c r="F927" s="32">
        <v>2023</v>
      </c>
    </row>
    <row r="928" spans="1:6" hidden="1" x14ac:dyDescent="0.3">
      <c r="A928" s="197">
        <v>45174</v>
      </c>
      <c r="B928" s="32" t="s">
        <v>162</v>
      </c>
      <c r="C928" s="198">
        <f>348.01+211.06+1812.01+6156.82+7574.55</f>
        <v>16102.45</v>
      </c>
      <c r="D928" s="197">
        <f>comissao[[#This Row],[Mês]]</f>
        <v>45174</v>
      </c>
      <c r="E928" s="32">
        <v>1</v>
      </c>
      <c r="F928" s="32">
        <v>2023</v>
      </c>
    </row>
    <row r="929" spans="1:6" hidden="1" x14ac:dyDescent="0.3">
      <c r="A929" s="197">
        <v>45174</v>
      </c>
      <c r="B929" s="32" t="s">
        <v>161</v>
      </c>
      <c r="C929" s="198">
        <f>54.73+1856.74+40.58+1724.24</f>
        <v>3676.29</v>
      </c>
      <c r="D929" s="197">
        <v>45204</v>
      </c>
      <c r="E929" s="32">
        <v>1</v>
      </c>
      <c r="F929" s="32">
        <v>2023</v>
      </c>
    </row>
    <row r="930" spans="1:6" hidden="1" x14ac:dyDescent="0.3">
      <c r="A930" s="197">
        <v>45174</v>
      </c>
      <c r="B930" s="32" t="s">
        <v>704</v>
      </c>
      <c r="C930" s="198">
        <f>439.39+6108.28+2761.4</f>
        <v>9309.07</v>
      </c>
      <c r="D930" s="197">
        <v>45204</v>
      </c>
      <c r="E930" s="32">
        <v>1</v>
      </c>
      <c r="F930" s="32">
        <v>2023</v>
      </c>
    </row>
    <row r="931" spans="1:6" hidden="1" x14ac:dyDescent="0.3">
      <c r="A931" s="197">
        <v>45204</v>
      </c>
      <c r="B931" s="32" t="s">
        <v>162</v>
      </c>
      <c r="C931" s="198">
        <f>153.07+211.06+16364.38+25.25</f>
        <v>16753.759999999998</v>
      </c>
      <c r="D931" s="197">
        <f>comissao[[#This Row],[Mês]]</f>
        <v>45204</v>
      </c>
      <c r="E931" s="32">
        <v>1</v>
      </c>
      <c r="F931" s="32">
        <v>2023</v>
      </c>
    </row>
    <row r="932" spans="1:6" hidden="1" x14ac:dyDescent="0.3">
      <c r="A932" s="197">
        <v>45204</v>
      </c>
      <c r="B932" s="32" t="s">
        <v>161</v>
      </c>
      <c r="C932" s="198">
        <f>50.11+6017.26+52.41</f>
        <v>6119.78</v>
      </c>
      <c r="D932" s="197">
        <v>45235</v>
      </c>
      <c r="E932" s="32">
        <v>1</v>
      </c>
      <c r="F932" s="32">
        <v>2023</v>
      </c>
    </row>
    <row r="933" spans="1:6" hidden="1" x14ac:dyDescent="0.3">
      <c r="A933" s="197">
        <v>45204</v>
      </c>
      <c r="B933" s="32" t="s">
        <v>704</v>
      </c>
      <c r="C933" s="198">
        <f>142.02+17440.28+371.24+3567.2</f>
        <v>21520.74</v>
      </c>
      <c r="D933" s="197">
        <v>45235</v>
      </c>
      <c r="E933" s="32">
        <v>1</v>
      </c>
      <c r="F933" s="32">
        <v>2023</v>
      </c>
    </row>
    <row r="934" spans="1:6" hidden="1" x14ac:dyDescent="0.3">
      <c r="A934" s="197">
        <v>45235</v>
      </c>
      <c r="B934" s="32" t="s">
        <v>162</v>
      </c>
      <c r="C934" s="198">
        <f>29.87+211.06+8828.97+25.26</f>
        <v>9095.16</v>
      </c>
      <c r="D934" s="197">
        <f>comissao[[#This Row],[Mês]]</f>
        <v>45235</v>
      </c>
      <c r="E934" s="32">
        <v>1</v>
      </c>
      <c r="F934" s="32">
        <v>2023</v>
      </c>
    </row>
    <row r="935" spans="1:6" hidden="1" x14ac:dyDescent="0.3">
      <c r="A935" s="197">
        <v>45235</v>
      </c>
      <c r="B935" s="32" t="s">
        <v>161</v>
      </c>
      <c r="C935" s="198">
        <f>272.26+894.36+1613.87</f>
        <v>2780.49</v>
      </c>
      <c r="D935" s="197">
        <v>45265</v>
      </c>
      <c r="E935" s="32">
        <v>1</v>
      </c>
      <c r="F935" s="32">
        <v>2023</v>
      </c>
    </row>
    <row r="936" spans="1:6" hidden="1" x14ac:dyDescent="0.3">
      <c r="A936" s="197">
        <v>45235</v>
      </c>
      <c r="B936" s="32" t="s">
        <v>704</v>
      </c>
      <c r="C936" s="198">
        <f>136.3+8302.15+141.77+331.28</f>
        <v>8911.5</v>
      </c>
      <c r="D936" s="197">
        <v>45265</v>
      </c>
      <c r="E936" s="32">
        <v>1</v>
      </c>
      <c r="F936" s="32">
        <v>2023</v>
      </c>
    </row>
    <row r="937" spans="1:6" hidden="1" x14ac:dyDescent="0.3">
      <c r="A937" s="197">
        <v>45265</v>
      </c>
      <c r="B937" s="32" t="s">
        <v>162</v>
      </c>
      <c r="C937" s="198">
        <v>4520.88</v>
      </c>
      <c r="D937" s="197">
        <f>comissao[[#This Row],[Mês]]</f>
        <v>45265</v>
      </c>
      <c r="E937" s="32">
        <v>1</v>
      </c>
      <c r="F937" s="32">
        <v>2023</v>
      </c>
    </row>
    <row r="938" spans="1:6" hidden="1" x14ac:dyDescent="0.3">
      <c r="A938" s="197">
        <v>45265</v>
      </c>
      <c r="B938" s="32" t="s">
        <v>161</v>
      </c>
      <c r="C938" s="198">
        <f>2777.39-864.51+33.27+27.95</f>
        <v>1974.1</v>
      </c>
      <c r="D938" s="197">
        <v>45296</v>
      </c>
      <c r="E938" s="32">
        <v>1</v>
      </c>
      <c r="F938" s="32">
        <v>2023</v>
      </c>
    </row>
    <row r="939" spans="1:6" hidden="1" x14ac:dyDescent="0.3">
      <c r="A939" s="197">
        <v>45265</v>
      </c>
      <c r="B939" s="32" t="s">
        <v>704</v>
      </c>
      <c r="C939" s="198">
        <f>3400.81+142.02+10062.24-29.08</f>
        <v>13575.99</v>
      </c>
      <c r="D939" s="197">
        <v>45296</v>
      </c>
      <c r="E939" s="32">
        <v>1</v>
      </c>
      <c r="F939" s="32">
        <v>2023</v>
      </c>
    </row>
    <row r="940" spans="1:6" hidden="1" x14ac:dyDescent="0.3">
      <c r="A940" s="197">
        <v>45296</v>
      </c>
      <c r="B940" s="32" t="s">
        <v>162</v>
      </c>
      <c r="C940" s="198">
        <f>15.76+4941.03+211.06+130.67</f>
        <v>5298.52</v>
      </c>
      <c r="D940" s="197">
        <v>45327</v>
      </c>
      <c r="E940" s="32">
        <v>1</v>
      </c>
      <c r="F940" s="32">
        <v>2024</v>
      </c>
    </row>
    <row r="941" spans="1:6" hidden="1" x14ac:dyDescent="0.3">
      <c r="A941" s="197">
        <v>45296</v>
      </c>
      <c r="B941" s="32" t="s">
        <v>161</v>
      </c>
      <c r="C941" s="198">
        <f>1253.95+14.08+16.83+2577.1</f>
        <v>3861.96</v>
      </c>
      <c r="D941" s="197">
        <v>45327</v>
      </c>
      <c r="E941" s="32">
        <v>1</v>
      </c>
      <c r="F941" s="32">
        <v>2024</v>
      </c>
    </row>
    <row r="942" spans="1:6" hidden="1" x14ac:dyDescent="0.3">
      <c r="A942" s="197">
        <v>45296</v>
      </c>
      <c r="B942" s="32" t="s">
        <v>704</v>
      </c>
      <c r="C942" s="198">
        <f>4436.28+83.13+4299.79</f>
        <v>8819.2000000000007</v>
      </c>
      <c r="D942" s="197">
        <v>45327</v>
      </c>
      <c r="E942" s="32">
        <v>1</v>
      </c>
      <c r="F942" s="32">
        <v>2024</v>
      </c>
    </row>
    <row r="943" spans="1:6" hidden="1" x14ac:dyDescent="0.3">
      <c r="A943" s="197">
        <v>45296</v>
      </c>
      <c r="B943" s="32" t="s">
        <v>705</v>
      </c>
      <c r="C943" s="198">
        <v>120</v>
      </c>
      <c r="D943" s="197">
        <v>45327</v>
      </c>
      <c r="E943" s="32">
        <v>1</v>
      </c>
      <c r="F943" s="32">
        <v>2024</v>
      </c>
    </row>
    <row r="944" spans="1:6" hidden="1" x14ac:dyDescent="0.3">
      <c r="A944" s="197">
        <v>45327</v>
      </c>
      <c r="B944" s="32" t="s">
        <v>162</v>
      </c>
      <c r="C944" s="198">
        <v>13119.38</v>
      </c>
      <c r="D944" s="197">
        <v>45356</v>
      </c>
      <c r="E944" s="32">
        <v>1</v>
      </c>
      <c r="F944" s="32">
        <v>2024</v>
      </c>
    </row>
    <row r="945" spans="1:28" hidden="1" x14ac:dyDescent="0.3">
      <c r="A945" s="197">
        <v>45327</v>
      </c>
      <c r="B945" s="32" t="s">
        <v>161</v>
      </c>
      <c r="C945" s="198">
        <f>2113.55+394.22+14.08+40.58</f>
        <v>2562.4300000000003</v>
      </c>
      <c r="D945" s="197">
        <v>45356</v>
      </c>
      <c r="E945" s="32">
        <v>1</v>
      </c>
      <c r="F945" s="32">
        <v>2024</v>
      </c>
    </row>
    <row r="946" spans="1:28" hidden="1" x14ac:dyDescent="0.3">
      <c r="A946" s="197">
        <v>45327</v>
      </c>
      <c r="B946" s="32" t="s">
        <v>704</v>
      </c>
      <c r="C946" s="198">
        <v>6416.69</v>
      </c>
      <c r="D946" s="197">
        <v>45356</v>
      </c>
      <c r="E946" s="32">
        <v>1</v>
      </c>
      <c r="F946" s="32">
        <v>2024</v>
      </c>
    </row>
    <row r="947" spans="1:28" hidden="1" x14ac:dyDescent="0.3">
      <c r="A947" s="197">
        <v>45327</v>
      </c>
      <c r="B947" s="32" t="s">
        <v>705</v>
      </c>
      <c r="C947" s="198">
        <v>0</v>
      </c>
      <c r="D947" s="197">
        <v>45356</v>
      </c>
      <c r="E947" s="32">
        <v>1</v>
      </c>
      <c r="F947" s="32">
        <v>2024</v>
      </c>
    </row>
    <row r="948" spans="1:28" hidden="1" x14ac:dyDescent="0.3">
      <c r="A948" s="197">
        <v>45356</v>
      </c>
      <c r="B948" s="32" t="s">
        <v>162</v>
      </c>
      <c r="C948" s="198">
        <v>9686.09</v>
      </c>
      <c r="D948" s="197">
        <v>45387</v>
      </c>
      <c r="E948" s="32">
        <v>1</v>
      </c>
      <c r="F948" s="32">
        <v>2024</v>
      </c>
    </row>
    <row r="949" spans="1:28" hidden="1" x14ac:dyDescent="0.3">
      <c r="A949" s="197">
        <v>45356</v>
      </c>
      <c r="B949" s="32" t="s">
        <v>161</v>
      </c>
      <c r="C949" s="198">
        <v>4795.16</v>
      </c>
      <c r="D949" s="197">
        <v>45387</v>
      </c>
      <c r="E949" s="32">
        <v>1</v>
      </c>
      <c r="F949" s="32">
        <v>2024</v>
      </c>
    </row>
    <row r="950" spans="1:28" hidden="1" x14ac:dyDescent="0.3">
      <c r="A950" s="197">
        <v>45356</v>
      </c>
      <c r="B950" s="32" t="s">
        <v>704</v>
      </c>
      <c r="C950" s="198">
        <v>9548.93</v>
      </c>
      <c r="D950" s="197">
        <v>45387</v>
      </c>
      <c r="E950" s="32">
        <v>1</v>
      </c>
      <c r="F950" s="32">
        <v>2024</v>
      </c>
    </row>
    <row r="951" spans="1:28" hidden="1" x14ac:dyDescent="0.3">
      <c r="A951" s="197">
        <v>45356</v>
      </c>
      <c r="B951" s="32" t="s">
        <v>705</v>
      </c>
      <c r="C951" s="198">
        <v>0</v>
      </c>
      <c r="D951" s="197">
        <v>45387</v>
      </c>
      <c r="E951" s="32">
        <v>1</v>
      </c>
      <c r="F951" s="32">
        <v>2024</v>
      </c>
      <c r="Y951" s="32"/>
      <c r="Z951" s="32"/>
      <c r="AA951" s="32"/>
      <c r="AB951" s="32"/>
    </row>
    <row r="952" spans="1:28" hidden="1" x14ac:dyDescent="0.3">
      <c r="A952" s="197">
        <v>45387</v>
      </c>
      <c r="B952" s="32" t="s">
        <v>162</v>
      </c>
      <c r="C952" s="198">
        <v>11569.26</v>
      </c>
      <c r="D952" s="197">
        <v>45417</v>
      </c>
      <c r="E952" s="32">
        <v>1</v>
      </c>
      <c r="F952" s="32">
        <v>2024</v>
      </c>
      <c r="Y952" s="32"/>
      <c r="Z952" s="32"/>
      <c r="AA952" s="32"/>
      <c r="AB952" s="32"/>
    </row>
    <row r="953" spans="1:28" hidden="1" x14ac:dyDescent="0.3">
      <c r="A953" s="197">
        <v>45387</v>
      </c>
      <c r="B953" s="32" t="s">
        <v>161</v>
      </c>
      <c r="C953" s="198">
        <v>8473.4</v>
      </c>
      <c r="D953" s="197">
        <v>45417</v>
      </c>
      <c r="E953" s="32">
        <v>1</v>
      </c>
      <c r="F953" s="32">
        <v>2024</v>
      </c>
      <c r="Y953" s="32"/>
      <c r="Z953" s="32"/>
      <c r="AA953" s="32"/>
      <c r="AB953" s="32"/>
    </row>
    <row r="954" spans="1:28" hidden="1" x14ac:dyDescent="0.3">
      <c r="A954" s="197">
        <v>45387</v>
      </c>
      <c r="B954" s="32" t="s">
        <v>704</v>
      </c>
      <c r="C954" s="198">
        <v>9837.77</v>
      </c>
      <c r="D954" s="197">
        <v>45417</v>
      </c>
      <c r="E954" s="32">
        <v>1</v>
      </c>
      <c r="F954" s="32">
        <v>2024</v>
      </c>
      <c r="Y954" s="32"/>
      <c r="Z954" s="32"/>
      <c r="AA954" s="32"/>
      <c r="AB954" s="32"/>
    </row>
    <row r="955" spans="1:28" hidden="1" x14ac:dyDescent="0.3">
      <c r="A955" s="197">
        <v>45387</v>
      </c>
      <c r="B955" s="32" t="s">
        <v>705</v>
      </c>
      <c r="C955" s="198">
        <v>0</v>
      </c>
      <c r="D955" s="197">
        <v>45417</v>
      </c>
      <c r="E955" s="32">
        <v>1</v>
      </c>
      <c r="F955" s="32">
        <v>2024</v>
      </c>
      <c r="Y955" s="32"/>
      <c r="Z955" s="32"/>
      <c r="AA955" s="32"/>
      <c r="AB955" s="32"/>
    </row>
    <row r="956" spans="1:28" hidden="1" x14ac:dyDescent="0.3">
      <c r="A956" s="197">
        <v>45417</v>
      </c>
      <c r="B956" s="32" t="s">
        <v>162</v>
      </c>
      <c r="C956" s="198">
        <v>7174.82</v>
      </c>
      <c r="D956" s="197">
        <v>45448</v>
      </c>
      <c r="E956" s="32">
        <v>1</v>
      </c>
      <c r="F956" s="32">
        <v>2024</v>
      </c>
      <c r="Y956" s="32"/>
      <c r="Z956" s="32"/>
      <c r="AA956" s="32"/>
      <c r="AB956" s="32"/>
    </row>
    <row r="957" spans="1:28" hidden="1" x14ac:dyDescent="0.3">
      <c r="A957" s="197">
        <v>45417</v>
      </c>
      <c r="B957" s="32" t="s">
        <v>161</v>
      </c>
      <c r="C957" s="198">
        <v>4066.02</v>
      </c>
      <c r="D957" s="197">
        <v>45448</v>
      </c>
      <c r="E957" s="32">
        <v>1</v>
      </c>
      <c r="F957" s="32">
        <v>2024</v>
      </c>
      <c r="Y957" s="32"/>
      <c r="Z957" s="32"/>
      <c r="AA957" s="32"/>
      <c r="AB957" s="32"/>
    </row>
    <row r="958" spans="1:28" hidden="1" x14ac:dyDescent="0.3">
      <c r="A958" s="197">
        <v>45417</v>
      </c>
      <c r="B958" s="32" t="s">
        <v>704</v>
      </c>
      <c r="C958" s="198">
        <v>9566.2800000000007</v>
      </c>
      <c r="D958" s="197">
        <v>45448</v>
      </c>
      <c r="E958" s="32">
        <v>1</v>
      </c>
      <c r="F958" s="32">
        <v>2024</v>
      </c>
      <c r="Y958" s="32"/>
      <c r="Z958" s="32"/>
      <c r="AA958" s="32"/>
      <c r="AB958" s="32"/>
    </row>
    <row r="959" spans="1:28" hidden="1" x14ac:dyDescent="0.3">
      <c r="A959" s="197">
        <v>45417</v>
      </c>
      <c r="B959" s="32" t="s">
        <v>705</v>
      </c>
      <c r="C959" s="198">
        <v>201.43</v>
      </c>
      <c r="D959" s="197">
        <v>45448</v>
      </c>
      <c r="E959" s="32">
        <v>1</v>
      </c>
      <c r="F959" s="32">
        <v>2024</v>
      </c>
      <c r="Y959" s="32"/>
      <c r="Z959" s="32"/>
      <c r="AA959" s="32"/>
      <c r="AB959" s="32"/>
    </row>
    <row r="960" spans="1:28" hidden="1" x14ac:dyDescent="0.3">
      <c r="A960" s="197">
        <v>45448</v>
      </c>
      <c r="B960" s="32" t="s">
        <v>162</v>
      </c>
      <c r="C960" s="198">
        <v>677.04</v>
      </c>
      <c r="D960" s="197">
        <v>45478</v>
      </c>
      <c r="E960" s="32">
        <v>1</v>
      </c>
      <c r="F960" s="32">
        <v>2024</v>
      </c>
      <c r="Y960" s="32"/>
      <c r="Z960" s="32"/>
      <c r="AA960" s="32"/>
      <c r="AB960" s="32"/>
    </row>
    <row r="961" spans="1:6" hidden="1" x14ac:dyDescent="0.3">
      <c r="A961" s="197">
        <v>45448</v>
      </c>
      <c r="B961" s="32" t="s">
        <v>161</v>
      </c>
      <c r="C961" s="198">
        <v>1543.15</v>
      </c>
      <c r="D961" s="197">
        <v>45478</v>
      </c>
      <c r="E961" s="32">
        <v>1</v>
      </c>
      <c r="F961" s="32">
        <v>2024</v>
      </c>
    </row>
    <row r="962" spans="1:6" hidden="1" x14ac:dyDescent="0.3">
      <c r="A962" s="197">
        <v>45448</v>
      </c>
      <c r="B962" s="32" t="s">
        <v>704</v>
      </c>
      <c r="C962" s="198">
        <v>1151.46</v>
      </c>
      <c r="D962" s="197">
        <v>45478</v>
      </c>
      <c r="E962" s="32">
        <v>1</v>
      </c>
      <c r="F962" s="32">
        <v>2024</v>
      </c>
    </row>
    <row r="963" spans="1:6" hidden="1" x14ac:dyDescent="0.3">
      <c r="A963" s="197">
        <v>45448</v>
      </c>
      <c r="B963" s="32" t="s">
        <v>705</v>
      </c>
      <c r="C963" s="198">
        <v>0</v>
      </c>
      <c r="D963" s="197">
        <v>45478</v>
      </c>
      <c r="E963" s="32">
        <v>1</v>
      </c>
      <c r="F963" s="32">
        <v>2024</v>
      </c>
    </row>
    <row r="964" spans="1:6" hidden="1" x14ac:dyDescent="0.3">
      <c r="A964" s="197">
        <v>45478</v>
      </c>
      <c r="B964" s="32" t="s">
        <v>162</v>
      </c>
      <c r="C964" s="198">
        <v>6751.9</v>
      </c>
      <c r="D964" s="197">
        <v>45509</v>
      </c>
      <c r="E964" s="32">
        <v>1</v>
      </c>
      <c r="F964" s="32">
        <v>2024</v>
      </c>
    </row>
    <row r="965" spans="1:6" hidden="1" x14ac:dyDescent="0.3">
      <c r="A965" s="197">
        <v>45478</v>
      </c>
      <c r="B965" s="32" t="s">
        <v>161</v>
      </c>
      <c r="C965" s="198">
        <v>8068.59</v>
      </c>
      <c r="D965" s="197">
        <v>45509</v>
      </c>
      <c r="E965" s="32">
        <v>1</v>
      </c>
      <c r="F965" s="32">
        <v>2024</v>
      </c>
    </row>
    <row r="966" spans="1:6" hidden="1" x14ac:dyDescent="0.3">
      <c r="A966" s="197">
        <v>45478</v>
      </c>
      <c r="B966" s="32" t="s">
        <v>704</v>
      </c>
      <c r="C966" s="198">
        <v>28964.69</v>
      </c>
      <c r="D966" s="197">
        <v>45509</v>
      </c>
      <c r="E966" s="32">
        <v>1</v>
      </c>
      <c r="F966" s="32">
        <v>2024</v>
      </c>
    </row>
    <row r="967" spans="1:6" hidden="1" x14ac:dyDescent="0.3">
      <c r="A967" s="197">
        <v>45478</v>
      </c>
      <c r="B967" s="32" t="s">
        <v>705</v>
      </c>
      <c r="C967" s="198">
        <v>248.12</v>
      </c>
      <c r="D967" s="197">
        <v>45509</v>
      </c>
      <c r="E967" s="32">
        <v>1</v>
      </c>
      <c r="F967" s="32">
        <v>2024</v>
      </c>
    </row>
    <row r="968" spans="1:6" hidden="1" x14ac:dyDescent="0.3">
      <c r="A968" s="197">
        <v>45509</v>
      </c>
      <c r="B968" s="32" t="s">
        <v>162</v>
      </c>
      <c r="C968" s="198">
        <v>4793.07</v>
      </c>
      <c r="D968" s="197">
        <v>45540</v>
      </c>
      <c r="E968" s="32">
        <v>1</v>
      </c>
      <c r="F968" s="32">
        <v>2024</v>
      </c>
    </row>
    <row r="969" spans="1:6" hidden="1" x14ac:dyDescent="0.3">
      <c r="A969" s="197">
        <v>45509</v>
      </c>
      <c r="B969" s="32" t="s">
        <v>161</v>
      </c>
      <c r="C969" s="198">
        <f>266.07+1606.81+252.8</f>
        <v>2125.6799999999998</v>
      </c>
      <c r="D969" s="197">
        <v>45540</v>
      </c>
      <c r="E969" s="32">
        <v>1</v>
      </c>
      <c r="F969" s="32">
        <v>2024</v>
      </c>
    </row>
    <row r="970" spans="1:6" hidden="1" x14ac:dyDescent="0.3">
      <c r="A970" s="197">
        <v>45509</v>
      </c>
      <c r="B970" s="32" t="s">
        <v>704</v>
      </c>
      <c r="C970" s="198">
        <f>6966.07+4080.28</f>
        <v>11046.35</v>
      </c>
      <c r="D970" s="197">
        <v>45540</v>
      </c>
      <c r="E970" s="32">
        <v>1</v>
      </c>
      <c r="F970" s="32">
        <v>2024</v>
      </c>
    </row>
    <row r="971" spans="1:6" hidden="1" x14ac:dyDescent="0.3">
      <c r="A971" s="197">
        <v>45509</v>
      </c>
      <c r="B971" s="32" t="s">
        <v>705</v>
      </c>
      <c r="C971" s="198">
        <v>850.9</v>
      </c>
      <c r="D971" s="197">
        <v>45540</v>
      </c>
      <c r="E971" s="32">
        <v>1</v>
      </c>
      <c r="F971" s="32">
        <v>2024</v>
      </c>
    </row>
    <row r="972" spans="1:6" hidden="1" x14ac:dyDescent="0.3">
      <c r="A972" s="197">
        <v>45509</v>
      </c>
      <c r="B972" s="32" t="s">
        <v>707</v>
      </c>
      <c r="C972" s="198">
        <v>0</v>
      </c>
      <c r="D972" s="197">
        <v>45540</v>
      </c>
      <c r="E972" s="32">
        <v>1</v>
      </c>
      <c r="F972" s="32">
        <v>2024</v>
      </c>
    </row>
    <row r="973" spans="1:6" hidden="1" x14ac:dyDescent="0.3">
      <c r="A973" s="197">
        <v>45540</v>
      </c>
      <c r="B973" s="32" t="s">
        <v>162</v>
      </c>
      <c r="C973" s="198">
        <f>157.77+8033.3+211.06+229.13</f>
        <v>8631.26</v>
      </c>
      <c r="D973" s="197">
        <v>45570</v>
      </c>
      <c r="E973" s="32">
        <v>1</v>
      </c>
      <c r="F973" s="32">
        <v>2024</v>
      </c>
    </row>
    <row r="974" spans="1:6" hidden="1" x14ac:dyDescent="0.3">
      <c r="A974" s="197">
        <v>45540</v>
      </c>
      <c r="B974" s="32" t="s">
        <v>161</v>
      </c>
      <c r="C974" s="198">
        <f>1844.66+222.66+157.9</f>
        <v>2225.2200000000003</v>
      </c>
      <c r="D974" s="197">
        <v>45570</v>
      </c>
      <c r="E974" s="32">
        <v>1</v>
      </c>
      <c r="F974" s="32">
        <v>2024</v>
      </c>
    </row>
    <row r="975" spans="1:6" hidden="1" x14ac:dyDescent="0.3">
      <c r="A975" s="197">
        <v>45540</v>
      </c>
      <c r="B975" s="32" t="s">
        <v>704</v>
      </c>
      <c r="C975" s="198">
        <f>4945.92+11306.97</f>
        <v>16252.89</v>
      </c>
      <c r="D975" s="197">
        <v>45570</v>
      </c>
      <c r="E975" s="32">
        <v>1</v>
      </c>
      <c r="F975" s="32">
        <v>2024</v>
      </c>
    </row>
    <row r="976" spans="1:6" hidden="1" x14ac:dyDescent="0.3">
      <c r="A976" s="197">
        <v>45540</v>
      </c>
      <c r="B976" s="32" t="s">
        <v>705</v>
      </c>
      <c r="C976" s="198">
        <f>392.54</f>
        <v>392.54</v>
      </c>
      <c r="D976" s="197">
        <v>45570</v>
      </c>
      <c r="E976" s="32">
        <v>1</v>
      </c>
      <c r="F976" s="32">
        <v>2024</v>
      </c>
    </row>
    <row r="977" spans="1:6" hidden="1" x14ac:dyDescent="0.3">
      <c r="A977" s="197">
        <v>45570</v>
      </c>
      <c r="B977" s="32" t="s">
        <v>162</v>
      </c>
      <c r="C977" s="198">
        <v>21011.54</v>
      </c>
      <c r="D977" s="197">
        <v>45601</v>
      </c>
      <c r="E977" s="32">
        <v>1</v>
      </c>
      <c r="F977" s="32">
        <v>2024</v>
      </c>
    </row>
    <row r="978" spans="1:6" hidden="1" x14ac:dyDescent="0.3">
      <c r="A978" s="197">
        <v>45570</v>
      </c>
      <c r="B978" s="32" t="s">
        <v>161</v>
      </c>
      <c r="C978" s="198">
        <v>3052.37</v>
      </c>
      <c r="D978" s="197">
        <v>45601</v>
      </c>
      <c r="E978" s="32">
        <v>1</v>
      </c>
      <c r="F978" s="32">
        <v>2024</v>
      </c>
    </row>
    <row r="979" spans="1:6" hidden="1" x14ac:dyDescent="0.3">
      <c r="A979" s="197">
        <v>45570</v>
      </c>
      <c r="B979" s="32" t="s">
        <v>704</v>
      </c>
      <c r="C979" s="198">
        <v>25348.65</v>
      </c>
      <c r="D979" s="197">
        <v>45601</v>
      </c>
      <c r="E979" s="32">
        <v>1</v>
      </c>
      <c r="F979" s="32">
        <v>2024</v>
      </c>
    </row>
    <row r="980" spans="1:6" hidden="1" x14ac:dyDescent="0.3">
      <c r="A980" s="197">
        <v>45570</v>
      </c>
      <c r="B980" s="32" t="s">
        <v>705</v>
      </c>
      <c r="C980" s="198">
        <v>582.42999999999995</v>
      </c>
      <c r="D980" s="197">
        <v>45601</v>
      </c>
      <c r="E980" s="32">
        <v>1</v>
      </c>
      <c r="F980" s="32">
        <v>2024</v>
      </c>
    </row>
    <row r="981" spans="1:6" hidden="1" x14ac:dyDescent="0.3">
      <c r="A981" s="197">
        <v>45601</v>
      </c>
      <c r="B981" s="32" t="s">
        <v>162</v>
      </c>
      <c r="C981" s="198">
        <v>4347.93</v>
      </c>
      <c r="D981" s="197">
        <v>45631</v>
      </c>
      <c r="E981" s="32">
        <v>1</v>
      </c>
      <c r="F981" s="32">
        <v>2024</v>
      </c>
    </row>
    <row r="982" spans="1:6" hidden="1" x14ac:dyDescent="0.3">
      <c r="A982" s="197">
        <v>45601</v>
      </c>
      <c r="B982" s="32" t="s">
        <v>161</v>
      </c>
      <c r="C982" s="198">
        <f>134.54+888.86+5228.54</f>
        <v>6251.94</v>
      </c>
      <c r="D982" s="197">
        <v>45631</v>
      </c>
      <c r="E982" s="32">
        <v>1</v>
      </c>
      <c r="F982" s="32">
        <v>2024</v>
      </c>
    </row>
    <row r="983" spans="1:6" hidden="1" x14ac:dyDescent="0.3">
      <c r="A983" s="197">
        <v>45601</v>
      </c>
      <c r="B983" s="32" t="s">
        <v>704</v>
      </c>
      <c r="C983" s="198">
        <f>-111.22+555.77</f>
        <v>444.54999999999995</v>
      </c>
      <c r="D983" s="197">
        <v>45631</v>
      </c>
      <c r="E983" s="32">
        <v>1</v>
      </c>
      <c r="F983" s="32">
        <v>2024</v>
      </c>
    </row>
    <row r="984" spans="1:6" hidden="1" x14ac:dyDescent="0.3">
      <c r="A984" s="197">
        <v>45601</v>
      </c>
      <c r="B984" s="32" t="s">
        <v>705</v>
      </c>
      <c r="C984" s="198">
        <v>0</v>
      </c>
      <c r="D984" s="197">
        <v>45631</v>
      </c>
      <c r="E984" s="32">
        <v>1</v>
      </c>
      <c r="F984" s="32">
        <v>2024</v>
      </c>
    </row>
    <row r="985" spans="1:6" hidden="1" x14ac:dyDescent="0.3">
      <c r="A985" s="197">
        <v>45631</v>
      </c>
      <c r="B985" s="32" t="s">
        <v>162</v>
      </c>
      <c r="C985" s="198">
        <f>4995.4+79.37</f>
        <v>5074.7699999999995</v>
      </c>
      <c r="D985" s="197">
        <v>45662</v>
      </c>
      <c r="E985" s="32">
        <v>1</v>
      </c>
      <c r="F985" s="32">
        <v>2025</v>
      </c>
    </row>
    <row r="986" spans="1:6" hidden="1" x14ac:dyDescent="0.3">
      <c r="A986" s="197">
        <v>45631</v>
      </c>
      <c r="B986" s="32" t="s">
        <v>161</v>
      </c>
      <c r="C986" s="198">
        <f>3304.49+6040.4+681.24</f>
        <v>10026.129999999999</v>
      </c>
      <c r="D986" s="197">
        <v>45662</v>
      </c>
      <c r="E986" s="32">
        <v>1</v>
      </c>
      <c r="F986" s="32">
        <v>2025</v>
      </c>
    </row>
    <row r="987" spans="1:6" hidden="1" x14ac:dyDescent="0.3">
      <c r="A987" s="197">
        <v>45631</v>
      </c>
      <c r="B987" s="32" t="s">
        <v>704</v>
      </c>
      <c r="C987" s="198">
        <f>434.46+1210.9</f>
        <v>1645.3600000000001</v>
      </c>
      <c r="D987" s="197">
        <v>45662</v>
      </c>
      <c r="E987" s="32">
        <v>1</v>
      </c>
      <c r="F987" s="32">
        <v>2025</v>
      </c>
    </row>
    <row r="988" spans="1:6" hidden="1" x14ac:dyDescent="0.3">
      <c r="A988" s="197">
        <v>45631</v>
      </c>
      <c r="B988" s="32" t="s">
        <v>705</v>
      </c>
      <c r="C988" s="198">
        <v>83.7</v>
      </c>
      <c r="D988" s="197">
        <v>45662</v>
      </c>
      <c r="E988" s="32">
        <v>1</v>
      </c>
      <c r="F988" s="32">
        <v>2025</v>
      </c>
    </row>
    <row r="989" spans="1:6" hidden="1" x14ac:dyDescent="0.3">
      <c r="A989" s="197">
        <v>45662</v>
      </c>
      <c r="B989" s="32" t="s">
        <v>161</v>
      </c>
      <c r="C989" s="198">
        <f>12.74+3415.58+663.61</f>
        <v>4091.93</v>
      </c>
      <c r="D989" s="197">
        <v>45693</v>
      </c>
      <c r="E989" s="32">
        <v>1</v>
      </c>
      <c r="F989" s="32">
        <v>2025</v>
      </c>
    </row>
    <row r="990" spans="1:6" hidden="1" x14ac:dyDescent="0.3">
      <c r="A990" s="197">
        <v>45662</v>
      </c>
      <c r="B990" s="32" t="s">
        <v>704</v>
      </c>
      <c r="C990" s="198">
        <f>3334.94+16199.98</f>
        <v>19534.919999999998</v>
      </c>
      <c r="D990" s="197">
        <v>45693</v>
      </c>
      <c r="E990" s="32">
        <v>1</v>
      </c>
      <c r="F990" s="32">
        <v>2025</v>
      </c>
    </row>
    <row r="991" spans="1:6" hidden="1" x14ac:dyDescent="0.3">
      <c r="A991" s="197">
        <v>45662</v>
      </c>
      <c r="B991" s="32" t="s">
        <v>162</v>
      </c>
      <c r="C991" s="198">
        <f>4163.55+13779.4+215.6</f>
        <v>18158.55</v>
      </c>
      <c r="D991" s="197">
        <v>45693</v>
      </c>
      <c r="E991" s="32">
        <v>1</v>
      </c>
      <c r="F991" s="32">
        <v>2025</v>
      </c>
    </row>
    <row r="992" spans="1:6" hidden="1" x14ac:dyDescent="0.3">
      <c r="A992" s="197">
        <v>45692</v>
      </c>
      <c r="B992" s="32" t="s">
        <v>161</v>
      </c>
      <c r="C992" s="198">
        <f>3087.21+344.62+1021.41</f>
        <v>4453.24</v>
      </c>
      <c r="D992" s="197">
        <v>45721</v>
      </c>
      <c r="E992" s="32">
        <v>1</v>
      </c>
      <c r="F992" s="32">
        <v>2025</v>
      </c>
    </row>
    <row r="993" spans="1:6" hidden="1" x14ac:dyDescent="0.3">
      <c r="A993" s="197">
        <v>45692</v>
      </c>
      <c r="B993" s="32" t="s">
        <v>704</v>
      </c>
      <c r="C993" s="198">
        <f>352.94+24208.04</f>
        <v>24560.98</v>
      </c>
      <c r="D993" s="197">
        <v>45721</v>
      </c>
      <c r="E993" s="32">
        <v>1</v>
      </c>
      <c r="F993" s="32">
        <v>2025</v>
      </c>
    </row>
    <row r="994" spans="1:6" hidden="1" x14ac:dyDescent="0.3">
      <c r="A994" s="197">
        <v>45692</v>
      </c>
      <c r="B994" s="32" t="s">
        <v>162</v>
      </c>
      <c r="C994" s="198">
        <f>18.18+8930.52+169.05</f>
        <v>9117.75</v>
      </c>
      <c r="D994" s="197">
        <v>45721</v>
      </c>
      <c r="E994" s="32">
        <v>1</v>
      </c>
      <c r="F994" s="32">
        <v>2025</v>
      </c>
    </row>
    <row r="995" spans="1:6" hidden="1" x14ac:dyDescent="0.3">
      <c r="A995" s="197">
        <v>45692</v>
      </c>
      <c r="B995" s="32" t="s">
        <v>705</v>
      </c>
      <c r="C995" s="198">
        <v>151.59</v>
      </c>
      <c r="D995" s="197">
        <v>45721</v>
      </c>
      <c r="E995" s="32">
        <v>1</v>
      </c>
      <c r="F995" s="32">
        <v>2025</v>
      </c>
    </row>
    <row r="996" spans="1:6" hidden="1" x14ac:dyDescent="0.3">
      <c r="A996" s="197">
        <v>45720</v>
      </c>
      <c r="B996" s="32" t="s">
        <v>161</v>
      </c>
      <c r="C996" s="198">
        <f>6844.76+274.1+374.1</f>
        <v>7492.9600000000009</v>
      </c>
      <c r="D996" s="197">
        <v>45752</v>
      </c>
      <c r="E996" s="32">
        <v>1</v>
      </c>
      <c r="F996" s="32">
        <v>2025</v>
      </c>
    </row>
    <row r="997" spans="1:6" hidden="1" x14ac:dyDescent="0.3">
      <c r="A997" s="197">
        <v>45720</v>
      </c>
      <c r="B997" s="32" t="s">
        <v>704</v>
      </c>
      <c r="C997" s="198">
        <f>3888.14+3182.78</f>
        <v>7070.92</v>
      </c>
      <c r="D997" s="197">
        <v>45752</v>
      </c>
      <c r="E997" s="32">
        <v>1</v>
      </c>
      <c r="F997" s="32">
        <v>2025</v>
      </c>
    </row>
    <row r="998" spans="1:6" hidden="1" x14ac:dyDescent="0.3">
      <c r="A998" s="197">
        <v>45720</v>
      </c>
      <c r="B998" s="32" t="s">
        <v>162</v>
      </c>
      <c r="C998" s="198">
        <f>165.64+5154.43+166.6</f>
        <v>5486.670000000001</v>
      </c>
      <c r="D998" s="197">
        <v>45752</v>
      </c>
      <c r="E998" s="32">
        <v>1</v>
      </c>
      <c r="F998" s="32">
        <v>2025</v>
      </c>
    </row>
    <row r="999" spans="1:6" hidden="1" x14ac:dyDescent="0.3">
      <c r="A999" s="197">
        <v>45720</v>
      </c>
      <c r="B999" s="32" t="s">
        <v>705</v>
      </c>
      <c r="C999" s="198">
        <v>176.76</v>
      </c>
      <c r="D999" s="197">
        <v>45752</v>
      </c>
      <c r="E999" s="32">
        <v>1</v>
      </c>
      <c r="F999" s="32">
        <v>2025</v>
      </c>
    </row>
    <row r="1000" spans="1:6" hidden="1" x14ac:dyDescent="0.3">
      <c r="A1000" s="197">
        <v>45752</v>
      </c>
      <c r="B1000" s="32" t="s">
        <v>161</v>
      </c>
      <c r="C1000" s="198">
        <f>352.98+4445.74+250.9</f>
        <v>5049.619999999999</v>
      </c>
      <c r="D1000" s="197">
        <v>45782</v>
      </c>
      <c r="E1000" s="32">
        <v>1</v>
      </c>
      <c r="F1000" s="32">
        <v>2025</v>
      </c>
    </row>
    <row r="1001" spans="1:6" hidden="1" x14ac:dyDescent="0.3">
      <c r="A1001" s="197">
        <v>45752</v>
      </c>
      <c r="B1001" s="32" t="s">
        <v>704</v>
      </c>
      <c r="C1001" s="198">
        <f>676.8+15392.75</f>
        <v>16069.55</v>
      </c>
      <c r="D1001" s="197">
        <v>45782</v>
      </c>
      <c r="E1001" s="32">
        <v>1</v>
      </c>
      <c r="F1001" s="32">
        <v>2025</v>
      </c>
    </row>
    <row r="1002" spans="1:6" hidden="1" x14ac:dyDescent="0.3">
      <c r="A1002" s="197">
        <v>45752</v>
      </c>
      <c r="B1002" s="32" t="s">
        <v>162</v>
      </c>
      <c r="C1002" s="198">
        <v>8112.66</v>
      </c>
      <c r="D1002" s="197">
        <v>45782</v>
      </c>
      <c r="E1002" s="32">
        <v>1</v>
      </c>
      <c r="F1002" s="32">
        <v>2025</v>
      </c>
    </row>
    <row r="1003" spans="1:6" hidden="1" x14ac:dyDescent="0.3">
      <c r="A1003" s="197">
        <v>45752</v>
      </c>
      <c r="B1003" s="32" t="s">
        <v>705</v>
      </c>
      <c r="C1003" s="198">
        <v>70.47</v>
      </c>
      <c r="D1003" s="197">
        <v>45782</v>
      </c>
      <c r="E1003" s="32">
        <v>1</v>
      </c>
      <c r="F1003" s="32">
        <v>2025</v>
      </c>
    </row>
    <row r="1004" spans="1:6" hidden="1" x14ac:dyDescent="0.3">
      <c r="A1004" s="197">
        <v>45782</v>
      </c>
      <c r="B1004" s="32" t="s">
        <v>161</v>
      </c>
      <c r="C1004" s="198">
        <f>2874.02+512.41+117.63</f>
        <v>3504.06</v>
      </c>
      <c r="D1004" s="197">
        <v>45813</v>
      </c>
      <c r="E1004" s="32">
        <v>1</v>
      </c>
      <c r="F1004" s="32">
        <v>2025</v>
      </c>
    </row>
    <row r="1005" spans="1:6" hidden="1" x14ac:dyDescent="0.3">
      <c r="A1005" s="197">
        <v>45782</v>
      </c>
      <c r="B1005" s="32" t="s">
        <v>704</v>
      </c>
      <c r="C1005" s="198">
        <f>901.03+23649.83</f>
        <v>24550.86</v>
      </c>
      <c r="D1005" s="197">
        <v>45813</v>
      </c>
      <c r="E1005" s="32">
        <v>1</v>
      </c>
      <c r="F1005" s="32">
        <v>2025</v>
      </c>
    </row>
    <row r="1006" spans="1:6" hidden="1" x14ac:dyDescent="0.3">
      <c r="A1006" s="197">
        <v>45782</v>
      </c>
      <c r="B1006" s="32" t="s">
        <v>162</v>
      </c>
      <c r="C1006" s="198">
        <f>452.46+13860.57+36.26</f>
        <v>14349.289999999999</v>
      </c>
      <c r="D1006" s="197">
        <v>45813</v>
      </c>
      <c r="E1006" s="32">
        <v>1</v>
      </c>
      <c r="F1006" s="32">
        <v>2025</v>
      </c>
    </row>
    <row r="1007" spans="1:6" hidden="1" x14ac:dyDescent="0.3">
      <c r="A1007" s="197">
        <v>45813</v>
      </c>
      <c r="B1007" s="32" t="s">
        <v>161</v>
      </c>
      <c r="C1007" s="198">
        <f>393.68+3340.53+4414.41</f>
        <v>8148.62</v>
      </c>
      <c r="D1007" s="197">
        <v>45843</v>
      </c>
      <c r="E1007" s="32">
        <v>1</v>
      </c>
      <c r="F1007" s="32">
        <v>2025</v>
      </c>
    </row>
    <row r="1008" spans="1:6" hidden="1" x14ac:dyDescent="0.3">
      <c r="A1008" s="197">
        <v>45813</v>
      </c>
      <c r="B1008" s="32" t="s">
        <v>704</v>
      </c>
      <c r="C1008" s="198">
        <f>951.57+13632.01</f>
        <v>14583.58</v>
      </c>
      <c r="D1008" s="197">
        <v>45843</v>
      </c>
      <c r="E1008" s="32">
        <v>1</v>
      </c>
      <c r="F1008" s="32">
        <v>2025</v>
      </c>
    </row>
    <row r="1009" spans="1:6" hidden="1" x14ac:dyDescent="0.3">
      <c r="A1009" s="197">
        <v>45813</v>
      </c>
      <c r="B1009" s="32" t="s">
        <v>162</v>
      </c>
      <c r="C1009" s="198">
        <f>18518.86</f>
        <v>18518.86</v>
      </c>
      <c r="D1009" s="197">
        <v>45843</v>
      </c>
      <c r="E1009" s="32">
        <v>1</v>
      </c>
      <c r="F1009" s="32">
        <v>2025</v>
      </c>
    </row>
    <row r="1010" spans="1:6" hidden="1" x14ac:dyDescent="0.3">
      <c r="A1010" s="197">
        <v>45843</v>
      </c>
      <c r="B1010" s="32" t="s">
        <v>161</v>
      </c>
      <c r="C1010" s="198">
        <f>205+2767.73</f>
        <v>2972.73</v>
      </c>
      <c r="D1010" s="197">
        <v>45874</v>
      </c>
      <c r="E1010" s="32">
        <v>1</v>
      </c>
      <c r="F1010" s="32">
        <v>2025</v>
      </c>
    </row>
    <row r="1011" spans="1:6" hidden="1" x14ac:dyDescent="0.3">
      <c r="A1011" s="197">
        <v>45843</v>
      </c>
      <c r="B1011" s="32" t="s">
        <v>704</v>
      </c>
      <c r="C1011" s="198">
        <f>623.69+7156.42</f>
        <v>7780.1100000000006</v>
      </c>
      <c r="D1011" s="197">
        <v>45874</v>
      </c>
      <c r="E1011" s="32">
        <v>1</v>
      </c>
      <c r="F1011" s="32">
        <v>2025</v>
      </c>
    </row>
    <row r="1012" spans="1:6" hidden="1" x14ac:dyDescent="0.3">
      <c r="A1012" s="197">
        <v>45843</v>
      </c>
      <c r="B1012" s="32" t="s">
        <v>162</v>
      </c>
      <c r="C1012" s="198">
        <f>635.61+5629.33</f>
        <v>6264.94</v>
      </c>
      <c r="D1012" s="197">
        <v>45874</v>
      </c>
      <c r="E1012" s="32">
        <v>1</v>
      </c>
      <c r="F1012" s="32">
        <v>2025</v>
      </c>
    </row>
    <row r="1013" spans="1:6" hidden="1" x14ac:dyDescent="0.3">
      <c r="A1013" s="197">
        <v>45874</v>
      </c>
      <c r="B1013" s="32" t="s">
        <v>161</v>
      </c>
      <c r="C1013" s="198">
        <f>1440.43+756.13</f>
        <v>2196.56</v>
      </c>
      <c r="D1013" s="197">
        <v>45905</v>
      </c>
      <c r="E1013" s="32">
        <v>1</v>
      </c>
      <c r="F1013" s="32">
        <v>2025</v>
      </c>
    </row>
    <row r="1014" spans="1:6" hidden="1" x14ac:dyDescent="0.3">
      <c r="A1014" s="197">
        <v>45874</v>
      </c>
      <c r="B1014" s="32" t="s">
        <v>704</v>
      </c>
      <c r="C1014" s="198">
        <f>6254.95+875.97</f>
        <v>7130.92</v>
      </c>
      <c r="D1014" s="197">
        <v>45905</v>
      </c>
      <c r="E1014" s="32">
        <v>1</v>
      </c>
      <c r="F1014" s="32">
        <v>2025</v>
      </c>
    </row>
    <row r="1015" spans="1:6" hidden="1" x14ac:dyDescent="0.3">
      <c r="A1015" s="197">
        <v>45874</v>
      </c>
      <c r="B1015" s="32" t="s">
        <v>162</v>
      </c>
      <c r="C1015" s="198">
        <f>1217.06+7359.87</f>
        <v>8576.93</v>
      </c>
      <c r="D1015" s="197">
        <v>45905</v>
      </c>
      <c r="E1015" s="32">
        <v>1</v>
      </c>
      <c r="F1015" s="32">
        <v>2025</v>
      </c>
    </row>
    <row r="1016" spans="1:6" hidden="1" x14ac:dyDescent="0.3">
      <c r="A1016" s="197">
        <v>45905</v>
      </c>
      <c r="B1016" s="32" t="s">
        <v>161</v>
      </c>
      <c r="C1016" s="198">
        <f>2932.73+381.61</f>
        <v>3314.34</v>
      </c>
      <c r="D1016" s="197">
        <v>45935</v>
      </c>
      <c r="E1016" s="32">
        <v>1</v>
      </c>
      <c r="F1016" s="32">
        <v>2025</v>
      </c>
    </row>
    <row r="1017" spans="1:6" hidden="1" x14ac:dyDescent="0.3">
      <c r="A1017" s="197">
        <v>45905</v>
      </c>
      <c r="B1017" s="32" t="s">
        <v>704</v>
      </c>
      <c r="C1017" s="198">
        <f>4605.9+10194.08</f>
        <v>14799.98</v>
      </c>
      <c r="D1017" s="197">
        <v>45935</v>
      </c>
      <c r="E1017" s="32">
        <v>1</v>
      </c>
      <c r="F1017" s="32">
        <v>2025</v>
      </c>
    </row>
    <row r="1018" spans="1:6" hidden="1" x14ac:dyDescent="0.3">
      <c r="A1018" s="197">
        <v>45905</v>
      </c>
      <c r="B1018" s="32" t="s">
        <v>162</v>
      </c>
      <c r="C1018" s="198">
        <f>12161.44+2166.16</f>
        <v>14327.6</v>
      </c>
      <c r="D1018" s="197">
        <v>45935</v>
      </c>
      <c r="E1018" s="32">
        <v>1</v>
      </c>
      <c r="F1018" s="32">
        <v>2025</v>
      </c>
    </row>
    <row r="1019" spans="1:6" hidden="1" x14ac:dyDescent="0.3">
      <c r="A1019" s="197">
        <v>45935</v>
      </c>
      <c r="B1019" s="32" t="s">
        <v>161</v>
      </c>
      <c r="C1019" s="198">
        <f>2869.7+281.65+26.99</f>
        <v>3178.3399999999997</v>
      </c>
      <c r="D1019" s="197">
        <v>45966</v>
      </c>
      <c r="E1019" s="32">
        <v>1</v>
      </c>
      <c r="F1019" s="32">
        <v>2025</v>
      </c>
    </row>
    <row r="1020" spans="1:6" hidden="1" x14ac:dyDescent="0.3">
      <c r="A1020" s="197">
        <v>45935</v>
      </c>
      <c r="B1020" s="32" t="s">
        <v>704</v>
      </c>
      <c r="C1020" s="198">
        <f>686.6+9285.71</f>
        <v>9972.31</v>
      </c>
      <c r="D1020" s="197">
        <v>45966</v>
      </c>
      <c r="E1020" s="32">
        <v>1</v>
      </c>
      <c r="F1020" s="32">
        <v>2025</v>
      </c>
    </row>
    <row r="1021" spans="1:6" hidden="1" x14ac:dyDescent="0.3">
      <c r="A1021" s="197">
        <v>45935</v>
      </c>
      <c r="B1021" s="32" t="s">
        <v>162</v>
      </c>
      <c r="C1021" s="198">
        <f>5234.89+635.61</f>
        <v>5870.5</v>
      </c>
      <c r="D1021" s="197">
        <v>45966</v>
      </c>
      <c r="E1021" s="32">
        <v>1</v>
      </c>
      <c r="F1021" s="32">
        <v>2025</v>
      </c>
    </row>
    <row r="1022" spans="1:6" hidden="1" x14ac:dyDescent="0.3">
      <c r="A1022" s="197">
        <v>45966</v>
      </c>
      <c r="B1022" s="32" t="s">
        <v>161</v>
      </c>
      <c r="C1022" s="198">
        <f>145.91+7302.18</f>
        <v>7448.09</v>
      </c>
      <c r="D1022" s="197">
        <v>45996</v>
      </c>
      <c r="E1022" s="32">
        <v>1</v>
      </c>
      <c r="F1022" s="32">
        <v>2025</v>
      </c>
    </row>
    <row r="1023" spans="1:6" hidden="1" x14ac:dyDescent="0.3">
      <c r="A1023" s="197">
        <v>45966</v>
      </c>
      <c r="B1023" s="32" t="s">
        <v>704</v>
      </c>
      <c r="C1023" s="198">
        <f>89.04+5036.63</f>
        <v>5125.67</v>
      </c>
      <c r="D1023" s="197">
        <v>45996</v>
      </c>
      <c r="E1023" s="32">
        <v>1</v>
      </c>
      <c r="F1023" s="32">
        <v>2025</v>
      </c>
    </row>
    <row r="1024" spans="1:6" hidden="1" x14ac:dyDescent="0.3">
      <c r="A1024" s="197">
        <v>45966</v>
      </c>
      <c r="B1024" s="32" t="s">
        <v>162</v>
      </c>
      <c r="C1024" s="198">
        <v>11664.54</v>
      </c>
      <c r="D1024" s="197">
        <v>45996</v>
      </c>
      <c r="E1024" s="32">
        <v>1</v>
      </c>
      <c r="F1024" s="32">
        <v>2025</v>
      </c>
    </row>
    <row r="1025" spans="1:6" hidden="1" x14ac:dyDescent="0.3">
      <c r="A1025" s="197">
        <v>45996</v>
      </c>
      <c r="B1025" s="32" t="s">
        <v>161</v>
      </c>
      <c r="C1025" s="198">
        <f>111.48+123.2+6040.22</f>
        <v>6274.9000000000005</v>
      </c>
      <c r="D1025" s="197">
        <v>46027</v>
      </c>
      <c r="E1025" s="32">
        <v>1</v>
      </c>
      <c r="F1025" s="32">
        <v>2026</v>
      </c>
    </row>
    <row r="1026" spans="1:6" hidden="1" x14ac:dyDescent="0.3">
      <c r="A1026" s="197">
        <v>45996</v>
      </c>
      <c r="B1026" s="32" t="s">
        <v>704</v>
      </c>
      <c r="C1026" s="198">
        <f>623.28+10646.2</f>
        <v>11269.480000000001</v>
      </c>
      <c r="D1026" s="197">
        <v>46027</v>
      </c>
      <c r="E1026" s="32">
        <v>1</v>
      </c>
      <c r="F1026" s="32">
        <v>2026</v>
      </c>
    </row>
    <row r="1027" spans="1:6" hidden="1" x14ac:dyDescent="0.3">
      <c r="A1027" s="197">
        <v>45996</v>
      </c>
      <c r="B1027" s="32" t="s">
        <v>162</v>
      </c>
      <c r="C1027" s="198">
        <f>257.49+18336.82</f>
        <v>18594.310000000001</v>
      </c>
      <c r="D1027" s="197">
        <v>46027</v>
      </c>
      <c r="E1027" s="32">
        <v>1</v>
      </c>
      <c r="F1027" s="32">
        <v>2026</v>
      </c>
    </row>
    <row r="1028" spans="1:6" x14ac:dyDescent="0.3">
      <c r="A1028" s="197">
        <v>46027</v>
      </c>
      <c r="B1028" s="32" t="s">
        <v>161</v>
      </c>
      <c r="C1028" s="198">
        <f>223.64+3945.8+253.943</f>
        <v>4423.3830000000007</v>
      </c>
      <c r="D1028" s="197">
        <v>46058</v>
      </c>
      <c r="E1028" s="32">
        <v>1</v>
      </c>
      <c r="F1028" s="32">
        <v>2026</v>
      </c>
    </row>
    <row r="1029" spans="1:6" x14ac:dyDescent="0.3">
      <c r="A1029" s="197">
        <v>46027</v>
      </c>
      <c r="B1029" s="32" t="s">
        <v>704</v>
      </c>
      <c r="C1029" s="198">
        <f>1056.96+411.23</f>
        <v>1468.19</v>
      </c>
      <c r="D1029" s="197">
        <v>46058</v>
      </c>
      <c r="E1029" s="32">
        <v>1</v>
      </c>
      <c r="F1029" s="32">
        <v>2026</v>
      </c>
    </row>
    <row r="1030" spans="1:6" x14ac:dyDescent="0.3">
      <c r="A1030" s="197">
        <v>46027</v>
      </c>
      <c r="B1030" s="32" t="s">
        <v>162</v>
      </c>
      <c r="C1030" s="198">
        <f>53.55+16541.23</f>
        <v>16594.78</v>
      </c>
      <c r="D1030" s="197">
        <v>46058</v>
      </c>
      <c r="E1030" s="32">
        <v>1</v>
      </c>
      <c r="F1030" s="32">
        <v>2026</v>
      </c>
    </row>
    <row r="1031" spans="1:6" x14ac:dyDescent="0.3">
      <c r="A1031" s="197">
        <v>46058</v>
      </c>
      <c r="B1031" s="32" t="s">
        <v>161</v>
      </c>
      <c r="C1031" s="198">
        <f>28.16+1204.26+3272.02</f>
        <v>4504.4400000000005</v>
      </c>
      <c r="D1031" s="197">
        <v>46086</v>
      </c>
      <c r="E1031" s="32">
        <v>1</v>
      </c>
      <c r="F1031" s="32">
        <v>2026</v>
      </c>
    </row>
    <row r="1032" spans="1:6" x14ac:dyDescent="0.3">
      <c r="A1032" s="197">
        <v>46058</v>
      </c>
      <c r="B1032" s="32" t="s">
        <v>704</v>
      </c>
      <c r="C1032" s="198">
        <f>10792.63+8628.02</f>
        <v>19420.650000000001</v>
      </c>
      <c r="D1032" s="197">
        <v>46086</v>
      </c>
      <c r="E1032" s="32">
        <v>1</v>
      </c>
      <c r="F1032" s="32">
        <v>2026</v>
      </c>
    </row>
    <row r="1033" spans="1:6" x14ac:dyDescent="0.3">
      <c r="A1033" s="197">
        <v>46058</v>
      </c>
      <c r="B1033" s="32" t="s">
        <v>162</v>
      </c>
      <c r="C1033" s="198">
        <f>30776.53</f>
        <v>30776.53</v>
      </c>
      <c r="D1033" s="197">
        <v>46086</v>
      </c>
      <c r="E1033" s="32">
        <v>1</v>
      </c>
      <c r="F1033" s="32">
        <v>2026</v>
      </c>
    </row>
    <row r="1034" spans="1:6" x14ac:dyDescent="0.3">
      <c r="A1034" s="197">
        <v>46086</v>
      </c>
      <c r="B1034" s="32" t="s">
        <v>161</v>
      </c>
      <c r="C1034" s="198">
        <f>217.56+4711.64+52.66</f>
        <v>4981.8600000000006</v>
      </c>
      <c r="D1034" s="197">
        <v>46117</v>
      </c>
      <c r="E1034" s="32">
        <v>1</v>
      </c>
      <c r="F1034" s="32">
        <v>2026</v>
      </c>
    </row>
    <row r="1035" spans="1:6" x14ac:dyDescent="0.3">
      <c r="A1035" s="197">
        <v>46086</v>
      </c>
      <c r="B1035" s="32" t="s">
        <v>704</v>
      </c>
      <c r="C1035" s="198">
        <f>243.16+965.8+9132.04</f>
        <v>10341</v>
      </c>
      <c r="D1035" s="197">
        <v>46117</v>
      </c>
      <c r="E1035" s="32">
        <v>1</v>
      </c>
      <c r="F1035" s="32">
        <v>2026</v>
      </c>
    </row>
    <row r="1036" spans="1:6" x14ac:dyDescent="0.3">
      <c r="A1036" s="197">
        <v>46086</v>
      </c>
      <c r="B1036" s="32" t="s">
        <v>162</v>
      </c>
      <c r="C1036" s="198">
        <f>3453.55+20144.12</f>
        <v>23597.67</v>
      </c>
      <c r="D1036" s="197">
        <v>46117</v>
      </c>
      <c r="E1036" s="32">
        <v>1</v>
      </c>
      <c r="F1036" s="32">
        <v>2026</v>
      </c>
    </row>
    <row r="1037" spans="1:6" x14ac:dyDescent="0.3">
      <c r="A1037" s="197">
        <v>46117</v>
      </c>
      <c r="B1037" s="32" t="s">
        <v>161</v>
      </c>
      <c r="C1037" s="198">
        <f>161.96+638.02+9807.27</f>
        <v>10607.25</v>
      </c>
      <c r="D1037" s="197">
        <v>46147</v>
      </c>
      <c r="E1037" s="32">
        <v>1</v>
      </c>
      <c r="F1037" s="32">
        <v>2026</v>
      </c>
    </row>
    <row r="1038" spans="1:6" x14ac:dyDescent="0.3">
      <c r="A1038" s="197">
        <v>46117</v>
      </c>
      <c r="B1038" s="32" t="s">
        <v>704</v>
      </c>
      <c r="C1038" s="198">
        <f>3111.79+5882.93+2492.74</f>
        <v>11487.460000000001</v>
      </c>
      <c r="D1038" s="197">
        <v>46147</v>
      </c>
      <c r="E1038" s="32">
        <v>1</v>
      </c>
      <c r="F1038" s="32">
        <v>2026</v>
      </c>
    </row>
    <row r="1039" spans="1:6" x14ac:dyDescent="0.3">
      <c r="A1039" s="197">
        <v>46117</v>
      </c>
      <c r="B1039" s="32" t="s">
        <v>162</v>
      </c>
      <c r="C1039" s="198">
        <v>10496.66</v>
      </c>
      <c r="D1039" s="197">
        <v>46147</v>
      </c>
      <c r="E1039" s="32">
        <v>1</v>
      </c>
      <c r="F1039" s="32">
        <v>2026</v>
      </c>
    </row>
  </sheetData>
  <mergeCells count="2">
    <mergeCell ref="AA894:AC894"/>
    <mergeCell ref="Z887:Z890"/>
  </mergeCells>
  <pageMargins left="0.511811024" right="0.511811024" top="0.78740157499999996" bottom="0.78740157499999996" header="0.31496062000000002" footer="0.31496062000000002"/>
  <drawing r:id="rId8"/>
  <tableParts count="1">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X473"/>
  <sheetViews>
    <sheetView topLeftCell="A440" workbookViewId="0">
      <selection activeCell="E447" sqref="E447"/>
    </sheetView>
  </sheetViews>
  <sheetFormatPr defaultRowHeight="14.4" x14ac:dyDescent="0.3"/>
  <cols>
    <col min="1" max="1" width="16.5546875" bestFit="1" customWidth="1"/>
    <col min="2" max="2" width="17" bestFit="1" customWidth="1"/>
    <col min="3" max="3" width="11.33203125" bestFit="1" customWidth="1"/>
    <col min="4" max="4" width="11.88671875" bestFit="1" customWidth="1"/>
    <col min="5" max="6" width="80.88671875" bestFit="1" customWidth="1"/>
    <col min="7" max="7" width="67.33203125" bestFit="1" customWidth="1"/>
    <col min="8" max="8" width="12" bestFit="1" customWidth="1"/>
    <col min="9" max="9" width="26.6640625" bestFit="1" customWidth="1"/>
    <col min="10" max="10" width="80.88671875" bestFit="1" customWidth="1"/>
    <col min="11" max="11" width="40.6640625" bestFit="1" customWidth="1"/>
    <col min="12" max="12" width="18.6640625" bestFit="1" customWidth="1"/>
    <col min="13" max="13" width="39.88671875" bestFit="1" customWidth="1"/>
    <col min="14" max="14" width="17" bestFit="1" customWidth="1"/>
    <col min="15" max="15" width="30.109375" bestFit="1" customWidth="1"/>
    <col min="16" max="16" width="21" bestFit="1" customWidth="1"/>
    <col min="17" max="17" width="24" bestFit="1" customWidth="1"/>
    <col min="18" max="18" width="9.109375" bestFit="1" customWidth="1"/>
    <col min="19" max="19" width="23.109375" bestFit="1" customWidth="1"/>
    <col min="20" max="20" width="18" bestFit="1" customWidth="1"/>
    <col min="21" max="21" width="20" bestFit="1" customWidth="1"/>
    <col min="22" max="22" width="59.6640625" bestFit="1" customWidth="1"/>
    <col min="23" max="23" width="16.33203125" bestFit="1" customWidth="1"/>
    <col min="24" max="24" width="30.109375" bestFit="1" customWidth="1"/>
    <col min="25" max="25" width="31.88671875" bestFit="1" customWidth="1"/>
    <col min="26" max="26" width="28.33203125" bestFit="1" customWidth="1"/>
    <col min="27" max="27" width="12" bestFit="1" customWidth="1"/>
    <col min="28" max="28" width="14" bestFit="1" customWidth="1"/>
    <col min="29" max="29" width="25.6640625" bestFit="1" customWidth="1"/>
    <col min="30" max="30" width="16.5546875" bestFit="1" customWidth="1"/>
    <col min="31" max="31" width="16.44140625" bestFit="1" customWidth="1"/>
    <col min="32" max="32" width="16.5546875" bestFit="1" customWidth="1"/>
    <col min="33" max="33" width="15.6640625" bestFit="1" customWidth="1"/>
    <col min="34" max="34" width="8.5546875" bestFit="1" customWidth="1"/>
    <col min="35" max="35" width="21" bestFit="1" customWidth="1"/>
    <col min="36" max="36" width="21.109375" bestFit="1" customWidth="1"/>
    <col min="37" max="37" width="30" bestFit="1" customWidth="1"/>
    <col min="38" max="38" width="80.88671875" bestFit="1" customWidth="1"/>
    <col min="39" max="39" width="19.6640625" bestFit="1" customWidth="1"/>
    <col min="40" max="40" width="15.33203125" bestFit="1" customWidth="1"/>
    <col min="41" max="41" width="17.33203125" bestFit="1" customWidth="1"/>
    <col min="42" max="43" width="19.6640625" bestFit="1" customWidth="1"/>
    <col min="44" max="44" width="16.5546875" bestFit="1" customWidth="1"/>
    <col min="45" max="45" width="13.88671875" bestFit="1" customWidth="1"/>
    <col min="46" max="46" width="8.109375" bestFit="1" customWidth="1"/>
    <col min="47" max="47" width="33.88671875" bestFit="1" customWidth="1"/>
    <col min="48" max="48" width="11.88671875" bestFit="1" customWidth="1"/>
    <col min="49" max="49" width="16.6640625" bestFit="1" customWidth="1"/>
    <col min="50" max="50" width="7.6640625" bestFit="1" customWidth="1"/>
  </cols>
  <sheetData>
    <row r="1" spans="1:50" x14ac:dyDescent="0.3">
      <c r="A1" s="62" t="s">
        <v>212</v>
      </c>
      <c r="B1" t="s">
        <v>731</v>
      </c>
      <c r="C1" t="s">
        <v>732</v>
      </c>
      <c r="D1" t="s">
        <v>733</v>
      </c>
      <c r="E1" s="62" t="s">
        <v>734</v>
      </c>
      <c r="F1" t="s">
        <v>735</v>
      </c>
      <c r="G1" s="62" t="s">
        <v>736</v>
      </c>
      <c r="H1" t="s">
        <v>40</v>
      </c>
      <c r="I1" t="s">
        <v>737</v>
      </c>
      <c r="J1" t="s">
        <v>738</v>
      </c>
      <c r="K1" t="s">
        <v>739</v>
      </c>
      <c r="L1" t="s">
        <v>740</v>
      </c>
      <c r="M1" t="s">
        <v>741</v>
      </c>
      <c r="N1" t="s">
        <v>742</v>
      </c>
      <c r="O1" t="s">
        <v>743</v>
      </c>
      <c r="P1" t="s">
        <v>744</v>
      </c>
      <c r="Q1" t="s">
        <v>745</v>
      </c>
      <c r="R1" t="s">
        <v>746</v>
      </c>
      <c r="S1" t="s">
        <v>747</v>
      </c>
      <c r="T1" t="s">
        <v>748</v>
      </c>
      <c r="U1" t="s">
        <v>749</v>
      </c>
      <c r="V1" s="62" t="s">
        <v>750</v>
      </c>
      <c r="W1" t="s">
        <v>751</v>
      </c>
      <c r="X1" t="s">
        <v>752</v>
      </c>
      <c r="Y1" t="s">
        <v>753</v>
      </c>
      <c r="Z1" s="62" t="s">
        <v>754</v>
      </c>
      <c r="AA1" t="s">
        <v>755</v>
      </c>
      <c r="AB1" t="s">
        <v>756</v>
      </c>
      <c r="AC1" t="s">
        <v>757</v>
      </c>
      <c r="AD1" t="s">
        <v>758</v>
      </c>
      <c r="AE1" s="62" t="s">
        <v>759</v>
      </c>
      <c r="AF1" t="s">
        <v>760</v>
      </c>
      <c r="AG1" t="s">
        <v>761</v>
      </c>
      <c r="AH1" s="62" t="s">
        <v>762</v>
      </c>
      <c r="AI1" t="s">
        <v>763</v>
      </c>
      <c r="AJ1" t="s">
        <v>764</v>
      </c>
      <c r="AK1" t="s">
        <v>765</v>
      </c>
      <c r="AL1" t="s">
        <v>766</v>
      </c>
      <c r="AM1" t="s">
        <v>767</v>
      </c>
      <c r="AN1" s="62" t="s">
        <v>249</v>
      </c>
      <c r="AO1" t="s">
        <v>768</v>
      </c>
      <c r="AP1" s="62" t="s">
        <v>214</v>
      </c>
      <c r="AQ1" t="s">
        <v>769</v>
      </c>
      <c r="AR1" s="62" t="s">
        <v>770</v>
      </c>
      <c r="AS1" t="s">
        <v>260</v>
      </c>
      <c r="AT1" t="s">
        <v>258</v>
      </c>
      <c r="AU1" t="s">
        <v>771</v>
      </c>
      <c r="AV1" t="s">
        <v>257</v>
      </c>
      <c r="AW1" t="s">
        <v>772</v>
      </c>
      <c r="AX1" t="s">
        <v>773</v>
      </c>
    </row>
    <row r="2" spans="1:50" x14ac:dyDescent="0.3">
      <c r="A2" t="s">
        <v>22</v>
      </c>
      <c r="B2">
        <v>87</v>
      </c>
      <c r="D2">
        <v>548</v>
      </c>
      <c r="G2" t="s">
        <v>774</v>
      </c>
      <c r="J2" t="s">
        <v>775</v>
      </c>
      <c r="K2" t="s">
        <v>776</v>
      </c>
      <c r="M2" t="s">
        <v>777</v>
      </c>
      <c r="P2" t="s">
        <v>778</v>
      </c>
      <c r="V2" t="s">
        <v>779</v>
      </c>
      <c r="W2" t="s">
        <v>780</v>
      </c>
      <c r="X2" t="s">
        <v>781</v>
      </c>
      <c r="Z2" s="31"/>
      <c r="AA2">
        <v>0</v>
      </c>
      <c r="AB2">
        <v>27562</v>
      </c>
      <c r="AC2">
        <v>450</v>
      </c>
      <c r="AD2" t="s">
        <v>22</v>
      </c>
      <c r="AE2" s="31">
        <v>45622</v>
      </c>
      <c r="AF2" s="61">
        <v>0.72627314814814814</v>
      </c>
      <c r="AH2" t="s">
        <v>782</v>
      </c>
      <c r="AI2" s="31"/>
      <c r="AJ2" s="61"/>
      <c r="AO2" t="s">
        <v>22</v>
      </c>
      <c r="AR2" s="31"/>
      <c r="AX2">
        <v>1</v>
      </c>
    </row>
    <row r="3" spans="1:50" x14ac:dyDescent="0.3">
      <c r="A3" t="s">
        <v>44</v>
      </c>
      <c r="B3">
        <v>88</v>
      </c>
      <c r="D3">
        <v>269</v>
      </c>
      <c r="F3" t="s">
        <v>783</v>
      </c>
      <c r="G3" t="s">
        <v>784</v>
      </c>
      <c r="H3">
        <v>24870219000100</v>
      </c>
      <c r="J3" t="s">
        <v>785</v>
      </c>
      <c r="K3" t="s">
        <v>786</v>
      </c>
      <c r="M3" t="s">
        <v>787</v>
      </c>
      <c r="O3" t="s">
        <v>788</v>
      </c>
      <c r="P3" t="s">
        <v>778</v>
      </c>
      <c r="Q3" t="s">
        <v>789</v>
      </c>
      <c r="R3" t="s">
        <v>790</v>
      </c>
      <c r="S3" t="s">
        <v>791</v>
      </c>
      <c r="V3" t="s">
        <v>792</v>
      </c>
      <c r="W3" t="s">
        <v>780</v>
      </c>
      <c r="X3" t="s">
        <v>793</v>
      </c>
      <c r="Z3" s="31"/>
      <c r="AC3">
        <v>55</v>
      </c>
      <c r="AD3" t="s">
        <v>794</v>
      </c>
      <c r="AE3" s="31">
        <v>45623</v>
      </c>
      <c r="AF3" s="61">
        <v>0.60320601851851852</v>
      </c>
      <c r="AH3" t="s">
        <v>795</v>
      </c>
      <c r="AI3" s="31">
        <v>45678</v>
      </c>
      <c r="AJ3" s="61">
        <v>0.49710648148148151</v>
      </c>
      <c r="AK3" t="s">
        <v>796</v>
      </c>
      <c r="AL3" t="s">
        <v>797</v>
      </c>
      <c r="AM3" t="s">
        <v>798</v>
      </c>
      <c r="AN3" t="s">
        <v>799</v>
      </c>
      <c r="AO3" t="s">
        <v>794</v>
      </c>
      <c r="AP3" t="s">
        <v>798</v>
      </c>
      <c r="AR3" s="31"/>
      <c r="AX3">
        <v>1</v>
      </c>
    </row>
    <row r="4" spans="1:50" x14ac:dyDescent="0.3">
      <c r="A4" t="s">
        <v>22</v>
      </c>
      <c r="B4">
        <v>89</v>
      </c>
      <c r="D4">
        <v>439</v>
      </c>
      <c r="E4" t="s">
        <v>800</v>
      </c>
      <c r="G4" t="s">
        <v>801</v>
      </c>
      <c r="H4">
        <v>51921277000198</v>
      </c>
      <c r="J4" t="s">
        <v>802</v>
      </c>
      <c r="K4" t="s">
        <v>803</v>
      </c>
      <c r="M4" t="s">
        <v>804</v>
      </c>
      <c r="P4" t="s">
        <v>778</v>
      </c>
      <c r="S4" t="s">
        <v>805</v>
      </c>
      <c r="V4" t="s">
        <v>806</v>
      </c>
      <c r="W4" t="s">
        <v>780</v>
      </c>
      <c r="X4" t="s">
        <v>807</v>
      </c>
      <c r="Z4" s="31"/>
      <c r="AC4">
        <v>63</v>
      </c>
      <c r="AD4" t="s">
        <v>594</v>
      </c>
      <c r="AE4" s="31">
        <v>45623</v>
      </c>
      <c r="AF4" s="61">
        <v>0.6035300925925926</v>
      </c>
      <c r="AH4" t="s">
        <v>795</v>
      </c>
      <c r="AI4" s="31">
        <v>45686</v>
      </c>
      <c r="AJ4" s="61">
        <v>4.445601851851852E-2</v>
      </c>
      <c r="AK4" t="s">
        <v>808</v>
      </c>
      <c r="AM4" t="s">
        <v>798</v>
      </c>
      <c r="AO4" t="s">
        <v>594</v>
      </c>
      <c r="AR4" s="31"/>
      <c r="AX4">
        <v>1</v>
      </c>
    </row>
    <row r="5" spans="1:50" x14ac:dyDescent="0.3">
      <c r="A5" t="s">
        <v>44</v>
      </c>
      <c r="B5">
        <v>90</v>
      </c>
      <c r="D5">
        <v>372</v>
      </c>
      <c r="E5" t="s">
        <v>809</v>
      </c>
      <c r="G5" t="s">
        <v>810</v>
      </c>
      <c r="H5">
        <v>1740627000575</v>
      </c>
      <c r="J5" t="s">
        <v>811</v>
      </c>
      <c r="K5" t="s">
        <v>812</v>
      </c>
      <c r="M5" t="s">
        <v>813</v>
      </c>
      <c r="P5" t="s">
        <v>778</v>
      </c>
      <c r="S5" t="s">
        <v>814</v>
      </c>
      <c r="V5" t="s">
        <v>815</v>
      </c>
      <c r="W5" t="s">
        <v>780</v>
      </c>
      <c r="X5" t="s">
        <v>816</v>
      </c>
      <c r="Y5" t="s">
        <v>817</v>
      </c>
      <c r="Z5" s="31"/>
      <c r="AA5">
        <v>14416</v>
      </c>
      <c r="AB5">
        <v>18072</v>
      </c>
      <c r="AC5">
        <v>266</v>
      </c>
      <c r="AD5" t="s">
        <v>594</v>
      </c>
      <c r="AE5" s="31">
        <v>45623</v>
      </c>
      <c r="AF5" s="61">
        <v>0.64762731481481484</v>
      </c>
      <c r="AH5" t="s">
        <v>818</v>
      </c>
      <c r="AI5" s="31">
        <v>45889</v>
      </c>
      <c r="AJ5" s="61">
        <v>0.4010185185185185</v>
      </c>
      <c r="AM5" t="s">
        <v>819</v>
      </c>
      <c r="AN5" t="s">
        <v>820</v>
      </c>
      <c r="AO5" t="s">
        <v>594</v>
      </c>
      <c r="AP5" t="s">
        <v>821</v>
      </c>
      <c r="AQ5" t="s">
        <v>820</v>
      </c>
      <c r="AR5" s="31"/>
      <c r="AX5">
        <v>1</v>
      </c>
    </row>
    <row r="6" spans="1:50" x14ac:dyDescent="0.3">
      <c r="A6" t="s">
        <v>44</v>
      </c>
      <c r="B6">
        <v>91</v>
      </c>
      <c r="D6">
        <v>502</v>
      </c>
      <c r="E6" t="s">
        <v>822</v>
      </c>
      <c r="G6" t="s">
        <v>823</v>
      </c>
      <c r="H6">
        <v>8196258000117</v>
      </c>
      <c r="J6" t="s">
        <v>824</v>
      </c>
      <c r="K6" t="s">
        <v>825</v>
      </c>
      <c r="M6" t="s">
        <v>826</v>
      </c>
      <c r="P6" t="s">
        <v>778</v>
      </c>
      <c r="S6" t="s">
        <v>814</v>
      </c>
      <c r="V6" t="s">
        <v>827</v>
      </c>
      <c r="W6" t="s">
        <v>780</v>
      </c>
      <c r="X6" t="s">
        <v>793</v>
      </c>
      <c r="Z6" s="31"/>
      <c r="AC6">
        <v>55</v>
      </c>
      <c r="AD6" t="s">
        <v>594</v>
      </c>
      <c r="AE6" s="31">
        <v>45623</v>
      </c>
      <c r="AF6" s="61">
        <v>0.64908564814814818</v>
      </c>
      <c r="AH6" t="s">
        <v>795</v>
      </c>
      <c r="AI6" s="31">
        <v>45678</v>
      </c>
      <c r="AJ6" s="61">
        <v>0.49982638888888892</v>
      </c>
      <c r="AK6" t="s">
        <v>796</v>
      </c>
      <c r="AL6" t="s">
        <v>797</v>
      </c>
      <c r="AM6" t="s">
        <v>828</v>
      </c>
      <c r="AN6" t="s">
        <v>829</v>
      </c>
      <c r="AO6" t="s">
        <v>594</v>
      </c>
      <c r="AP6" t="s">
        <v>830</v>
      </c>
      <c r="AR6" s="31"/>
      <c r="AX6">
        <v>1</v>
      </c>
    </row>
    <row r="7" spans="1:50" x14ac:dyDescent="0.3">
      <c r="A7" t="s">
        <v>44</v>
      </c>
      <c r="B7">
        <v>92</v>
      </c>
      <c r="D7">
        <v>360</v>
      </c>
      <c r="E7" t="s">
        <v>831</v>
      </c>
      <c r="F7" t="s">
        <v>832</v>
      </c>
      <c r="G7" t="s">
        <v>833</v>
      </c>
      <c r="H7">
        <v>32364538000171</v>
      </c>
      <c r="J7" t="s">
        <v>834</v>
      </c>
      <c r="K7" t="s">
        <v>835</v>
      </c>
      <c r="M7" t="s">
        <v>836</v>
      </c>
      <c r="P7" t="s">
        <v>778</v>
      </c>
      <c r="Q7" t="s">
        <v>837</v>
      </c>
      <c r="R7" t="s">
        <v>790</v>
      </c>
      <c r="S7" t="s">
        <v>805</v>
      </c>
      <c r="V7" t="s">
        <v>838</v>
      </c>
      <c r="W7" t="s">
        <v>780</v>
      </c>
      <c r="X7" t="s">
        <v>807</v>
      </c>
      <c r="Z7" s="31"/>
      <c r="AA7">
        <v>2496</v>
      </c>
      <c r="AC7">
        <v>62</v>
      </c>
      <c r="AD7" t="s">
        <v>594</v>
      </c>
      <c r="AE7" s="31">
        <v>45623</v>
      </c>
      <c r="AF7" s="61">
        <v>0.6508680555555556</v>
      </c>
      <c r="AH7" t="s">
        <v>795</v>
      </c>
      <c r="AI7" s="31">
        <v>45685</v>
      </c>
      <c r="AJ7" s="61">
        <v>0.64828703703703705</v>
      </c>
      <c r="AK7" t="s">
        <v>796</v>
      </c>
      <c r="AL7" t="s">
        <v>839</v>
      </c>
      <c r="AM7" t="s">
        <v>840</v>
      </c>
      <c r="AN7" t="s">
        <v>841</v>
      </c>
      <c r="AO7" t="s">
        <v>594</v>
      </c>
      <c r="AP7" t="s">
        <v>821</v>
      </c>
      <c r="AR7" s="31"/>
      <c r="AX7">
        <v>1</v>
      </c>
    </row>
    <row r="8" spans="1:50" x14ac:dyDescent="0.3">
      <c r="A8" t="s">
        <v>22</v>
      </c>
      <c r="B8">
        <v>93</v>
      </c>
      <c r="D8">
        <v>598</v>
      </c>
      <c r="E8" t="s">
        <v>842</v>
      </c>
      <c r="G8" t="s">
        <v>843</v>
      </c>
      <c r="H8">
        <v>3375396000492</v>
      </c>
      <c r="J8" t="s">
        <v>844</v>
      </c>
      <c r="K8" t="s">
        <v>845</v>
      </c>
      <c r="M8" t="s">
        <v>846</v>
      </c>
      <c r="P8" t="s">
        <v>778</v>
      </c>
      <c r="Q8" t="s">
        <v>847</v>
      </c>
      <c r="R8" t="s">
        <v>848</v>
      </c>
      <c r="S8" t="s">
        <v>791</v>
      </c>
      <c r="V8" t="s">
        <v>849</v>
      </c>
      <c r="W8" t="s">
        <v>780</v>
      </c>
      <c r="X8" t="s">
        <v>807</v>
      </c>
      <c r="Z8" s="31"/>
      <c r="AA8">
        <v>0</v>
      </c>
      <c r="AB8">
        <v>0</v>
      </c>
      <c r="AC8">
        <v>61</v>
      </c>
      <c r="AD8" t="s">
        <v>22</v>
      </c>
      <c r="AE8" s="31">
        <v>45624</v>
      </c>
      <c r="AF8" s="61">
        <v>0.36658564814814809</v>
      </c>
      <c r="AH8" t="s">
        <v>795</v>
      </c>
      <c r="AI8" s="31">
        <v>45685</v>
      </c>
      <c r="AJ8" s="61">
        <v>0.69954861111111111</v>
      </c>
      <c r="AK8" t="s">
        <v>796</v>
      </c>
      <c r="AL8" t="s">
        <v>850</v>
      </c>
      <c r="AO8" t="s">
        <v>22</v>
      </c>
      <c r="AR8" s="31"/>
      <c r="AX8">
        <v>1</v>
      </c>
    </row>
    <row r="9" spans="1:50" x14ac:dyDescent="0.3">
      <c r="A9" t="s">
        <v>44</v>
      </c>
      <c r="B9">
        <v>94</v>
      </c>
      <c r="D9">
        <v>378</v>
      </c>
      <c r="F9" t="s">
        <v>851</v>
      </c>
      <c r="G9" t="s">
        <v>852</v>
      </c>
      <c r="H9">
        <v>11650898000160</v>
      </c>
      <c r="J9" t="s">
        <v>853</v>
      </c>
      <c r="K9" t="s">
        <v>854</v>
      </c>
      <c r="M9" t="s">
        <v>855</v>
      </c>
      <c r="O9" t="s">
        <v>856</v>
      </c>
      <c r="P9" t="s">
        <v>778</v>
      </c>
      <c r="S9" t="s">
        <v>791</v>
      </c>
      <c r="V9" t="s">
        <v>792</v>
      </c>
      <c r="W9" t="s">
        <v>780</v>
      </c>
      <c r="X9" t="s">
        <v>857</v>
      </c>
      <c r="Z9" s="31"/>
      <c r="AA9">
        <v>0</v>
      </c>
      <c r="AB9">
        <v>0</v>
      </c>
      <c r="AC9">
        <v>61</v>
      </c>
      <c r="AD9" t="s">
        <v>794</v>
      </c>
      <c r="AE9" s="31">
        <v>45624</v>
      </c>
      <c r="AF9" s="61">
        <v>0.62634259259259262</v>
      </c>
      <c r="AH9" t="s">
        <v>795</v>
      </c>
      <c r="AI9" s="31">
        <v>45685</v>
      </c>
      <c r="AJ9" s="61">
        <v>0.58120370370370367</v>
      </c>
      <c r="AK9" t="s">
        <v>858</v>
      </c>
      <c r="AL9" t="s">
        <v>859</v>
      </c>
      <c r="AM9" t="s">
        <v>860</v>
      </c>
      <c r="AO9" t="s">
        <v>794</v>
      </c>
      <c r="AR9" s="31"/>
      <c r="AX9">
        <v>1</v>
      </c>
    </row>
    <row r="10" spans="1:50" x14ac:dyDescent="0.3">
      <c r="A10" t="s">
        <v>22</v>
      </c>
      <c r="B10">
        <v>95</v>
      </c>
      <c r="D10">
        <v>778</v>
      </c>
      <c r="E10" t="s">
        <v>861</v>
      </c>
      <c r="G10" t="s">
        <v>862</v>
      </c>
      <c r="H10">
        <v>15211327000180</v>
      </c>
      <c r="J10" t="s">
        <v>863</v>
      </c>
      <c r="K10" t="s">
        <v>864</v>
      </c>
      <c r="M10" t="s">
        <v>865</v>
      </c>
      <c r="P10" t="s">
        <v>778</v>
      </c>
      <c r="S10" t="s">
        <v>791</v>
      </c>
      <c r="V10" t="s">
        <v>866</v>
      </c>
      <c r="W10" t="s">
        <v>780</v>
      </c>
      <c r="X10" t="s">
        <v>793</v>
      </c>
      <c r="Z10" s="31"/>
      <c r="AC10">
        <v>39</v>
      </c>
      <c r="AD10" t="s">
        <v>22</v>
      </c>
      <c r="AE10" s="31">
        <v>45625</v>
      </c>
      <c r="AF10" s="61">
        <v>0.58859953703703705</v>
      </c>
      <c r="AH10" t="s">
        <v>795</v>
      </c>
      <c r="AI10" s="31">
        <v>45664</v>
      </c>
      <c r="AJ10" s="61">
        <v>0.70936342592592594</v>
      </c>
      <c r="AK10" t="s">
        <v>867</v>
      </c>
      <c r="AO10" t="s">
        <v>594</v>
      </c>
      <c r="AP10" t="s">
        <v>868</v>
      </c>
      <c r="AR10" s="31"/>
      <c r="AX10">
        <v>1</v>
      </c>
    </row>
    <row r="11" spans="1:50" x14ac:dyDescent="0.3">
      <c r="A11" t="s">
        <v>44</v>
      </c>
      <c r="B11">
        <v>96</v>
      </c>
      <c r="C11">
        <v>155</v>
      </c>
      <c r="D11">
        <v>812</v>
      </c>
      <c r="G11" t="s">
        <v>869</v>
      </c>
      <c r="H11">
        <v>13609763000186</v>
      </c>
      <c r="I11" t="s">
        <v>870</v>
      </c>
      <c r="J11" t="s">
        <v>870</v>
      </c>
      <c r="K11" t="s">
        <v>871</v>
      </c>
      <c r="M11" t="s">
        <v>872</v>
      </c>
      <c r="P11" t="s">
        <v>778</v>
      </c>
      <c r="Q11" t="s">
        <v>873</v>
      </c>
      <c r="R11" t="s">
        <v>874</v>
      </c>
      <c r="S11" t="s">
        <v>791</v>
      </c>
      <c r="V11" t="s">
        <v>875</v>
      </c>
      <c r="W11" t="s">
        <v>780</v>
      </c>
      <c r="X11" t="s">
        <v>816</v>
      </c>
      <c r="Y11" t="s">
        <v>817</v>
      </c>
      <c r="Z11" s="31">
        <v>45688</v>
      </c>
      <c r="AA11">
        <v>8479884</v>
      </c>
      <c r="AB11">
        <v>630984</v>
      </c>
      <c r="AC11">
        <v>62</v>
      </c>
      <c r="AD11" t="s">
        <v>22</v>
      </c>
      <c r="AE11" s="31">
        <v>45627</v>
      </c>
      <c r="AF11" s="61">
        <v>0.85458333333333336</v>
      </c>
      <c r="AH11" t="s">
        <v>818</v>
      </c>
      <c r="AI11" s="31">
        <v>45689</v>
      </c>
      <c r="AJ11" s="61">
        <v>6.9525462962962969E-2</v>
      </c>
      <c r="AN11" t="s">
        <v>876</v>
      </c>
      <c r="AO11" t="s">
        <v>44</v>
      </c>
      <c r="AP11" t="s">
        <v>876</v>
      </c>
      <c r="AR11" s="31"/>
      <c r="AX11">
        <v>1</v>
      </c>
    </row>
    <row r="12" spans="1:50" x14ac:dyDescent="0.3">
      <c r="A12" t="s">
        <v>44</v>
      </c>
      <c r="B12">
        <v>97</v>
      </c>
      <c r="C12">
        <v>155</v>
      </c>
      <c r="D12">
        <v>813</v>
      </c>
      <c r="G12" t="s">
        <v>877</v>
      </c>
      <c r="H12">
        <v>13609763000186</v>
      </c>
      <c r="I12" t="s">
        <v>870</v>
      </c>
      <c r="J12" t="s">
        <v>878</v>
      </c>
      <c r="K12" t="s">
        <v>879</v>
      </c>
      <c r="M12" t="s">
        <v>872</v>
      </c>
      <c r="P12" t="s">
        <v>778</v>
      </c>
      <c r="Q12" t="s">
        <v>873</v>
      </c>
      <c r="R12" t="s">
        <v>874</v>
      </c>
      <c r="V12" t="s">
        <v>880</v>
      </c>
      <c r="W12" t="s">
        <v>780</v>
      </c>
      <c r="X12" t="s">
        <v>807</v>
      </c>
      <c r="Z12" s="31"/>
      <c r="AC12">
        <v>82</v>
      </c>
      <c r="AD12" t="s">
        <v>22</v>
      </c>
      <c r="AE12" s="31">
        <v>45627</v>
      </c>
      <c r="AF12" s="61">
        <v>0.8545949074074074</v>
      </c>
      <c r="AH12" t="s">
        <v>795</v>
      </c>
      <c r="AI12" s="31">
        <v>45709</v>
      </c>
      <c r="AJ12" s="61">
        <v>0.5092592592592593</v>
      </c>
      <c r="AK12" t="s">
        <v>858</v>
      </c>
      <c r="AL12" t="s">
        <v>881</v>
      </c>
      <c r="AN12" t="s">
        <v>876</v>
      </c>
      <c r="AP12" t="s">
        <v>876</v>
      </c>
      <c r="AR12" s="31"/>
      <c r="AX12">
        <v>1</v>
      </c>
    </row>
    <row r="13" spans="1:50" x14ac:dyDescent="0.3">
      <c r="A13" t="s">
        <v>44</v>
      </c>
      <c r="B13">
        <v>98</v>
      </c>
      <c r="C13">
        <v>156</v>
      </c>
      <c r="D13">
        <v>816</v>
      </c>
      <c r="G13" t="s">
        <v>882</v>
      </c>
      <c r="H13">
        <v>3921447000272</v>
      </c>
      <c r="I13" t="s">
        <v>627</v>
      </c>
      <c r="J13" t="s">
        <v>883</v>
      </c>
      <c r="K13" t="s">
        <v>884</v>
      </c>
      <c r="M13" t="s">
        <v>885</v>
      </c>
      <c r="P13" t="s">
        <v>778</v>
      </c>
      <c r="Q13" t="s">
        <v>886</v>
      </c>
      <c r="R13" t="s">
        <v>790</v>
      </c>
      <c r="V13" t="s">
        <v>887</v>
      </c>
      <c r="W13" t="s">
        <v>780</v>
      </c>
      <c r="X13" t="s">
        <v>816</v>
      </c>
      <c r="Z13" s="31"/>
      <c r="AA13">
        <v>532332</v>
      </c>
      <c r="AB13">
        <v>292918</v>
      </c>
      <c r="AC13">
        <v>110</v>
      </c>
      <c r="AD13" t="s">
        <v>22</v>
      </c>
      <c r="AE13" s="31">
        <v>45627</v>
      </c>
      <c r="AF13" s="61">
        <v>0.8545949074074074</v>
      </c>
      <c r="AH13" t="s">
        <v>818</v>
      </c>
      <c r="AI13" s="31">
        <v>45737</v>
      </c>
      <c r="AJ13" s="61">
        <v>0.45113425925925932</v>
      </c>
      <c r="AN13" t="s">
        <v>888</v>
      </c>
      <c r="AP13" t="s">
        <v>889</v>
      </c>
      <c r="AQ13" t="s">
        <v>890</v>
      </c>
      <c r="AR13" s="31"/>
      <c r="AX13">
        <v>1</v>
      </c>
    </row>
    <row r="14" spans="1:50" x14ac:dyDescent="0.3">
      <c r="A14" t="s">
        <v>44</v>
      </c>
      <c r="B14">
        <v>99</v>
      </c>
      <c r="C14">
        <v>157</v>
      </c>
      <c r="D14">
        <v>818</v>
      </c>
      <c r="G14" t="s">
        <v>891</v>
      </c>
      <c r="H14">
        <v>55773964000164</v>
      </c>
      <c r="I14" t="s">
        <v>892</v>
      </c>
      <c r="J14" t="s">
        <v>844</v>
      </c>
      <c r="K14" t="s">
        <v>893</v>
      </c>
      <c r="M14" t="s">
        <v>894</v>
      </c>
      <c r="P14" t="s">
        <v>778</v>
      </c>
      <c r="Q14" t="s">
        <v>895</v>
      </c>
      <c r="R14" t="s">
        <v>790</v>
      </c>
      <c r="V14" t="s">
        <v>896</v>
      </c>
      <c r="W14" t="s">
        <v>780</v>
      </c>
      <c r="X14" t="s">
        <v>897</v>
      </c>
      <c r="Z14" s="31"/>
      <c r="AC14">
        <v>11</v>
      </c>
      <c r="AD14" t="s">
        <v>22</v>
      </c>
      <c r="AE14" s="31">
        <v>45627</v>
      </c>
      <c r="AF14" s="61">
        <v>0.8545949074074074</v>
      </c>
      <c r="AH14" t="s">
        <v>795</v>
      </c>
      <c r="AI14" s="31">
        <v>45638</v>
      </c>
      <c r="AJ14" s="61">
        <v>0.41818287037037039</v>
      </c>
      <c r="AK14" t="s">
        <v>898</v>
      </c>
      <c r="AL14" t="s">
        <v>899</v>
      </c>
      <c r="AR14" s="31"/>
      <c r="AX14">
        <v>1</v>
      </c>
    </row>
    <row r="15" spans="1:50" x14ac:dyDescent="0.3">
      <c r="A15" t="s">
        <v>44</v>
      </c>
      <c r="B15">
        <v>100</v>
      </c>
      <c r="C15">
        <v>156</v>
      </c>
      <c r="D15">
        <v>816</v>
      </c>
      <c r="G15" t="s">
        <v>900</v>
      </c>
      <c r="H15">
        <v>3921447000272</v>
      </c>
      <c r="I15" t="s">
        <v>627</v>
      </c>
      <c r="J15" t="s">
        <v>883</v>
      </c>
      <c r="K15" t="s">
        <v>884</v>
      </c>
      <c r="M15" t="s">
        <v>885</v>
      </c>
      <c r="P15" t="s">
        <v>778</v>
      </c>
      <c r="Q15" t="s">
        <v>886</v>
      </c>
      <c r="R15" t="s">
        <v>790</v>
      </c>
      <c r="V15" t="s">
        <v>901</v>
      </c>
      <c r="W15" t="s">
        <v>780</v>
      </c>
      <c r="X15" t="s">
        <v>816</v>
      </c>
      <c r="Z15" s="31"/>
      <c r="AA15">
        <v>1600</v>
      </c>
      <c r="AB15">
        <v>256119</v>
      </c>
      <c r="AC15">
        <v>110</v>
      </c>
      <c r="AD15" t="s">
        <v>22</v>
      </c>
      <c r="AE15" s="31">
        <v>45627</v>
      </c>
      <c r="AF15" s="61">
        <v>0.8545949074074074</v>
      </c>
      <c r="AH15" t="s">
        <v>795</v>
      </c>
      <c r="AI15" s="31">
        <v>45737</v>
      </c>
      <c r="AJ15" s="61">
        <v>0.43179398148148151</v>
      </c>
      <c r="AK15" t="s">
        <v>796</v>
      </c>
      <c r="AL15" t="s">
        <v>902</v>
      </c>
      <c r="AN15" t="s">
        <v>888</v>
      </c>
      <c r="AP15" t="s">
        <v>903</v>
      </c>
      <c r="AQ15" t="s">
        <v>890</v>
      </c>
      <c r="AR15" s="31"/>
      <c r="AX15">
        <v>1</v>
      </c>
    </row>
    <row r="16" spans="1:50" x14ac:dyDescent="0.3">
      <c r="A16" t="s">
        <v>44</v>
      </c>
      <c r="B16">
        <v>101</v>
      </c>
      <c r="C16">
        <v>158</v>
      </c>
      <c r="D16">
        <v>821</v>
      </c>
      <c r="G16" t="s">
        <v>904</v>
      </c>
      <c r="H16">
        <v>4207648000194</v>
      </c>
      <c r="I16" t="s">
        <v>905</v>
      </c>
      <c r="J16" t="s">
        <v>906</v>
      </c>
      <c r="K16" t="s">
        <v>907</v>
      </c>
      <c r="M16" t="s">
        <v>908</v>
      </c>
      <c r="P16" t="s">
        <v>778</v>
      </c>
      <c r="Q16" t="s">
        <v>909</v>
      </c>
      <c r="R16" t="s">
        <v>790</v>
      </c>
      <c r="V16" t="s">
        <v>838</v>
      </c>
      <c r="W16" t="s">
        <v>780</v>
      </c>
      <c r="X16" t="s">
        <v>807</v>
      </c>
      <c r="Z16" s="31">
        <v>45688</v>
      </c>
      <c r="AA16">
        <v>3928</v>
      </c>
      <c r="AC16">
        <v>51</v>
      </c>
      <c r="AD16" t="s">
        <v>22</v>
      </c>
      <c r="AE16" s="31">
        <v>45627</v>
      </c>
      <c r="AF16" s="61">
        <v>0.8545949074074074</v>
      </c>
      <c r="AH16" t="s">
        <v>795</v>
      </c>
      <c r="AI16" s="31">
        <v>45678</v>
      </c>
      <c r="AJ16" s="61">
        <v>0.49775462962962957</v>
      </c>
      <c r="AK16" t="s">
        <v>796</v>
      </c>
      <c r="AL16" t="s">
        <v>797</v>
      </c>
      <c r="AM16" t="s">
        <v>910</v>
      </c>
      <c r="AN16" t="s">
        <v>911</v>
      </c>
      <c r="AO16" t="s">
        <v>594</v>
      </c>
      <c r="AP16" t="s">
        <v>911</v>
      </c>
      <c r="AR16" s="31"/>
      <c r="AX16">
        <v>1</v>
      </c>
    </row>
    <row r="17" spans="1:50" x14ac:dyDescent="0.3">
      <c r="A17" t="s">
        <v>44</v>
      </c>
      <c r="B17">
        <v>102</v>
      </c>
      <c r="C17">
        <v>159</v>
      </c>
      <c r="D17">
        <v>823</v>
      </c>
      <c r="G17" t="s">
        <v>912</v>
      </c>
      <c r="H17">
        <v>43526090000161</v>
      </c>
      <c r="I17" t="s">
        <v>913</v>
      </c>
      <c r="J17" t="s">
        <v>914</v>
      </c>
      <c r="K17" t="s">
        <v>915</v>
      </c>
      <c r="M17" t="s">
        <v>916</v>
      </c>
      <c r="P17" t="s">
        <v>778</v>
      </c>
      <c r="Q17" t="s">
        <v>909</v>
      </c>
      <c r="R17" t="s">
        <v>790</v>
      </c>
      <c r="V17" t="s">
        <v>896</v>
      </c>
      <c r="W17" t="s">
        <v>780</v>
      </c>
      <c r="X17" t="s">
        <v>816</v>
      </c>
      <c r="Z17" s="31">
        <v>45632</v>
      </c>
      <c r="AA17">
        <v>49012</v>
      </c>
      <c r="AC17">
        <v>18</v>
      </c>
      <c r="AD17" t="s">
        <v>22</v>
      </c>
      <c r="AE17" s="31">
        <v>45627</v>
      </c>
      <c r="AF17" s="61">
        <v>0.8545949074074074</v>
      </c>
      <c r="AH17" t="s">
        <v>818</v>
      </c>
      <c r="AI17" s="31">
        <v>45645</v>
      </c>
      <c r="AJ17" s="61">
        <v>0.61006944444444444</v>
      </c>
      <c r="AN17" t="s">
        <v>917</v>
      </c>
      <c r="AP17" t="s">
        <v>918</v>
      </c>
      <c r="AR17" s="31"/>
      <c r="AX17">
        <v>1</v>
      </c>
    </row>
    <row r="18" spans="1:50" x14ac:dyDescent="0.3">
      <c r="A18" t="s">
        <v>44</v>
      </c>
      <c r="B18">
        <v>103</v>
      </c>
      <c r="C18">
        <v>160</v>
      </c>
      <c r="D18">
        <v>825</v>
      </c>
      <c r="G18" t="s">
        <v>919</v>
      </c>
      <c r="H18">
        <v>4949701000122</v>
      </c>
      <c r="I18" t="s">
        <v>595</v>
      </c>
      <c r="J18" t="s">
        <v>920</v>
      </c>
      <c r="K18" t="s">
        <v>921</v>
      </c>
      <c r="M18" t="s">
        <v>922</v>
      </c>
      <c r="P18" t="s">
        <v>778</v>
      </c>
      <c r="Q18" t="s">
        <v>923</v>
      </c>
      <c r="R18" t="s">
        <v>790</v>
      </c>
      <c r="V18" t="s">
        <v>875</v>
      </c>
      <c r="W18" t="s">
        <v>780</v>
      </c>
      <c r="X18" t="s">
        <v>816</v>
      </c>
      <c r="Y18" t="s">
        <v>817</v>
      </c>
      <c r="Z18" s="31">
        <v>45688</v>
      </c>
      <c r="AA18">
        <v>46854</v>
      </c>
      <c r="AB18">
        <v>348312</v>
      </c>
      <c r="AC18">
        <v>54</v>
      </c>
      <c r="AD18" t="s">
        <v>22</v>
      </c>
      <c r="AE18" s="31">
        <v>45627</v>
      </c>
      <c r="AF18" s="61">
        <v>0.8545949074074074</v>
      </c>
      <c r="AH18" t="s">
        <v>818</v>
      </c>
      <c r="AI18" s="31">
        <v>45681</v>
      </c>
      <c r="AJ18" s="61">
        <v>0.50578703703703709</v>
      </c>
      <c r="AN18" t="s">
        <v>924</v>
      </c>
      <c r="AP18" t="s">
        <v>924</v>
      </c>
      <c r="AQ18" t="s">
        <v>925</v>
      </c>
      <c r="AR18" s="31"/>
      <c r="AX18">
        <v>1</v>
      </c>
    </row>
    <row r="19" spans="1:50" x14ac:dyDescent="0.3">
      <c r="A19" t="s">
        <v>44</v>
      </c>
      <c r="B19">
        <v>104</v>
      </c>
      <c r="C19">
        <v>161</v>
      </c>
      <c r="D19">
        <v>843</v>
      </c>
      <c r="G19" t="s">
        <v>926</v>
      </c>
      <c r="H19">
        <v>2609426000172</v>
      </c>
      <c r="I19" t="s">
        <v>927</v>
      </c>
      <c r="J19" t="s">
        <v>928</v>
      </c>
      <c r="K19" t="s">
        <v>929</v>
      </c>
      <c r="M19" t="s">
        <v>930</v>
      </c>
      <c r="P19" t="s">
        <v>778</v>
      </c>
      <c r="Q19" t="s">
        <v>931</v>
      </c>
      <c r="R19" t="s">
        <v>932</v>
      </c>
      <c r="S19" t="s">
        <v>933</v>
      </c>
      <c r="V19" t="s">
        <v>896</v>
      </c>
      <c r="W19" t="s">
        <v>780</v>
      </c>
      <c r="X19" t="s">
        <v>807</v>
      </c>
      <c r="Z19" s="31"/>
      <c r="AC19">
        <v>120</v>
      </c>
      <c r="AD19" t="s">
        <v>22</v>
      </c>
      <c r="AE19" s="31">
        <v>45627</v>
      </c>
      <c r="AF19" s="61">
        <v>0.8545949074074074</v>
      </c>
      <c r="AH19" t="s">
        <v>795</v>
      </c>
      <c r="AI19" s="31">
        <v>45747</v>
      </c>
      <c r="AJ19" s="61">
        <v>0.6567708333333333</v>
      </c>
      <c r="AK19" t="s">
        <v>934</v>
      </c>
      <c r="AL19" t="s">
        <v>935</v>
      </c>
      <c r="AN19" t="s">
        <v>936</v>
      </c>
      <c r="AP19" t="s">
        <v>937</v>
      </c>
      <c r="AR19" s="31"/>
      <c r="AX19">
        <v>1</v>
      </c>
    </row>
    <row r="20" spans="1:50" x14ac:dyDescent="0.3">
      <c r="A20" t="s">
        <v>44</v>
      </c>
      <c r="B20">
        <v>105</v>
      </c>
      <c r="C20">
        <v>162</v>
      </c>
      <c r="D20">
        <v>829</v>
      </c>
      <c r="G20" t="s">
        <v>938</v>
      </c>
      <c r="H20">
        <v>17545517000169</v>
      </c>
      <c r="I20" t="s">
        <v>939</v>
      </c>
      <c r="J20" t="s">
        <v>940</v>
      </c>
      <c r="K20" t="s">
        <v>941</v>
      </c>
      <c r="M20" t="s">
        <v>942</v>
      </c>
      <c r="P20" t="s">
        <v>778</v>
      </c>
      <c r="Q20" t="s">
        <v>943</v>
      </c>
      <c r="R20" t="s">
        <v>790</v>
      </c>
      <c r="V20" t="s">
        <v>944</v>
      </c>
      <c r="W20" t="s">
        <v>780</v>
      </c>
      <c r="X20" t="s">
        <v>807</v>
      </c>
      <c r="Z20" s="31"/>
      <c r="AC20">
        <v>58</v>
      </c>
      <c r="AD20" t="s">
        <v>22</v>
      </c>
      <c r="AE20" s="31">
        <v>45627</v>
      </c>
      <c r="AF20" s="61">
        <v>0.8545949074074074</v>
      </c>
      <c r="AH20" t="s">
        <v>795</v>
      </c>
      <c r="AI20" s="31">
        <v>45685</v>
      </c>
      <c r="AJ20" s="61">
        <v>0.6466898148148148</v>
      </c>
      <c r="AK20" t="s">
        <v>796</v>
      </c>
      <c r="AL20" t="s">
        <v>797</v>
      </c>
      <c r="AM20" t="s">
        <v>945</v>
      </c>
      <c r="AN20" t="s">
        <v>946</v>
      </c>
      <c r="AO20" t="s">
        <v>594</v>
      </c>
      <c r="AP20" t="s">
        <v>947</v>
      </c>
      <c r="AR20" s="31"/>
      <c r="AX20">
        <v>1</v>
      </c>
    </row>
    <row r="21" spans="1:50" x14ac:dyDescent="0.3">
      <c r="A21" t="s">
        <v>44</v>
      </c>
      <c r="B21">
        <v>106</v>
      </c>
      <c r="C21">
        <v>162</v>
      </c>
      <c r="D21">
        <v>829</v>
      </c>
      <c r="G21" t="s">
        <v>948</v>
      </c>
      <c r="H21">
        <v>17545517000169</v>
      </c>
      <c r="I21" t="s">
        <v>939</v>
      </c>
      <c r="J21" t="s">
        <v>940</v>
      </c>
      <c r="K21" t="s">
        <v>941</v>
      </c>
      <c r="M21" t="s">
        <v>942</v>
      </c>
      <c r="P21" t="s">
        <v>778</v>
      </c>
      <c r="Q21" t="s">
        <v>943</v>
      </c>
      <c r="R21" t="s">
        <v>790</v>
      </c>
      <c r="V21" t="s">
        <v>949</v>
      </c>
      <c r="W21" t="s">
        <v>780</v>
      </c>
      <c r="X21" t="s">
        <v>807</v>
      </c>
      <c r="Z21" s="31"/>
      <c r="AC21">
        <v>58</v>
      </c>
      <c r="AD21" t="s">
        <v>22</v>
      </c>
      <c r="AE21" s="31">
        <v>45627</v>
      </c>
      <c r="AF21" s="61">
        <v>0.8545949074074074</v>
      </c>
      <c r="AH21" t="s">
        <v>795</v>
      </c>
      <c r="AI21" s="31">
        <v>45685</v>
      </c>
      <c r="AJ21" s="61">
        <v>0.64710648148148153</v>
      </c>
      <c r="AK21" t="s">
        <v>796</v>
      </c>
      <c r="AL21" t="s">
        <v>797</v>
      </c>
      <c r="AM21" t="s">
        <v>945</v>
      </c>
      <c r="AN21" t="s">
        <v>946</v>
      </c>
      <c r="AO21" t="s">
        <v>594</v>
      </c>
      <c r="AP21" t="s">
        <v>947</v>
      </c>
      <c r="AR21" s="31"/>
      <c r="AX21">
        <v>1</v>
      </c>
    </row>
    <row r="22" spans="1:50" x14ac:dyDescent="0.3">
      <c r="A22" t="s">
        <v>44</v>
      </c>
      <c r="B22">
        <v>107</v>
      </c>
      <c r="C22">
        <v>163</v>
      </c>
      <c r="D22">
        <v>832</v>
      </c>
      <c r="G22" t="s">
        <v>950</v>
      </c>
      <c r="H22">
        <v>5861238000125</v>
      </c>
      <c r="I22" t="s">
        <v>951</v>
      </c>
      <c r="J22" t="s">
        <v>952</v>
      </c>
      <c r="K22" t="s">
        <v>953</v>
      </c>
      <c r="M22" t="s">
        <v>954</v>
      </c>
      <c r="P22" t="s">
        <v>778</v>
      </c>
      <c r="Q22" t="s">
        <v>955</v>
      </c>
      <c r="R22" t="s">
        <v>956</v>
      </c>
      <c r="V22" t="s">
        <v>591</v>
      </c>
      <c r="W22" t="s">
        <v>780</v>
      </c>
      <c r="X22" t="s">
        <v>807</v>
      </c>
      <c r="Z22" s="31"/>
      <c r="AC22">
        <v>58</v>
      </c>
      <c r="AD22" t="s">
        <v>22</v>
      </c>
      <c r="AE22" s="31">
        <v>45627</v>
      </c>
      <c r="AF22" s="61">
        <v>0.8545949074074074</v>
      </c>
      <c r="AH22" t="s">
        <v>795</v>
      </c>
      <c r="AI22" s="31">
        <v>45685</v>
      </c>
      <c r="AJ22" s="61">
        <v>0.64769675925925929</v>
      </c>
      <c r="AK22" t="s">
        <v>934</v>
      </c>
      <c r="AN22" t="s">
        <v>957</v>
      </c>
      <c r="AP22" t="s">
        <v>957</v>
      </c>
      <c r="AR22" s="31"/>
      <c r="AX22">
        <v>1</v>
      </c>
    </row>
    <row r="23" spans="1:50" x14ac:dyDescent="0.3">
      <c r="A23" t="s">
        <v>44</v>
      </c>
      <c r="B23">
        <v>108</v>
      </c>
      <c r="C23">
        <v>160</v>
      </c>
      <c r="D23">
        <v>825</v>
      </c>
      <c r="G23" t="s">
        <v>958</v>
      </c>
      <c r="H23">
        <v>4949701000122</v>
      </c>
      <c r="I23" t="s">
        <v>595</v>
      </c>
      <c r="J23" t="s">
        <v>920</v>
      </c>
      <c r="K23" t="s">
        <v>921</v>
      </c>
      <c r="M23" t="s">
        <v>922</v>
      </c>
      <c r="P23" t="s">
        <v>778</v>
      </c>
      <c r="Q23" t="s">
        <v>923</v>
      </c>
      <c r="R23" t="s">
        <v>790</v>
      </c>
      <c r="V23" t="s">
        <v>880</v>
      </c>
      <c r="W23" t="s">
        <v>780</v>
      </c>
      <c r="X23" t="s">
        <v>816</v>
      </c>
      <c r="Y23" t="s">
        <v>959</v>
      </c>
      <c r="Z23" s="31">
        <v>45688</v>
      </c>
      <c r="AA23">
        <v>1600</v>
      </c>
      <c r="AB23">
        <v>224819</v>
      </c>
      <c r="AC23">
        <v>60</v>
      </c>
      <c r="AD23" t="s">
        <v>22</v>
      </c>
      <c r="AE23" s="31">
        <v>45627</v>
      </c>
      <c r="AF23" s="61">
        <v>0.8545949074074074</v>
      </c>
      <c r="AH23" t="s">
        <v>818</v>
      </c>
      <c r="AI23" s="31">
        <v>45687</v>
      </c>
      <c r="AJ23" s="61">
        <v>0.39712962962962961</v>
      </c>
      <c r="AN23" t="s">
        <v>960</v>
      </c>
      <c r="AP23" t="s">
        <v>961</v>
      </c>
      <c r="AQ23" t="s">
        <v>925</v>
      </c>
      <c r="AR23" s="31"/>
      <c r="AX23">
        <v>1</v>
      </c>
    </row>
    <row r="24" spans="1:50" x14ac:dyDescent="0.3">
      <c r="A24" t="s">
        <v>44</v>
      </c>
      <c r="B24">
        <v>109</v>
      </c>
      <c r="C24">
        <v>164</v>
      </c>
      <c r="D24">
        <v>835</v>
      </c>
      <c r="G24" t="s">
        <v>962</v>
      </c>
      <c r="H24">
        <v>2531826000102</v>
      </c>
      <c r="I24" t="s">
        <v>963</v>
      </c>
      <c r="J24" t="s">
        <v>964</v>
      </c>
      <c r="K24" t="s">
        <v>965</v>
      </c>
      <c r="M24" t="s">
        <v>966</v>
      </c>
      <c r="P24" t="s">
        <v>778</v>
      </c>
      <c r="Q24" t="s">
        <v>873</v>
      </c>
      <c r="R24" t="s">
        <v>874</v>
      </c>
      <c r="V24" t="s">
        <v>896</v>
      </c>
      <c r="W24" t="s">
        <v>780</v>
      </c>
      <c r="X24" t="s">
        <v>857</v>
      </c>
      <c r="Z24" s="31"/>
      <c r="AC24">
        <v>18</v>
      </c>
      <c r="AD24" t="s">
        <v>22</v>
      </c>
      <c r="AE24" s="31">
        <v>45627</v>
      </c>
      <c r="AF24" s="61">
        <v>0.8545949074074074</v>
      </c>
      <c r="AH24" t="s">
        <v>795</v>
      </c>
      <c r="AI24" s="31">
        <v>45645</v>
      </c>
      <c r="AJ24" s="61">
        <v>0.63103009259259257</v>
      </c>
      <c r="AK24" t="s">
        <v>898</v>
      </c>
      <c r="AL24" t="s">
        <v>967</v>
      </c>
      <c r="AN24" t="s">
        <v>799</v>
      </c>
      <c r="AP24" t="s">
        <v>798</v>
      </c>
      <c r="AR24" s="31"/>
      <c r="AX24">
        <v>1</v>
      </c>
    </row>
    <row r="25" spans="1:50" x14ac:dyDescent="0.3">
      <c r="A25" t="s">
        <v>44</v>
      </c>
      <c r="B25">
        <v>110</v>
      </c>
      <c r="C25">
        <v>165</v>
      </c>
      <c r="D25">
        <v>836</v>
      </c>
      <c r="G25" t="s">
        <v>968</v>
      </c>
      <c r="H25">
        <v>29341068000116</v>
      </c>
      <c r="I25" t="s">
        <v>969</v>
      </c>
      <c r="J25" t="s">
        <v>969</v>
      </c>
      <c r="K25" t="s">
        <v>970</v>
      </c>
      <c r="M25" t="s">
        <v>971</v>
      </c>
      <c r="P25" t="s">
        <v>778</v>
      </c>
      <c r="Q25" t="s">
        <v>972</v>
      </c>
      <c r="R25" t="s">
        <v>973</v>
      </c>
      <c r="V25" t="s">
        <v>896</v>
      </c>
      <c r="W25" t="s">
        <v>780</v>
      </c>
      <c r="X25" t="s">
        <v>793</v>
      </c>
      <c r="Z25" s="31"/>
      <c r="AC25">
        <v>57</v>
      </c>
      <c r="AD25" t="s">
        <v>22</v>
      </c>
      <c r="AE25" s="31">
        <v>45627</v>
      </c>
      <c r="AF25" s="61">
        <v>0.8545949074074074</v>
      </c>
      <c r="AH25" t="s">
        <v>795</v>
      </c>
      <c r="AI25" s="31">
        <v>45684</v>
      </c>
      <c r="AJ25" s="61">
        <v>0.4944560185185185</v>
      </c>
      <c r="AK25" t="s">
        <v>974</v>
      </c>
      <c r="AL25" t="s">
        <v>975</v>
      </c>
      <c r="AN25" t="s">
        <v>799</v>
      </c>
      <c r="AP25" t="s">
        <v>798</v>
      </c>
      <c r="AR25" s="31"/>
      <c r="AX25">
        <v>1</v>
      </c>
    </row>
    <row r="26" spans="1:50" x14ac:dyDescent="0.3">
      <c r="A26" t="s">
        <v>44</v>
      </c>
      <c r="B26">
        <v>111</v>
      </c>
      <c r="C26">
        <v>165</v>
      </c>
      <c r="D26">
        <v>837</v>
      </c>
      <c r="G26" t="s">
        <v>976</v>
      </c>
      <c r="H26">
        <v>29341068000116</v>
      </c>
      <c r="I26" t="s">
        <v>969</v>
      </c>
      <c r="J26" t="s">
        <v>977</v>
      </c>
      <c r="K26" t="s">
        <v>970</v>
      </c>
      <c r="M26" t="s">
        <v>971</v>
      </c>
      <c r="P26" t="s">
        <v>778</v>
      </c>
      <c r="Q26" t="s">
        <v>972</v>
      </c>
      <c r="R26" t="s">
        <v>973</v>
      </c>
      <c r="V26" t="s">
        <v>901</v>
      </c>
      <c r="W26" t="s">
        <v>780</v>
      </c>
      <c r="X26" t="s">
        <v>793</v>
      </c>
      <c r="Z26" s="31"/>
      <c r="AC26">
        <v>57</v>
      </c>
      <c r="AD26" t="s">
        <v>22</v>
      </c>
      <c r="AE26" s="31">
        <v>45627</v>
      </c>
      <c r="AF26" s="61">
        <v>0.8545949074074074</v>
      </c>
      <c r="AH26" t="s">
        <v>795</v>
      </c>
      <c r="AI26" s="31">
        <v>45684</v>
      </c>
      <c r="AJ26" s="61">
        <v>0.49512731481481481</v>
      </c>
      <c r="AK26" t="s">
        <v>974</v>
      </c>
      <c r="AL26" t="s">
        <v>975</v>
      </c>
      <c r="AN26" t="s">
        <v>799</v>
      </c>
      <c r="AP26" t="s">
        <v>798</v>
      </c>
      <c r="AR26" s="31"/>
      <c r="AX26">
        <v>1</v>
      </c>
    </row>
    <row r="27" spans="1:50" x14ac:dyDescent="0.3">
      <c r="A27" t="s">
        <v>44</v>
      </c>
      <c r="B27">
        <v>113</v>
      </c>
      <c r="C27">
        <v>167</v>
      </c>
      <c r="D27">
        <v>842</v>
      </c>
      <c r="G27" t="s">
        <v>978</v>
      </c>
      <c r="H27">
        <v>7973104000121</v>
      </c>
      <c r="I27" t="s">
        <v>979</v>
      </c>
      <c r="J27" t="s">
        <v>980</v>
      </c>
      <c r="K27" t="s">
        <v>981</v>
      </c>
      <c r="M27" t="s">
        <v>982</v>
      </c>
      <c r="P27" t="s">
        <v>778</v>
      </c>
      <c r="Q27" t="s">
        <v>983</v>
      </c>
      <c r="R27" t="s">
        <v>932</v>
      </c>
      <c r="V27" t="s">
        <v>984</v>
      </c>
      <c r="W27" t="s">
        <v>780</v>
      </c>
      <c r="X27" t="s">
        <v>807</v>
      </c>
      <c r="Z27" s="31"/>
      <c r="AC27">
        <v>81</v>
      </c>
      <c r="AD27" t="s">
        <v>22</v>
      </c>
      <c r="AE27" s="31">
        <v>45627</v>
      </c>
      <c r="AF27" s="61">
        <v>0.85460648148148144</v>
      </c>
      <c r="AH27" t="s">
        <v>795</v>
      </c>
      <c r="AI27" s="31">
        <v>45708</v>
      </c>
      <c r="AJ27" s="61">
        <v>0.47692129629629632</v>
      </c>
      <c r="AK27" t="s">
        <v>796</v>
      </c>
      <c r="AL27" t="s">
        <v>985</v>
      </c>
      <c r="AN27" t="s">
        <v>986</v>
      </c>
      <c r="AR27" s="31"/>
      <c r="AX27">
        <v>1</v>
      </c>
    </row>
    <row r="28" spans="1:50" x14ac:dyDescent="0.3">
      <c r="A28" t="s">
        <v>44</v>
      </c>
      <c r="B28">
        <v>114</v>
      </c>
      <c r="C28">
        <v>161</v>
      </c>
      <c r="D28">
        <v>827</v>
      </c>
      <c r="G28" t="s">
        <v>987</v>
      </c>
      <c r="H28">
        <v>2609426000172</v>
      </c>
      <c r="I28" t="s">
        <v>927</v>
      </c>
      <c r="J28" t="s">
        <v>928</v>
      </c>
      <c r="K28" t="s">
        <v>929</v>
      </c>
      <c r="M28" t="s">
        <v>930</v>
      </c>
      <c r="P28" t="s">
        <v>778</v>
      </c>
      <c r="Q28" t="s">
        <v>931</v>
      </c>
      <c r="R28" t="s">
        <v>932</v>
      </c>
      <c r="S28" t="s">
        <v>933</v>
      </c>
      <c r="V28" t="s">
        <v>901</v>
      </c>
      <c r="W28" t="s">
        <v>780</v>
      </c>
      <c r="X28" t="s">
        <v>807</v>
      </c>
      <c r="Z28" s="31"/>
      <c r="AC28">
        <v>120</v>
      </c>
      <c r="AD28" t="s">
        <v>22</v>
      </c>
      <c r="AE28" s="31">
        <v>45627</v>
      </c>
      <c r="AF28" s="61">
        <v>0.85460648148148144</v>
      </c>
      <c r="AH28" t="s">
        <v>795</v>
      </c>
      <c r="AI28" s="31">
        <v>45747</v>
      </c>
      <c r="AJ28" s="61">
        <v>0.65732638888888884</v>
      </c>
      <c r="AK28" t="s">
        <v>934</v>
      </c>
      <c r="AL28" t="s">
        <v>988</v>
      </c>
      <c r="AN28" t="s">
        <v>936</v>
      </c>
      <c r="AP28" t="s">
        <v>937</v>
      </c>
      <c r="AR28" s="31"/>
      <c r="AX28">
        <v>1</v>
      </c>
    </row>
    <row r="29" spans="1:50" x14ac:dyDescent="0.3">
      <c r="A29" t="s">
        <v>44</v>
      </c>
      <c r="B29">
        <v>116</v>
      </c>
      <c r="D29">
        <v>847</v>
      </c>
      <c r="G29" t="s">
        <v>989</v>
      </c>
      <c r="H29">
        <v>58151616000143</v>
      </c>
      <c r="J29" t="s">
        <v>990</v>
      </c>
      <c r="K29" t="s">
        <v>991</v>
      </c>
      <c r="M29" t="s">
        <v>992</v>
      </c>
      <c r="P29" t="s">
        <v>778</v>
      </c>
      <c r="Q29" t="s">
        <v>993</v>
      </c>
      <c r="R29" t="s">
        <v>932</v>
      </c>
      <c r="V29" t="s">
        <v>994</v>
      </c>
      <c r="W29" t="s">
        <v>780</v>
      </c>
      <c r="X29" t="s">
        <v>816</v>
      </c>
      <c r="Y29" t="s">
        <v>995</v>
      </c>
      <c r="Z29" s="31">
        <v>45688</v>
      </c>
      <c r="AA29">
        <v>4736912</v>
      </c>
      <c r="AB29">
        <v>98326</v>
      </c>
      <c r="AC29">
        <v>53</v>
      </c>
      <c r="AD29" t="s">
        <v>44</v>
      </c>
      <c r="AE29" s="31">
        <v>45628</v>
      </c>
      <c r="AF29" s="61">
        <v>0.39987268518518521</v>
      </c>
      <c r="AH29" t="s">
        <v>818</v>
      </c>
      <c r="AI29" s="31">
        <v>45681</v>
      </c>
      <c r="AJ29" s="61">
        <v>0.47471064814814817</v>
      </c>
      <c r="AN29" t="s">
        <v>996</v>
      </c>
      <c r="AO29" t="s">
        <v>44</v>
      </c>
      <c r="AP29" t="s">
        <v>997</v>
      </c>
      <c r="AR29" s="31"/>
      <c r="AX29">
        <v>1</v>
      </c>
    </row>
    <row r="30" spans="1:50" x14ac:dyDescent="0.3">
      <c r="A30" t="s">
        <v>44</v>
      </c>
      <c r="B30">
        <v>118</v>
      </c>
      <c r="D30">
        <v>851</v>
      </c>
      <c r="G30" t="s">
        <v>998</v>
      </c>
      <c r="H30">
        <v>64582232000188</v>
      </c>
      <c r="J30" t="s">
        <v>999</v>
      </c>
      <c r="K30" t="s">
        <v>1000</v>
      </c>
      <c r="M30" t="s">
        <v>1001</v>
      </c>
      <c r="P30" t="s">
        <v>778</v>
      </c>
      <c r="W30" t="s">
        <v>780</v>
      </c>
      <c r="X30" t="s">
        <v>807</v>
      </c>
      <c r="Z30" s="31">
        <v>45688</v>
      </c>
      <c r="AA30">
        <v>202945</v>
      </c>
      <c r="AC30">
        <v>64</v>
      </c>
      <c r="AD30" t="s">
        <v>44</v>
      </c>
      <c r="AE30" s="31">
        <v>45630</v>
      </c>
      <c r="AF30" s="61">
        <v>0.49253472222222222</v>
      </c>
      <c r="AH30" t="s">
        <v>795</v>
      </c>
      <c r="AI30" s="31">
        <v>45694</v>
      </c>
      <c r="AJ30" s="61">
        <v>0.66188657407407403</v>
      </c>
      <c r="AK30" t="s">
        <v>858</v>
      </c>
      <c r="AL30" t="s">
        <v>1002</v>
      </c>
      <c r="AM30" t="s">
        <v>830</v>
      </c>
      <c r="AN30" t="s">
        <v>1003</v>
      </c>
      <c r="AO30" t="s">
        <v>44</v>
      </c>
      <c r="AP30" t="s">
        <v>996</v>
      </c>
      <c r="AR30" s="31"/>
      <c r="AX30">
        <v>1</v>
      </c>
    </row>
    <row r="31" spans="1:50" x14ac:dyDescent="0.3">
      <c r="A31" t="s">
        <v>44</v>
      </c>
      <c r="B31">
        <v>122</v>
      </c>
      <c r="D31">
        <v>855</v>
      </c>
      <c r="E31" t="s">
        <v>1004</v>
      </c>
      <c r="G31" t="s">
        <v>1005</v>
      </c>
      <c r="H31">
        <v>8520654000158</v>
      </c>
      <c r="J31" t="s">
        <v>1006</v>
      </c>
      <c r="K31" t="s">
        <v>1007</v>
      </c>
      <c r="M31" t="s">
        <v>1008</v>
      </c>
      <c r="P31" t="s">
        <v>778</v>
      </c>
      <c r="S31" t="s">
        <v>791</v>
      </c>
      <c r="V31" t="s">
        <v>1009</v>
      </c>
      <c r="W31" t="s">
        <v>780</v>
      </c>
      <c r="X31" t="s">
        <v>816</v>
      </c>
      <c r="Y31" t="s">
        <v>817</v>
      </c>
      <c r="Z31" s="31">
        <v>46112</v>
      </c>
      <c r="AA31">
        <v>33920</v>
      </c>
      <c r="AB31">
        <v>37684</v>
      </c>
      <c r="AC31">
        <v>442</v>
      </c>
      <c r="AD31" t="s">
        <v>594</v>
      </c>
      <c r="AE31" s="31">
        <v>45630</v>
      </c>
      <c r="AF31" s="61">
        <v>0.61173611111111115</v>
      </c>
      <c r="AH31" t="s">
        <v>782</v>
      </c>
      <c r="AI31" s="31"/>
      <c r="AJ31" s="61"/>
      <c r="AM31" t="s">
        <v>997</v>
      </c>
      <c r="AN31" t="s">
        <v>1010</v>
      </c>
      <c r="AO31" t="s">
        <v>44</v>
      </c>
      <c r="AP31" t="s">
        <v>1011</v>
      </c>
      <c r="AQ31" t="s">
        <v>1010</v>
      </c>
      <c r="AR31" s="31">
        <v>46049</v>
      </c>
      <c r="AS31" t="s">
        <v>1012</v>
      </c>
      <c r="AX31">
        <v>1</v>
      </c>
    </row>
    <row r="32" spans="1:50" x14ac:dyDescent="0.3">
      <c r="A32" t="s">
        <v>44</v>
      </c>
      <c r="B32">
        <v>125</v>
      </c>
      <c r="D32">
        <v>860</v>
      </c>
      <c r="G32" t="s">
        <v>1013</v>
      </c>
      <c r="J32" t="s">
        <v>1014</v>
      </c>
      <c r="K32" t="s">
        <v>991</v>
      </c>
      <c r="M32" t="s">
        <v>992</v>
      </c>
      <c r="P32" t="s">
        <v>778</v>
      </c>
      <c r="V32" t="s">
        <v>994</v>
      </c>
      <c r="W32" t="s">
        <v>780</v>
      </c>
      <c r="X32" t="s">
        <v>816</v>
      </c>
      <c r="Z32" s="31">
        <v>45688</v>
      </c>
      <c r="AA32">
        <v>1600</v>
      </c>
      <c r="AB32">
        <v>157626</v>
      </c>
      <c r="AC32">
        <v>49</v>
      </c>
      <c r="AD32" t="s">
        <v>44</v>
      </c>
      <c r="AE32" s="31">
        <v>45632</v>
      </c>
      <c r="AF32" s="61">
        <v>0.68636574074074075</v>
      </c>
      <c r="AH32" t="s">
        <v>818</v>
      </c>
      <c r="AI32" s="31">
        <v>45681</v>
      </c>
      <c r="AJ32" s="61">
        <v>0.48759259259259258</v>
      </c>
      <c r="AN32" t="s">
        <v>996</v>
      </c>
      <c r="AP32" t="s">
        <v>829</v>
      </c>
      <c r="AR32" s="31"/>
      <c r="AX32">
        <v>1</v>
      </c>
    </row>
    <row r="33" spans="1:50" x14ac:dyDescent="0.3">
      <c r="A33" t="s">
        <v>44</v>
      </c>
      <c r="B33">
        <v>127</v>
      </c>
      <c r="D33">
        <v>981</v>
      </c>
      <c r="G33" t="s">
        <v>1015</v>
      </c>
      <c r="H33">
        <v>48885921000105</v>
      </c>
      <c r="J33" t="s">
        <v>1016</v>
      </c>
      <c r="K33" t="s">
        <v>1017</v>
      </c>
      <c r="M33" t="s">
        <v>1018</v>
      </c>
      <c r="P33" t="s">
        <v>778</v>
      </c>
      <c r="S33" t="s">
        <v>791</v>
      </c>
      <c r="W33" t="s">
        <v>780</v>
      </c>
      <c r="X33" t="s">
        <v>816</v>
      </c>
      <c r="Z33" s="31">
        <v>45657</v>
      </c>
      <c r="AA33">
        <v>450</v>
      </c>
      <c r="AC33">
        <v>2</v>
      </c>
      <c r="AD33" t="s">
        <v>44</v>
      </c>
      <c r="AE33" s="31">
        <v>45636</v>
      </c>
      <c r="AF33" s="61">
        <v>0.44290509259259259</v>
      </c>
      <c r="AH33" t="s">
        <v>818</v>
      </c>
      <c r="AI33" s="31">
        <v>45638</v>
      </c>
      <c r="AJ33" s="61">
        <v>0.67709490740740741</v>
      </c>
      <c r="AM33" t="s">
        <v>1019</v>
      </c>
      <c r="AN33" t="s">
        <v>1020</v>
      </c>
      <c r="AO33" t="s">
        <v>44</v>
      </c>
      <c r="AP33" t="s">
        <v>996</v>
      </c>
      <c r="AQ33" t="s">
        <v>1021</v>
      </c>
      <c r="AR33" s="31"/>
      <c r="AX33">
        <v>1</v>
      </c>
    </row>
    <row r="34" spans="1:50" x14ac:dyDescent="0.3">
      <c r="A34" t="s">
        <v>44</v>
      </c>
      <c r="B34">
        <v>130</v>
      </c>
      <c r="D34">
        <v>987</v>
      </c>
      <c r="G34" t="s">
        <v>1022</v>
      </c>
      <c r="H34">
        <v>5691820000190</v>
      </c>
      <c r="J34" t="s">
        <v>1023</v>
      </c>
      <c r="K34" t="s">
        <v>1024</v>
      </c>
      <c r="M34" t="s">
        <v>1025</v>
      </c>
      <c r="P34" t="s">
        <v>778</v>
      </c>
      <c r="Q34" t="s">
        <v>1026</v>
      </c>
      <c r="R34" t="s">
        <v>1027</v>
      </c>
      <c r="V34" t="s">
        <v>994</v>
      </c>
      <c r="W34" t="s">
        <v>780</v>
      </c>
      <c r="X34" t="s">
        <v>816</v>
      </c>
      <c r="Z34" s="31">
        <v>45688</v>
      </c>
      <c r="AA34">
        <v>0</v>
      </c>
      <c r="AB34">
        <v>3564</v>
      </c>
      <c r="AC34">
        <v>43</v>
      </c>
      <c r="AD34" t="s">
        <v>44</v>
      </c>
      <c r="AE34" s="31">
        <v>45638</v>
      </c>
      <c r="AF34" s="61">
        <v>0.38504629629629628</v>
      </c>
      <c r="AH34" t="s">
        <v>818</v>
      </c>
      <c r="AI34" s="31">
        <v>45681</v>
      </c>
      <c r="AJ34" s="61">
        <v>0.46354166666666669</v>
      </c>
      <c r="AM34" t="s">
        <v>821</v>
      </c>
      <c r="AN34" t="s">
        <v>821</v>
      </c>
      <c r="AO34" t="s">
        <v>44</v>
      </c>
      <c r="AP34" t="s">
        <v>821</v>
      </c>
      <c r="AR34" s="31"/>
      <c r="AX34">
        <v>1</v>
      </c>
    </row>
    <row r="35" spans="1:50" x14ac:dyDescent="0.3">
      <c r="A35" t="s">
        <v>44</v>
      </c>
      <c r="B35">
        <v>131</v>
      </c>
      <c r="D35">
        <v>990</v>
      </c>
      <c r="G35" t="s">
        <v>1028</v>
      </c>
      <c r="J35" t="s">
        <v>1029</v>
      </c>
      <c r="K35" t="s">
        <v>1030</v>
      </c>
      <c r="M35" t="s">
        <v>1031</v>
      </c>
      <c r="P35" t="s">
        <v>778</v>
      </c>
      <c r="W35" t="s">
        <v>780</v>
      </c>
      <c r="X35" t="s">
        <v>857</v>
      </c>
      <c r="Z35" s="31"/>
      <c r="AA35">
        <v>37964</v>
      </c>
      <c r="AC35">
        <v>7</v>
      </c>
      <c r="AD35" t="s">
        <v>44</v>
      </c>
      <c r="AE35" s="31">
        <v>45638</v>
      </c>
      <c r="AF35" s="61">
        <v>0.45196759259259262</v>
      </c>
      <c r="AH35" t="s">
        <v>795</v>
      </c>
      <c r="AI35" s="31">
        <v>45645</v>
      </c>
      <c r="AJ35" s="61">
        <v>0.40232638888888889</v>
      </c>
      <c r="AK35" t="s">
        <v>974</v>
      </c>
      <c r="AL35" t="s">
        <v>1032</v>
      </c>
      <c r="AN35" t="s">
        <v>1033</v>
      </c>
      <c r="AP35" t="s">
        <v>1021</v>
      </c>
      <c r="AQ35" t="s">
        <v>1033</v>
      </c>
      <c r="AR35" s="31"/>
      <c r="AX35">
        <v>1</v>
      </c>
    </row>
    <row r="36" spans="1:50" x14ac:dyDescent="0.3">
      <c r="A36" t="s">
        <v>44</v>
      </c>
      <c r="B36">
        <v>135</v>
      </c>
      <c r="D36">
        <v>996</v>
      </c>
      <c r="G36" t="s">
        <v>1034</v>
      </c>
      <c r="J36" t="s">
        <v>1035</v>
      </c>
      <c r="K36" t="s">
        <v>1036</v>
      </c>
      <c r="M36" t="s">
        <v>1037</v>
      </c>
      <c r="P36" t="s">
        <v>778</v>
      </c>
      <c r="V36" t="s">
        <v>994</v>
      </c>
      <c r="W36" t="s">
        <v>780</v>
      </c>
      <c r="X36" t="s">
        <v>816</v>
      </c>
      <c r="Z36" s="31"/>
      <c r="AA36">
        <v>28832</v>
      </c>
      <c r="AB36">
        <v>110248</v>
      </c>
      <c r="AC36">
        <v>83</v>
      </c>
      <c r="AD36" t="s">
        <v>44</v>
      </c>
      <c r="AE36" s="31">
        <v>45638</v>
      </c>
      <c r="AF36" s="61">
        <v>0.72285879629629635</v>
      </c>
      <c r="AH36" t="s">
        <v>795</v>
      </c>
      <c r="AI36" s="31">
        <v>45721</v>
      </c>
      <c r="AJ36" s="61">
        <v>0.46725694444444438</v>
      </c>
      <c r="AK36" t="s">
        <v>796</v>
      </c>
      <c r="AL36" t="s">
        <v>1038</v>
      </c>
      <c r="AN36" t="s">
        <v>1039</v>
      </c>
      <c r="AR36" s="31"/>
      <c r="AX36">
        <v>1</v>
      </c>
    </row>
    <row r="37" spans="1:50" x14ac:dyDescent="0.3">
      <c r="A37" t="s">
        <v>44</v>
      </c>
      <c r="B37">
        <v>138</v>
      </c>
      <c r="D37">
        <v>1103</v>
      </c>
      <c r="G37" t="s">
        <v>1040</v>
      </c>
      <c r="H37">
        <v>54734384000103</v>
      </c>
      <c r="J37" t="s">
        <v>1041</v>
      </c>
      <c r="K37" t="s">
        <v>1042</v>
      </c>
      <c r="M37" t="s">
        <v>1043</v>
      </c>
      <c r="P37" t="s">
        <v>778</v>
      </c>
      <c r="V37" t="s">
        <v>994</v>
      </c>
      <c r="W37" t="s">
        <v>780</v>
      </c>
      <c r="X37" t="s">
        <v>807</v>
      </c>
      <c r="Z37" s="31"/>
      <c r="AA37">
        <v>49588</v>
      </c>
      <c r="AC37">
        <v>23</v>
      </c>
      <c r="AD37" t="s">
        <v>44</v>
      </c>
      <c r="AE37" s="31">
        <v>45643</v>
      </c>
      <c r="AF37" s="61">
        <v>0.51571759259259264</v>
      </c>
      <c r="AH37" t="s">
        <v>795</v>
      </c>
      <c r="AI37" s="31">
        <v>45666</v>
      </c>
      <c r="AJ37" s="61">
        <v>0.6648263888888889</v>
      </c>
      <c r="AK37" t="s">
        <v>796</v>
      </c>
      <c r="AL37" t="s">
        <v>1044</v>
      </c>
      <c r="AN37" t="s">
        <v>1045</v>
      </c>
      <c r="AP37" t="s">
        <v>1033</v>
      </c>
      <c r="AR37" s="31"/>
      <c r="AX37">
        <v>1</v>
      </c>
    </row>
    <row r="38" spans="1:50" x14ac:dyDescent="0.3">
      <c r="A38" t="s">
        <v>44</v>
      </c>
      <c r="B38">
        <v>139</v>
      </c>
      <c r="D38">
        <v>1113</v>
      </c>
      <c r="G38" t="s">
        <v>1046</v>
      </c>
      <c r="J38" t="s">
        <v>1047</v>
      </c>
      <c r="K38" t="s">
        <v>1048</v>
      </c>
      <c r="M38" t="s">
        <v>1049</v>
      </c>
      <c r="P38" t="s">
        <v>778</v>
      </c>
      <c r="W38" t="s">
        <v>780</v>
      </c>
      <c r="X38" t="s">
        <v>793</v>
      </c>
      <c r="Z38" s="31">
        <v>45688</v>
      </c>
      <c r="AA38">
        <v>168592</v>
      </c>
      <c r="AB38">
        <v>6426</v>
      </c>
      <c r="AC38">
        <v>40</v>
      </c>
      <c r="AD38" t="s">
        <v>44</v>
      </c>
      <c r="AE38" s="31">
        <v>45645</v>
      </c>
      <c r="AF38" s="61">
        <v>0.40438657407407408</v>
      </c>
      <c r="AH38" t="s">
        <v>795</v>
      </c>
      <c r="AI38" s="31">
        <v>45685</v>
      </c>
      <c r="AJ38" s="61">
        <v>0.60306712962962961</v>
      </c>
      <c r="AK38" t="s">
        <v>934</v>
      </c>
      <c r="AL38" t="s">
        <v>1050</v>
      </c>
      <c r="AM38" t="s">
        <v>1003</v>
      </c>
      <c r="AN38" t="s">
        <v>1003</v>
      </c>
      <c r="AP38" t="s">
        <v>1003</v>
      </c>
      <c r="AR38" s="31"/>
      <c r="AX38">
        <v>1</v>
      </c>
    </row>
    <row r="39" spans="1:50" x14ac:dyDescent="0.3">
      <c r="A39" t="s">
        <v>44</v>
      </c>
      <c r="B39">
        <v>140</v>
      </c>
      <c r="D39">
        <v>1114</v>
      </c>
      <c r="G39" t="s">
        <v>1051</v>
      </c>
      <c r="J39" t="s">
        <v>1052</v>
      </c>
      <c r="K39" t="s">
        <v>1042</v>
      </c>
      <c r="M39" t="s">
        <v>1043</v>
      </c>
      <c r="P39" t="s">
        <v>778</v>
      </c>
      <c r="W39" t="s">
        <v>780</v>
      </c>
      <c r="X39" t="s">
        <v>816</v>
      </c>
      <c r="Y39" t="s">
        <v>995</v>
      </c>
      <c r="Z39" s="31">
        <v>45688</v>
      </c>
      <c r="AA39">
        <v>4587892</v>
      </c>
      <c r="AB39">
        <v>628168</v>
      </c>
      <c r="AC39">
        <v>36</v>
      </c>
      <c r="AD39" t="s">
        <v>44</v>
      </c>
      <c r="AE39" s="31">
        <v>45645</v>
      </c>
      <c r="AF39" s="61">
        <v>0.41775462962962961</v>
      </c>
      <c r="AH39" t="s">
        <v>818</v>
      </c>
      <c r="AI39" s="31">
        <v>45681</v>
      </c>
      <c r="AJ39" s="61">
        <v>0.51848379629629626</v>
      </c>
      <c r="AN39" t="s">
        <v>1053</v>
      </c>
      <c r="AP39" t="s">
        <v>1054</v>
      </c>
      <c r="AQ39" t="s">
        <v>1055</v>
      </c>
      <c r="AR39" s="31"/>
      <c r="AX39">
        <v>1</v>
      </c>
    </row>
    <row r="40" spans="1:50" x14ac:dyDescent="0.3">
      <c r="A40" t="s">
        <v>44</v>
      </c>
      <c r="B40">
        <v>141</v>
      </c>
      <c r="C40">
        <v>159</v>
      </c>
      <c r="D40">
        <v>1115</v>
      </c>
      <c r="G40" t="s">
        <v>1056</v>
      </c>
      <c r="H40">
        <v>43526090000161</v>
      </c>
      <c r="I40" t="s">
        <v>913</v>
      </c>
      <c r="J40" t="s">
        <v>1057</v>
      </c>
      <c r="K40" t="s">
        <v>915</v>
      </c>
      <c r="M40" t="s">
        <v>916</v>
      </c>
      <c r="P40" t="s">
        <v>778</v>
      </c>
      <c r="Q40" t="s">
        <v>909</v>
      </c>
      <c r="R40" t="s">
        <v>790</v>
      </c>
      <c r="W40" t="s">
        <v>780</v>
      </c>
      <c r="X40" t="s">
        <v>816</v>
      </c>
      <c r="Y40" t="s">
        <v>959</v>
      </c>
      <c r="Z40" s="31">
        <v>45688</v>
      </c>
      <c r="AA40">
        <v>1600</v>
      </c>
      <c r="AB40">
        <v>2500</v>
      </c>
      <c r="AC40">
        <v>42</v>
      </c>
      <c r="AD40" t="s">
        <v>44</v>
      </c>
      <c r="AE40" s="31">
        <v>45645</v>
      </c>
      <c r="AF40" s="61">
        <v>0.61128472222222219</v>
      </c>
      <c r="AH40" t="s">
        <v>818</v>
      </c>
      <c r="AI40" s="31">
        <v>45685</v>
      </c>
      <c r="AJ40" s="61">
        <v>0.68137731481481478</v>
      </c>
      <c r="AL40" t="s">
        <v>1058</v>
      </c>
      <c r="AM40" t="s">
        <v>1039</v>
      </c>
      <c r="AN40" t="s">
        <v>1059</v>
      </c>
      <c r="AR40" s="31"/>
      <c r="AX40">
        <v>1</v>
      </c>
    </row>
    <row r="41" spans="1:50" x14ac:dyDescent="0.3">
      <c r="A41" t="s">
        <v>44</v>
      </c>
      <c r="B41">
        <v>142</v>
      </c>
      <c r="D41">
        <v>1117</v>
      </c>
      <c r="G41" t="s">
        <v>1060</v>
      </c>
      <c r="J41" t="s">
        <v>1061</v>
      </c>
      <c r="K41" t="s">
        <v>1042</v>
      </c>
      <c r="M41" t="s">
        <v>1043</v>
      </c>
      <c r="P41" t="s">
        <v>778</v>
      </c>
      <c r="W41" t="s">
        <v>780</v>
      </c>
      <c r="X41" t="s">
        <v>816</v>
      </c>
      <c r="Z41" s="31">
        <v>45688</v>
      </c>
      <c r="AA41">
        <v>1600</v>
      </c>
      <c r="AB41">
        <v>243721</v>
      </c>
      <c r="AC41">
        <v>35</v>
      </c>
      <c r="AD41" t="s">
        <v>44</v>
      </c>
      <c r="AE41" s="31">
        <v>45646</v>
      </c>
      <c r="AF41" s="61">
        <v>0.60428240740740746</v>
      </c>
      <c r="AH41" t="s">
        <v>818</v>
      </c>
      <c r="AI41" s="31">
        <v>45681</v>
      </c>
      <c r="AJ41" s="61">
        <v>0.58530092592592597</v>
      </c>
      <c r="AN41" t="s">
        <v>1053</v>
      </c>
      <c r="AP41" t="s">
        <v>1054</v>
      </c>
      <c r="AQ41" t="s">
        <v>1055</v>
      </c>
      <c r="AR41" s="31"/>
      <c r="AX41">
        <v>1</v>
      </c>
    </row>
    <row r="42" spans="1:50" x14ac:dyDescent="0.3">
      <c r="A42" t="s">
        <v>22</v>
      </c>
      <c r="B42">
        <v>144</v>
      </c>
      <c r="D42">
        <v>181</v>
      </c>
      <c r="E42" t="s">
        <v>1062</v>
      </c>
      <c r="G42" t="s">
        <v>1063</v>
      </c>
      <c r="H42">
        <v>27805256000122</v>
      </c>
      <c r="J42" t="s">
        <v>1064</v>
      </c>
      <c r="K42" t="s">
        <v>1065</v>
      </c>
      <c r="P42" t="s">
        <v>778</v>
      </c>
      <c r="Q42" t="s">
        <v>1066</v>
      </c>
      <c r="R42" t="s">
        <v>1067</v>
      </c>
      <c r="S42" t="s">
        <v>1068</v>
      </c>
      <c r="V42" t="s">
        <v>1069</v>
      </c>
      <c r="W42" t="s">
        <v>780</v>
      </c>
      <c r="X42" t="s">
        <v>816</v>
      </c>
      <c r="Y42" t="s">
        <v>817</v>
      </c>
      <c r="Z42" s="31"/>
      <c r="AA42">
        <v>146772</v>
      </c>
      <c r="AB42">
        <v>1102804</v>
      </c>
      <c r="AC42">
        <v>154</v>
      </c>
      <c r="AD42" t="s">
        <v>22</v>
      </c>
      <c r="AE42" s="31">
        <v>45664</v>
      </c>
      <c r="AF42" s="61">
        <v>0.70750000000000002</v>
      </c>
      <c r="AH42" t="s">
        <v>818</v>
      </c>
      <c r="AI42" s="31">
        <v>45686</v>
      </c>
      <c r="AJ42" s="61">
        <v>4.5011574074074072E-2</v>
      </c>
      <c r="AL42" t="s">
        <v>1058</v>
      </c>
      <c r="AN42" t="s">
        <v>1070</v>
      </c>
      <c r="AO42" t="s">
        <v>22</v>
      </c>
      <c r="AP42" t="s">
        <v>1070</v>
      </c>
      <c r="AR42" s="31"/>
      <c r="AX42">
        <v>1</v>
      </c>
    </row>
    <row r="43" spans="1:50" x14ac:dyDescent="0.3">
      <c r="A43" t="s">
        <v>22</v>
      </c>
      <c r="B43">
        <v>145</v>
      </c>
      <c r="D43">
        <v>12</v>
      </c>
      <c r="E43" t="s">
        <v>1071</v>
      </c>
      <c r="F43" t="s">
        <v>1072</v>
      </c>
      <c r="G43" t="s">
        <v>1073</v>
      </c>
      <c r="H43">
        <v>22752240000185</v>
      </c>
      <c r="J43" t="s">
        <v>1074</v>
      </c>
      <c r="K43" t="s">
        <v>1075</v>
      </c>
      <c r="M43" t="s">
        <v>1076</v>
      </c>
      <c r="P43" t="s">
        <v>778</v>
      </c>
      <c r="Q43" t="s">
        <v>1077</v>
      </c>
      <c r="S43" t="s">
        <v>791</v>
      </c>
      <c r="V43" t="s">
        <v>806</v>
      </c>
      <c r="W43" t="s">
        <v>780</v>
      </c>
      <c r="X43" t="s">
        <v>807</v>
      </c>
      <c r="Z43" s="31"/>
      <c r="AC43">
        <v>38</v>
      </c>
      <c r="AD43" t="s">
        <v>22</v>
      </c>
      <c r="AE43" s="31">
        <v>45664</v>
      </c>
      <c r="AF43" s="61">
        <v>0.73380787037037032</v>
      </c>
      <c r="AH43" t="s">
        <v>795</v>
      </c>
      <c r="AI43" s="31">
        <v>45702</v>
      </c>
      <c r="AJ43" s="61">
        <v>0.64967592592592593</v>
      </c>
      <c r="AK43" t="s">
        <v>796</v>
      </c>
      <c r="AP43" t="s">
        <v>960</v>
      </c>
      <c r="AR43" s="31"/>
      <c r="AX43">
        <v>1</v>
      </c>
    </row>
    <row r="44" spans="1:50" x14ac:dyDescent="0.3">
      <c r="A44" t="s">
        <v>44</v>
      </c>
      <c r="B44">
        <v>148</v>
      </c>
      <c r="D44">
        <v>270</v>
      </c>
      <c r="E44" t="s">
        <v>1078</v>
      </c>
      <c r="F44" t="s">
        <v>1079</v>
      </c>
      <c r="G44" t="s">
        <v>1080</v>
      </c>
      <c r="H44">
        <v>45723541000186</v>
      </c>
      <c r="J44" t="s">
        <v>1081</v>
      </c>
      <c r="K44" t="s">
        <v>1082</v>
      </c>
      <c r="M44" t="s">
        <v>1083</v>
      </c>
      <c r="O44" t="s">
        <v>1084</v>
      </c>
      <c r="P44" t="s">
        <v>778</v>
      </c>
      <c r="Q44" t="s">
        <v>1085</v>
      </c>
      <c r="R44" t="s">
        <v>790</v>
      </c>
      <c r="S44" t="s">
        <v>791</v>
      </c>
      <c r="V44" t="s">
        <v>1086</v>
      </c>
      <c r="W44" t="s">
        <v>780</v>
      </c>
      <c r="X44" t="s">
        <v>807</v>
      </c>
      <c r="Z44" s="31"/>
      <c r="AA44">
        <v>16960</v>
      </c>
      <c r="AB44">
        <v>4714</v>
      </c>
      <c r="AC44">
        <v>72</v>
      </c>
      <c r="AD44" t="s">
        <v>794</v>
      </c>
      <c r="AE44" s="31">
        <v>45665</v>
      </c>
      <c r="AF44" s="61">
        <v>0.46423611111111113</v>
      </c>
      <c r="AH44" t="s">
        <v>795</v>
      </c>
      <c r="AI44" s="31">
        <v>45737</v>
      </c>
      <c r="AJ44" s="61">
        <v>0.43061342592592589</v>
      </c>
      <c r="AK44" t="s">
        <v>858</v>
      </c>
      <c r="AL44" t="s">
        <v>1087</v>
      </c>
      <c r="AN44" t="s">
        <v>1088</v>
      </c>
      <c r="AO44" t="s">
        <v>794</v>
      </c>
      <c r="AP44" t="s">
        <v>1089</v>
      </c>
      <c r="AQ44" t="s">
        <v>1088</v>
      </c>
      <c r="AR44" s="31"/>
      <c r="AX44">
        <v>1</v>
      </c>
    </row>
    <row r="45" spans="1:50" x14ac:dyDescent="0.3">
      <c r="A45" t="s">
        <v>44</v>
      </c>
      <c r="B45">
        <v>151</v>
      </c>
      <c r="D45">
        <v>1540</v>
      </c>
      <c r="G45" t="s">
        <v>1090</v>
      </c>
      <c r="H45">
        <v>21733807000103</v>
      </c>
      <c r="J45" t="s">
        <v>1091</v>
      </c>
      <c r="K45" t="s">
        <v>1092</v>
      </c>
      <c r="M45" t="s">
        <v>1093</v>
      </c>
      <c r="P45" t="s">
        <v>778</v>
      </c>
      <c r="Q45" t="s">
        <v>1094</v>
      </c>
      <c r="R45" t="s">
        <v>790</v>
      </c>
      <c r="W45" t="s">
        <v>780</v>
      </c>
      <c r="X45" t="s">
        <v>807</v>
      </c>
      <c r="Z45" s="31"/>
      <c r="AA45">
        <v>4830624</v>
      </c>
      <c r="AB45">
        <v>384549</v>
      </c>
      <c r="AC45">
        <v>43</v>
      </c>
      <c r="AD45" t="s">
        <v>44</v>
      </c>
      <c r="AE45" s="31">
        <v>45666</v>
      </c>
      <c r="AF45" s="61">
        <v>0.66763888888888889</v>
      </c>
      <c r="AH45" t="s">
        <v>795</v>
      </c>
      <c r="AI45" s="31">
        <v>45709</v>
      </c>
      <c r="AJ45" s="61">
        <v>0.60252314814814811</v>
      </c>
      <c r="AK45" t="s">
        <v>934</v>
      </c>
      <c r="AL45" t="s">
        <v>1095</v>
      </c>
      <c r="AN45" t="s">
        <v>1088</v>
      </c>
      <c r="AP45" t="s">
        <v>1096</v>
      </c>
      <c r="AQ45" t="s">
        <v>1039</v>
      </c>
      <c r="AR45" s="31"/>
      <c r="AX45">
        <v>1</v>
      </c>
    </row>
    <row r="46" spans="1:50" x14ac:dyDescent="0.3">
      <c r="A46" t="s">
        <v>22</v>
      </c>
      <c r="B46">
        <v>154</v>
      </c>
      <c r="C46">
        <v>177</v>
      </c>
      <c r="D46">
        <v>1546</v>
      </c>
      <c r="G46" t="s">
        <v>1097</v>
      </c>
      <c r="H46">
        <v>58636773000149</v>
      </c>
      <c r="I46" t="s">
        <v>1098</v>
      </c>
      <c r="J46" t="s">
        <v>1099</v>
      </c>
      <c r="K46" t="s">
        <v>1100</v>
      </c>
      <c r="M46" t="s">
        <v>1101</v>
      </c>
      <c r="N46" t="s">
        <v>1102</v>
      </c>
      <c r="P46" t="s">
        <v>1103</v>
      </c>
      <c r="Q46" t="s">
        <v>1104</v>
      </c>
      <c r="R46" t="s">
        <v>1105</v>
      </c>
      <c r="S46" t="s">
        <v>814</v>
      </c>
      <c r="T46" t="s">
        <v>814</v>
      </c>
      <c r="V46" t="s">
        <v>1106</v>
      </c>
      <c r="W46" t="s">
        <v>780</v>
      </c>
      <c r="X46" t="s">
        <v>807</v>
      </c>
      <c r="Y46" t="s">
        <v>817</v>
      </c>
      <c r="Z46" s="31"/>
      <c r="AA46">
        <v>5689656</v>
      </c>
      <c r="AB46">
        <v>259936</v>
      </c>
      <c r="AC46">
        <v>151</v>
      </c>
      <c r="AD46" t="s">
        <v>794</v>
      </c>
      <c r="AE46" s="31">
        <v>45667</v>
      </c>
      <c r="AF46" s="61">
        <v>0.50881944444444449</v>
      </c>
      <c r="AH46" t="s">
        <v>795</v>
      </c>
      <c r="AI46" s="31">
        <v>45818</v>
      </c>
      <c r="AJ46" s="61">
        <v>0.61144675925925929</v>
      </c>
      <c r="AK46" t="s">
        <v>858</v>
      </c>
      <c r="AM46" t="s">
        <v>1107</v>
      </c>
      <c r="AN46" t="s">
        <v>960</v>
      </c>
      <c r="AO46" t="s">
        <v>22</v>
      </c>
      <c r="AP46" t="s">
        <v>1107</v>
      </c>
      <c r="AR46" s="31"/>
      <c r="AX46">
        <v>1</v>
      </c>
    </row>
    <row r="47" spans="1:50" x14ac:dyDescent="0.3">
      <c r="A47" t="s">
        <v>22</v>
      </c>
      <c r="B47">
        <v>155</v>
      </c>
      <c r="D47">
        <v>1547</v>
      </c>
      <c r="G47" t="s">
        <v>1108</v>
      </c>
      <c r="J47" t="s">
        <v>1109</v>
      </c>
      <c r="K47" t="s">
        <v>1110</v>
      </c>
      <c r="M47" t="s">
        <v>1111</v>
      </c>
      <c r="P47" t="s">
        <v>778</v>
      </c>
      <c r="W47" t="s">
        <v>780</v>
      </c>
      <c r="X47" t="s">
        <v>857</v>
      </c>
      <c r="Z47" s="31"/>
      <c r="AC47">
        <v>18</v>
      </c>
      <c r="AD47" t="s">
        <v>22</v>
      </c>
      <c r="AE47" s="31">
        <v>45667</v>
      </c>
      <c r="AF47" s="61">
        <v>0.61699074074074078</v>
      </c>
      <c r="AH47" t="s">
        <v>795</v>
      </c>
      <c r="AI47" s="31">
        <v>45685</v>
      </c>
      <c r="AJ47" s="61">
        <v>0.70386574074074071</v>
      </c>
      <c r="AK47" t="s">
        <v>796</v>
      </c>
      <c r="AL47" t="s">
        <v>1112</v>
      </c>
      <c r="AN47" t="s">
        <v>1113</v>
      </c>
      <c r="AO47" t="s">
        <v>22</v>
      </c>
      <c r="AP47" t="s">
        <v>1113</v>
      </c>
      <c r="AR47" s="31"/>
      <c r="AX47">
        <v>1</v>
      </c>
    </row>
    <row r="48" spans="1:50" x14ac:dyDescent="0.3">
      <c r="A48" t="s">
        <v>22</v>
      </c>
      <c r="B48">
        <v>164</v>
      </c>
      <c r="D48">
        <v>1582</v>
      </c>
      <c r="G48" t="s">
        <v>1114</v>
      </c>
      <c r="H48">
        <v>2675142000184</v>
      </c>
      <c r="J48" t="s">
        <v>1115</v>
      </c>
      <c r="K48" t="s">
        <v>1116</v>
      </c>
      <c r="M48" t="s">
        <v>1117</v>
      </c>
      <c r="P48" t="s">
        <v>778</v>
      </c>
      <c r="Q48" t="s">
        <v>923</v>
      </c>
      <c r="S48" t="s">
        <v>814</v>
      </c>
      <c r="V48" t="s">
        <v>1118</v>
      </c>
      <c r="W48" t="s">
        <v>780</v>
      </c>
      <c r="X48" t="s">
        <v>807</v>
      </c>
      <c r="Z48" s="31"/>
      <c r="AC48">
        <v>65</v>
      </c>
      <c r="AD48" t="s">
        <v>794</v>
      </c>
      <c r="AE48" s="31">
        <v>45672</v>
      </c>
      <c r="AF48" s="61">
        <v>0.73280092592592594</v>
      </c>
      <c r="AH48" t="s">
        <v>795</v>
      </c>
      <c r="AI48" s="31">
        <v>45737</v>
      </c>
      <c r="AJ48" s="61">
        <v>0.60968750000000005</v>
      </c>
      <c r="AK48" t="s">
        <v>1119</v>
      </c>
      <c r="AM48" t="s">
        <v>1120</v>
      </c>
      <c r="AN48" t="s">
        <v>960</v>
      </c>
      <c r="AO48" t="s">
        <v>794</v>
      </c>
      <c r="AP48" t="s">
        <v>1121</v>
      </c>
      <c r="AR48" s="31"/>
      <c r="AX48">
        <v>1</v>
      </c>
    </row>
    <row r="49" spans="1:50" x14ac:dyDescent="0.3">
      <c r="A49" t="s">
        <v>44</v>
      </c>
      <c r="B49">
        <v>166</v>
      </c>
      <c r="D49">
        <v>745</v>
      </c>
      <c r="F49" t="s">
        <v>1122</v>
      </c>
      <c r="G49" t="s">
        <v>1123</v>
      </c>
      <c r="H49">
        <v>48314771000180</v>
      </c>
      <c r="J49" t="s">
        <v>1124</v>
      </c>
      <c r="K49" t="s">
        <v>1125</v>
      </c>
      <c r="M49" t="s">
        <v>1126</v>
      </c>
      <c r="O49" t="s">
        <v>1127</v>
      </c>
      <c r="P49" t="s">
        <v>778</v>
      </c>
      <c r="V49" t="s">
        <v>1128</v>
      </c>
      <c r="W49" t="s">
        <v>780</v>
      </c>
      <c r="X49" t="s">
        <v>857</v>
      </c>
      <c r="Z49" s="31"/>
      <c r="AC49">
        <v>36</v>
      </c>
      <c r="AD49" t="s">
        <v>794</v>
      </c>
      <c r="AE49" s="31">
        <v>45673</v>
      </c>
      <c r="AF49" s="61">
        <v>0.46156249999999999</v>
      </c>
      <c r="AH49" t="s">
        <v>795</v>
      </c>
      <c r="AI49" s="31">
        <v>45709</v>
      </c>
      <c r="AJ49" s="61">
        <v>0.50829861111111108</v>
      </c>
      <c r="AK49" t="s">
        <v>796</v>
      </c>
      <c r="AL49" t="s">
        <v>1129</v>
      </c>
      <c r="AM49" t="s">
        <v>1130</v>
      </c>
      <c r="AO49" t="s">
        <v>794</v>
      </c>
      <c r="AP49" t="s">
        <v>1131</v>
      </c>
      <c r="AR49" s="31"/>
      <c r="AX49">
        <v>1</v>
      </c>
    </row>
    <row r="50" spans="1:50" x14ac:dyDescent="0.3">
      <c r="A50" t="s">
        <v>22</v>
      </c>
      <c r="B50">
        <v>167</v>
      </c>
      <c r="D50">
        <v>1599</v>
      </c>
      <c r="G50" t="s">
        <v>1132</v>
      </c>
      <c r="J50" t="s">
        <v>1133</v>
      </c>
      <c r="K50" t="s">
        <v>1134</v>
      </c>
      <c r="M50" t="s">
        <v>1111</v>
      </c>
      <c r="P50" t="s">
        <v>778</v>
      </c>
      <c r="S50" t="s">
        <v>933</v>
      </c>
      <c r="V50" t="s">
        <v>1135</v>
      </c>
      <c r="W50" t="s">
        <v>780</v>
      </c>
      <c r="X50" t="s">
        <v>807</v>
      </c>
      <c r="Y50" t="s">
        <v>817</v>
      </c>
      <c r="Z50" s="31">
        <v>45808</v>
      </c>
      <c r="AA50">
        <v>46000</v>
      </c>
      <c r="AB50">
        <v>308546</v>
      </c>
      <c r="AC50">
        <v>82</v>
      </c>
      <c r="AD50" t="s">
        <v>22</v>
      </c>
      <c r="AE50" s="31">
        <v>45673</v>
      </c>
      <c r="AF50" s="61">
        <v>0.58497685185185189</v>
      </c>
      <c r="AH50" t="s">
        <v>795</v>
      </c>
      <c r="AI50" s="31">
        <v>45755</v>
      </c>
      <c r="AJ50" s="61">
        <v>0.39619212962962957</v>
      </c>
      <c r="AK50" t="s">
        <v>858</v>
      </c>
      <c r="AN50" t="s">
        <v>1136</v>
      </c>
      <c r="AO50" t="s">
        <v>22</v>
      </c>
      <c r="AP50" t="s">
        <v>1136</v>
      </c>
      <c r="AR50" s="31"/>
      <c r="AX50">
        <v>1</v>
      </c>
    </row>
    <row r="51" spans="1:50" x14ac:dyDescent="0.3">
      <c r="A51" t="s">
        <v>44</v>
      </c>
      <c r="B51">
        <v>169</v>
      </c>
      <c r="D51">
        <v>735</v>
      </c>
      <c r="F51" t="s">
        <v>1137</v>
      </c>
      <c r="G51" t="s">
        <v>1138</v>
      </c>
      <c r="H51">
        <v>16941656000149</v>
      </c>
      <c r="J51" t="s">
        <v>1139</v>
      </c>
      <c r="K51" t="s">
        <v>1140</v>
      </c>
      <c r="M51" t="s">
        <v>1141</v>
      </c>
      <c r="O51" t="s">
        <v>1142</v>
      </c>
      <c r="P51" t="s">
        <v>778</v>
      </c>
      <c r="W51" t="s">
        <v>780</v>
      </c>
      <c r="X51" t="s">
        <v>793</v>
      </c>
      <c r="Z51" s="31"/>
      <c r="AA51">
        <v>16700</v>
      </c>
      <c r="AB51">
        <v>18186</v>
      </c>
      <c r="AC51">
        <v>6</v>
      </c>
      <c r="AD51" t="s">
        <v>794</v>
      </c>
      <c r="AE51" s="31">
        <v>45673</v>
      </c>
      <c r="AF51" s="61">
        <v>0.71754629629629629</v>
      </c>
      <c r="AH51" t="s">
        <v>795</v>
      </c>
      <c r="AI51" s="31">
        <v>45679</v>
      </c>
      <c r="AJ51" s="61">
        <v>0.50843749999999999</v>
      </c>
      <c r="AK51" t="s">
        <v>796</v>
      </c>
      <c r="AL51" t="s">
        <v>1143</v>
      </c>
      <c r="AM51" t="s">
        <v>1144</v>
      </c>
      <c r="AN51" t="s">
        <v>1145</v>
      </c>
      <c r="AO51" t="s">
        <v>794</v>
      </c>
      <c r="AP51" t="s">
        <v>1146</v>
      </c>
      <c r="AR51" s="31"/>
      <c r="AX51">
        <v>1</v>
      </c>
    </row>
    <row r="52" spans="1:50" x14ac:dyDescent="0.3">
      <c r="A52" t="s">
        <v>44</v>
      </c>
      <c r="B52">
        <v>174</v>
      </c>
      <c r="D52">
        <v>734</v>
      </c>
      <c r="F52" t="s">
        <v>1147</v>
      </c>
      <c r="G52" t="s">
        <v>1148</v>
      </c>
      <c r="H52">
        <v>66559436000123</v>
      </c>
      <c r="J52" t="s">
        <v>1149</v>
      </c>
      <c r="K52" t="s">
        <v>1150</v>
      </c>
      <c r="M52" t="s">
        <v>1151</v>
      </c>
      <c r="O52" t="s">
        <v>1152</v>
      </c>
      <c r="P52" t="s">
        <v>778</v>
      </c>
      <c r="W52" t="s">
        <v>780</v>
      </c>
      <c r="X52" t="s">
        <v>781</v>
      </c>
      <c r="Z52" s="31"/>
      <c r="AC52">
        <v>31</v>
      </c>
      <c r="AD52" t="s">
        <v>794</v>
      </c>
      <c r="AE52" s="31">
        <v>45678</v>
      </c>
      <c r="AF52" s="61">
        <v>0.4437962962962963</v>
      </c>
      <c r="AH52" t="s">
        <v>795</v>
      </c>
      <c r="AI52" s="31">
        <v>45709</v>
      </c>
      <c r="AJ52" s="61">
        <v>0.45508101851851851</v>
      </c>
      <c r="AK52" t="s">
        <v>796</v>
      </c>
      <c r="AL52" t="s">
        <v>1153</v>
      </c>
      <c r="AM52" t="s">
        <v>1154</v>
      </c>
      <c r="AO52" t="s">
        <v>794</v>
      </c>
      <c r="AP52" t="s">
        <v>1155</v>
      </c>
      <c r="AR52" s="31"/>
      <c r="AX52">
        <v>1</v>
      </c>
    </row>
    <row r="53" spans="1:50" x14ac:dyDescent="0.3">
      <c r="A53" t="s">
        <v>44</v>
      </c>
      <c r="B53">
        <v>178</v>
      </c>
      <c r="D53">
        <v>1619</v>
      </c>
      <c r="G53" t="s">
        <v>1156</v>
      </c>
      <c r="H53">
        <v>2306559000331</v>
      </c>
      <c r="J53" t="s">
        <v>1157</v>
      </c>
      <c r="K53" t="s">
        <v>1158</v>
      </c>
      <c r="M53" t="s">
        <v>1159</v>
      </c>
      <c r="P53" t="s">
        <v>778</v>
      </c>
      <c r="W53" t="s">
        <v>780</v>
      </c>
      <c r="X53" t="s">
        <v>807</v>
      </c>
      <c r="Y53" t="s">
        <v>817</v>
      </c>
      <c r="Z53" s="31"/>
      <c r="AA53">
        <v>11520</v>
      </c>
      <c r="AB53">
        <v>14114</v>
      </c>
      <c r="AC53">
        <v>30</v>
      </c>
      <c r="AD53" t="s">
        <v>44</v>
      </c>
      <c r="AE53" s="31">
        <v>45679</v>
      </c>
      <c r="AF53" s="61">
        <v>0.51081018518518517</v>
      </c>
      <c r="AH53" t="s">
        <v>795</v>
      </c>
      <c r="AI53" s="31">
        <v>45709</v>
      </c>
      <c r="AJ53" s="61">
        <v>0.50973379629629634</v>
      </c>
      <c r="AK53" t="s">
        <v>974</v>
      </c>
      <c r="AL53" t="s">
        <v>1160</v>
      </c>
      <c r="AN53" t="s">
        <v>1145</v>
      </c>
      <c r="AP53" t="s">
        <v>1161</v>
      </c>
      <c r="AR53" s="31"/>
      <c r="AX53">
        <v>1</v>
      </c>
    </row>
    <row r="54" spans="1:50" x14ac:dyDescent="0.3">
      <c r="A54" t="s">
        <v>44</v>
      </c>
      <c r="B54">
        <v>179</v>
      </c>
      <c r="D54">
        <v>1621</v>
      </c>
      <c r="G54" t="s">
        <v>1162</v>
      </c>
      <c r="J54" t="s">
        <v>1163</v>
      </c>
      <c r="K54" t="s">
        <v>1164</v>
      </c>
      <c r="M54" t="s">
        <v>1165</v>
      </c>
      <c r="P54" t="s">
        <v>778</v>
      </c>
      <c r="W54" t="s">
        <v>780</v>
      </c>
      <c r="X54" t="s">
        <v>793</v>
      </c>
      <c r="Y54" t="s">
        <v>817</v>
      </c>
      <c r="Z54" s="31"/>
      <c r="AA54">
        <v>61056</v>
      </c>
      <c r="AB54">
        <v>625045</v>
      </c>
      <c r="AC54">
        <v>14</v>
      </c>
      <c r="AD54" t="s">
        <v>44</v>
      </c>
      <c r="AE54" s="31">
        <v>45680</v>
      </c>
      <c r="AF54" s="61">
        <v>0.39780092592592592</v>
      </c>
      <c r="AH54" t="s">
        <v>795</v>
      </c>
      <c r="AI54" s="31">
        <v>45694</v>
      </c>
      <c r="AJ54" s="61">
        <v>0.66874999999999996</v>
      </c>
      <c r="AK54" t="s">
        <v>867</v>
      </c>
      <c r="AL54" t="s">
        <v>1166</v>
      </c>
      <c r="AN54" t="s">
        <v>1167</v>
      </c>
      <c r="AP54" t="s">
        <v>1168</v>
      </c>
      <c r="AQ54" t="s">
        <v>1167</v>
      </c>
      <c r="AR54" s="31"/>
      <c r="AX54">
        <v>1</v>
      </c>
    </row>
    <row r="55" spans="1:50" x14ac:dyDescent="0.3">
      <c r="A55" t="s">
        <v>44</v>
      </c>
      <c r="B55">
        <v>183</v>
      </c>
      <c r="D55">
        <v>1631</v>
      </c>
      <c r="G55" t="s">
        <v>1169</v>
      </c>
      <c r="J55" t="s">
        <v>1170</v>
      </c>
      <c r="K55" t="s">
        <v>1171</v>
      </c>
      <c r="M55" t="s">
        <v>1172</v>
      </c>
      <c r="P55" t="s">
        <v>778</v>
      </c>
      <c r="S55" t="s">
        <v>1068</v>
      </c>
      <c r="W55" t="s">
        <v>780</v>
      </c>
      <c r="X55" t="s">
        <v>816</v>
      </c>
      <c r="Y55" t="s">
        <v>817</v>
      </c>
      <c r="Z55" s="31"/>
      <c r="AA55">
        <v>16960</v>
      </c>
      <c r="AB55">
        <v>863104</v>
      </c>
      <c r="AC55">
        <v>103</v>
      </c>
      <c r="AD55" t="s">
        <v>44</v>
      </c>
      <c r="AE55" s="31">
        <v>45681</v>
      </c>
      <c r="AF55" s="61">
        <v>0.4445486111111111</v>
      </c>
      <c r="AH55" t="s">
        <v>818</v>
      </c>
      <c r="AI55" s="31">
        <v>45784</v>
      </c>
      <c r="AJ55" s="61">
        <v>0.37054398148148149</v>
      </c>
      <c r="AN55" t="s">
        <v>890</v>
      </c>
      <c r="AP55" t="s">
        <v>1168</v>
      </c>
      <c r="AR55" s="31"/>
      <c r="AX55">
        <v>1</v>
      </c>
    </row>
    <row r="56" spans="1:50" x14ac:dyDescent="0.3">
      <c r="A56" t="s">
        <v>44</v>
      </c>
      <c r="B56">
        <v>187</v>
      </c>
      <c r="D56">
        <v>1642</v>
      </c>
      <c r="G56" t="s">
        <v>1173</v>
      </c>
      <c r="J56" t="s">
        <v>1174</v>
      </c>
      <c r="K56" t="s">
        <v>1175</v>
      </c>
      <c r="M56" t="s">
        <v>1176</v>
      </c>
      <c r="P56" t="s">
        <v>778</v>
      </c>
      <c r="W56" t="s">
        <v>780</v>
      </c>
      <c r="X56" t="s">
        <v>857</v>
      </c>
      <c r="Z56" s="31"/>
      <c r="AC56">
        <v>49</v>
      </c>
      <c r="AD56" t="s">
        <v>44</v>
      </c>
      <c r="AE56" s="31">
        <v>45684</v>
      </c>
      <c r="AF56" s="61">
        <v>0.62056712962962968</v>
      </c>
      <c r="AH56" t="s">
        <v>795</v>
      </c>
      <c r="AI56" s="31">
        <v>45733</v>
      </c>
      <c r="AJ56" s="61">
        <v>0.41342592592592592</v>
      </c>
      <c r="AK56" t="s">
        <v>796</v>
      </c>
      <c r="AL56" t="s">
        <v>1177</v>
      </c>
      <c r="AP56" t="s">
        <v>1167</v>
      </c>
      <c r="AR56" s="31"/>
      <c r="AX56">
        <v>1</v>
      </c>
    </row>
    <row r="57" spans="1:50" x14ac:dyDescent="0.3">
      <c r="A57" t="s">
        <v>44</v>
      </c>
      <c r="B57">
        <v>188</v>
      </c>
      <c r="D57">
        <v>1643</v>
      </c>
      <c r="G57" t="s">
        <v>1178</v>
      </c>
      <c r="J57" t="s">
        <v>1179</v>
      </c>
      <c r="K57" t="s">
        <v>1180</v>
      </c>
      <c r="M57" t="s">
        <v>1093</v>
      </c>
      <c r="P57" t="s">
        <v>778</v>
      </c>
      <c r="W57" t="s">
        <v>780</v>
      </c>
      <c r="X57" t="s">
        <v>807</v>
      </c>
      <c r="Z57" s="31"/>
      <c r="AA57">
        <v>1600</v>
      </c>
      <c r="AB57">
        <v>314528</v>
      </c>
      <c r="AC57">
        <v>25</v>
      </c>
      <c r="AD57" t="s">
        <v>44</v>
      </c>
      <c r="AE57" s="31">
        <v>45684</v>
      </c>
      <c r="AF57" s="61">
        <v>0.65873842592592591</v>
      </c>
      <c r="AH57" t="s">
        <v>795</v>
      </c>
      <c r="AI57" s="31">
        <v>45709</v>
      </c>
      <c r="AJ57" s="61">
        <v>0.60328703703703701</v>
      </c>
      <c r="AK57" t="s">
        <v>934</v>
      </c>
      <c r="AN57" t="s">
        <v>1145</v>
      </c>
      <c r="AP57" t="s">
        <v>1096</v>
      </c>
      <c r="AR57" s="31"/>
      <c r="AX57">
        <v>1</v>
      </c>
    </row>
    <row r="58" spans="1:50" x14ac:dyDescent="0.3">
      <c r="A58" t="s">
        <v>44</v>
      </c>
      <c r="B58">
        <v>191</v>
      </c>
      <c r="D58">
        <v>1651</v>
      </c>
      <c r="G58" t="s">
        <v>1181</v>
      </c>
      <c r="J58" t="s">
        <v>1163</v>
      </c>
      <c r="K58" t="s">
        <v>1164</v>
      </c>
      <c r="M58" t="s">
        <v>1165</v>
      </c>
      <c r="P58" t="s">
        <v>778</v>
      </c>
      <c r="W58" t="s">
        <v>780</v>
      </c>
      <c r="X58" t="s">
        <v>793</v>
      </c>
      <c r="Z58" s="31"/>
      <c r="AA58">
        <v>1600</v>
      </c>
      <c r="AB58">
        <v>4063</v>
      </c>
      <c r="AC58">
        <v>9</v>
      </c>
      <c r="AD58" t="s">
        <v>44</v>
      </c>
      <c r="AE58" s="31">
        <v>45685</v>
      </c>
      <c r="AF58" s="61">
        <v>0.62687499999999996</v>
      </c>
      <c r="AH58" t="s">
        <v>795</v>
      </c>
      <c r="AI58" s="31">
        <v>45694</v>
      </c>
      <c r="AJ58" s="61">
        <v>0.66998842592592589</v>
      </c>
      <c r="AK58" t="s">
        <v>867</v>
      </c>
      <c r="AL58" t="s">
        <v>1166</v>
      </c>
      <c r="AR58" s="31"/>
      <c r="AX58">
        <v>1</v>
      </c>
    </row>
    <row r="59" spans="1:50" x14ac:dyDescent="0.3">
      <c r="A59" t="s">
        <v>22</v>
      </c>
      <c r="B59">
        <v>193</v>
      </c>
      <c r="D59">
        <v>1608</v>
      </c>
      <c r="G59" t="s">
        <v>1182</v>
      </c>
      <c r="H59">
        <v>2142286000175</v>
      </c>
      <c r="J59" t="s">
        <v>1183</v>
      </c>
      <c r="K59" t="s">
        <v>1184</v>
      </c>
      <c r="M59" t="s">
        <v>1185</v>
      </c>
      <c r="P59" t="s">
        <v>778</v>
      </c>
      <c r="Q59" t="s">
        <v>923</v>
      </c>
      <c r="S59" t="s">
        <v>814</v>
      </c>
      <c r="V59" t="s">
        <v>1186</v>
      </c>
      <c r="W59" t="s">
        <v>780</v>
      </c>
      <c r="X59" t="s">
        <v>807</v>
      </c>
      <c r="Z59" s="31"/>
      <c r="AC59">
        <v>9</v>
      </c>
      <c r="AD59" t="s">
        <v>22</v>
      </c>
      <c r="AE59" s="31">
        <v>45685</v>
      </c>
      <c r="AF59" s="61">
        <v>0.69854166666666662</v>
      </c>
      <c r="AH59" t="s">
        <v>795</v>
      </c>
      <c r="AI59" s="31">
        <v>45694</v>
      </c>
      <c r="AJ59" s="61">
        <v>0.72714120370370372</v>
      </c>
      <c r="AK59" t="s">
        <v>867</v>
      </c>
      <c r="AN59" t="s">
        <v>1187</v>
      </c>
      <c r="AP59" t="s">
        <v>1187</v>
      </c>
      <c r="AR59" s="31"/>
      <c r="AX59">
        <v>1</v>
      </c>
    </row>
    <row r="60" spans="1:50" x14ac:dyDescent="0.3">
      <c r="A60" t="s">
        <v>22</v>
      </c>
      <c r="B60">
        <v>195</v>
      </c>
      <c r="D60">
        <v>1603</v>
      </c>
      <c r="G60" t="s">
        <v>1188</v>
      </c>
      <c r="J60" t="s">
        <v>1189</v>
      </c>
      <c r="K60" t="s">
        <v>1190</v>
      </c>
      <c r="M60" t="s">
        <v>1111</v>
      </c>
      <c r="P60" t="s">
        <v>778</v>
      </c>
      <c r="S60" t="s">
        <v>1191</v>
      </c>
      <c r="W60" t="s">
        <v>780</v>
      </c>
      <c r="X60" t="s">
        <v>807</v>
      </c>
      <c r="Z60" s="31"/>
      <c r="AC60">
        <v>9</v>
      </c>
      <c r="AD60" t="s">
        <v>22</v>
      </c>
      <c r="AE60" s="31">
        <v>45685</v>
      </c>
      <c r="AF60" s="61">
        <v>0.71567129629629633</v>
      </c>
      <c r="AH60" t="s">
        <v>795</v>
      </c>
      <c r="AI60" s="31">
        <v>45694</v>
      </c>
      <c r="AJ60" s="61">
        <v>0.73074074074074069</v>
      </c>
      <c r="AK60" t="s">
        <v>858</v>
      </c>
      <c r="AN60" t="s">
        <v>1187</v>
      </c>
      <c r="AP60" t="s">
        <v>1187</v>
      </c>
      <c r="AR60" s="31"/>
      <c r="AX60">
        <v>1</v>
      </c>
    </row>
    <row r="61" spans="1:50" x14ac:dyDescent="0.3">
      <c r="A61" t="s">
        <v>22</v>
      </c>
      <c r="B61">
        <v>196</v>
      </c>
      <c r="D61">
        <v>1596</v>
      </c>
      <c r="F61" t="s">
        <v>1192</v>
      </c>
      <c r="G61" t="s">
        <v>1193</v>
      </c>
      <c r="H61">
        <v>56884678000139</v>
      </c>
      <c r="J61" t="s">
        <v>1194</v>
      </c>
      <c r="K61" t="s">
        <v>1195</v>
      </c>
      <c r="M61" t="s">
        <v>1196</v>
      </c>
      <c r="P61" t="s">
        <v>778</v>
      </c>
      <c r="Q61" t="s">
        <v>1197</v>
      </c>
      <c r="R61" t="s">
        <v>790</v>
      </c>
      <c r="S61" t="s">
        <v>1191</v>
      </c>
      <c r="V61" t="s">
        <v>1198</v>
      </c>
      <c r="W61" t="s">
        <v>780</v>
      </c>
      <c r="X61" t="s">
        <v>807</v>
      </c>
      <c r="Z61" s="31"/>
      <c r="AC61">
        <v>1</v>
      </c>
      <c r="AD61" t="s">
        <v>22</v>
      </c>
      <c r="AE61" s="31">
        <v>45685</v>
      </c>
      <c r="AF61" s="61">
        <v>0.71672453703703709</v>
      </c>
      <c r="AH61" t="s">
        <v>795</v>
      </c>
      <c r="AI61" s="31">
        <v>45686</v>
      </c>
      <c r="AJ61" s="61">
        <v>4.1851851851851848E-2</v>
      </c>
      <c r="AK61" t="s">
        <v>867</v>
      </c>
      <c r="AN61" t="s">
        <v>1187</v>
      </c>
      <c r="AO61" t="s">
        <v>22</v>
      </c>
      <c r="AP61" t="s">
        <v>1187</v>
      </c>
      <c r="AR61" s="31"/>
      <c r="AX61">
        <v>1</v>
      </c>
    </row>
    <row r="62" spans="1:50" x14ac:dyDescent="0.3">
      <c r="A62" t="s">
        <v>22</v>
      </c>
      <c r="B62">
        <v>197</v>
      </c>
      <c r="D62">
        <v>1598</v>
      </c>
      <c r="G62" t="s">
        <v>1199</v>
      </c>
      <c r="J62" t="s">
        <v>1200</v>
      </c>
      <c r="K62" t="s">
        <v>1201</v>
      </c>
      <c r="M62" t="s">
        <v>1111</v>
      </c>
      <c r="P62" t="s">
        <v>778</v>
      </c>
      <c r="S62" t="s">
        <v>1191</v>
      </c>
      <c r="V62" t="s">
        <v>1198</v>
      </c>
      <c r="W62" t="s">
        <v>780</v>
      </c>
      <c r="X62" t="s">
        <v>807</v>
      </c>
      <c r="Z62" s="31"/>
      <c r="AC62">
        <v>1</v>
      </c>
      <c r="AD62" t="s">
        <v>22</v>
      </c>
      <c r="AE62" s="31">
        <v>45685</v>
      </c>
      <c r="AF62" s="61">
        <v>0.71711805555555552</v>
      </c>
      <c r="AH62" t="s">
        <v>795</v>
      </c>
      <c r="AI62" s="31">
        <v>45686</v>
      </c>
      <c r="AJ62" s="61">
        <v>4.3159722222222217E-2</v>
      </c>
      <c r="AK62" t="s">
        <v>867</v>
      </c>
      <c r="AN62" t="s">
        <v>1187</v>
      </c>
      <c r="AP62" t="s">
        <v>1187</v>
      </c>
      <c r="AR62" s="31"/>
      <c r="AX62">
        <v>1</v>
      </c>
    </row>
    <row r="63" spans="1:50" x14ac:dyDescent="0.3">
      <c r="A63" t="s">
        <v>22</v>
      </c>
      <c r="B63">
        <v>198</v>
      </c>
      <c r="D63">
        <v>1600</v>
      </c>
      <c r="G63" t="s">
        <v>1202</v>
      </c>
      <c r="J63" t="s">
        <v>1203</v>
      </c>
      <c r="K63" t="s">
        <v>1204</v>
      </c>
      <c r="M63" t="s">
        <v>1205</v>
      </c>
      <c r="P63" t="s">
        <v>778</v>
      </c>
      <c r="Q63" t="s">
        <v>1206</v>
      </c>
      <c r="S63" t="s">
        <v>814</v>
      </c>
      <c r="V63" t="s">
        <v>1198</v>
      </c>
      <c r="W63" t="s">
        <v>780</v>
      </c>
      <c r="X63" t="s">
        <v>807</v>
      </c>
      <c r="Z63" s="31"/>
      <c r="AC63">
        <v>1</v>
      </c>
      <c r="AD63" t="s">
        <v>22</v>
      </c>
      <c r="AE63" s="31">
        <v>45685</v>
      </c>
      <c r="AF63" s="61">
        <v>0.71755787037037033</v>
      </c>
      <c r="AH63" t="s">
        <v>795</v>
      </c>
      <c r="AI63" s="31">
        <v>45686</v>
      </c>
      <c r="AJ63" s="61">
        <v>4.5671296296296293E-2</v>
      </c>
      <c r="AK63" t="s">
        <v>867</v>
      </c>
      <c r="AN63" t="s">
        <v>1187</v>
      </c>
      <c r="AP63" t="s">
        <v>1187</v>
      </c>
      <c r="AR63" s="31"/>
      <c r="AX63">
        <v>1</v>
      </c>
    </row>
    <row r="64" spans="1:50" x14ac:dyDescent="0.3">
      <c r="A64" t="s">
        <v>22</v>
      </c>
      <c r="B64">
        <v>199</v>
      </c>
      <c r="D64">
        <v>1623</v>
      </c>
      <c r="E64" t="s">
        <v>1207</v>
      </c>
      <c r="G64" t="s">
        <v>1208</v>
      </c>
      <c r="J64" t="s">
        <v>1209</v>
      </c>
      <c r="K64" t="s">
        <v>1210</v>
      </c>
      <c r="M64" t="s">
        <v>1211</v>
      </c>
      <c r="P64" t="s">
        <v>778</v>
      </c>
      <c r="Q64" t="s">
        <v>1212</v>
      </c>
      <c r="S64" t="s">
        <v>1068</v>
      </c>
      <c r="V64" t="s">
        <v>1068</v>
      </c>
      <c r="W64" t="s">
        <v>780</v>
      </c>
      <c r="X64" t="s">
        <v>807</v>
      </c>
      <c r="Z64" s="31"/>
      <c r="AC64">
        <v>9</v>
      </c>
      <c r="AD64" t="s">
        <v>22</v>
      </c>
      <c r="AE64" s="31">
        <v>45685</v>
      </c>
      <c r="AF64" s="61">
        <v>0.71810185185185182</v>
      </c>
      <c r="AH64" t="s">
        <v>795</v>
      </c>
      <c r="AI64" s="31">
        <v>45694</v>
      </c>
      <c r="AJ64" s="61">
        <v>0.73619212962962965</v>
      </c>
      <c r="AK64" t="s">
        <v>867</v>
      </c>
      <c r="AN64" t="s">
        <v>1187</v>
      </c>
      <c r="AQ64" t="s">
        <v>1187</v>
      </c>
      <c r="AR64" s="31"/>
      <c r="AX64">
        <v>1</v>
      </c>
    </row>
    <row r="65" spans="1:50" x14ac:dyDescent="0.3">
      <c r="A65" t="s">
        <v>44</v>
      </c>
      <c r="B65">
        <v>200</v>
      </c>
      <c r="D65">
        <v>1660</v>
      </c>
      <c r="G65" t="s">
        <v>1213</v>
      </c>
      <c r="J65" t="s">
        <v>1214</v>
      </c>
      <c r="K65" t="s">
        <v>1215</v>
      </c>
      <c r="M65" t="s">
        <v>1216</v>
      </c>
      <c r="P65" t="s">
        <v>778</v>
      </c>
      <c r="W65" t="s">
        <v>780</v>
      </c>
      <c r="X65" t="s">
        <v>897</v>
      </c>
      <c r="Z65" s="31"/>
      <c r="AC65">
        <v>51</v>
      </c>
      <c r="AD65" t="s">
        <v>44</v>
      </c>
      <c r="AE65" s="31">
        <v>45686</v>
      </c>
      <c r="AF65" s="61">
        <v>0.39648148148148149</v>
      </c>
      <c r="AH65" t="s">
        <v>795</v>
      </c>
      <c r="AI65" s="31">
        <v>45737</v>
      </c>
      <c r="AJ65" s="61">
        <v>0.61332175925925925</v>
      </c>
      <c r="AK65" t="s">
        <v>858</v>
      </c>
      <c r="AL65" t="s">
        <v>1217</v>
      </c>
      <c r="AP65" t="s">
        <v>1059</v>
      </c>
      <c r="AR65" s="31"/>
      <c r="AX65">
        <v>1</v>
      </c>
    </row>
    <row r="66" spans="1:50" x14ac:dyDescent="0.3">
      <c r="A66" t="s">
        <v>22</v>
      </c>
      <c r="B66">
        <v>201</v>
      </c>
      <c r="D66">
        <v>198</v>
      </c>
      <c r="F66" t="s">
        <v>1218</v>
      </c>
      <c r="G66" t="s">
        <v>1219</v>
      </c>
      <c r="H66">
        <v>13474916000125</v>
      </c>
      <c r="J66" t="s">
        <v>1220</v>
      </c>
      <c r="K66" t="s">
        <v>1221</v>
      </c>
      <c r="M66" t="s">
        <v>1222</v>
      </c>
      <c r="O66" t="s">
        <v>1223</v>
      </c>
      <c r="P66" t="s">
        <v>778</v>
      </c>
      <c r="Q66" t="s">
        <v>1224</v>
      </c>
      <c r="R66" t="s">
        <v>790</v>
      </c>
      <c r="S66" t="s">
        <v>791</v>
      </c>
      <c r="V66" t="s">
        <v>1225</v>
      </c>
      <c r="W66" t="s">
        <v>780</v>
      </c>
      <c r="X66" t="s">
        <v>857</v>
      </c>
      <c r="Z66" s="31"/>
      <c r="AC66">
        <v>8</v>
      </c>
      <c r="AD66" t="s">
        <v>794</v>
      </c>
      <c r="AE66" s="31">
        <v>45686</v>
      </c>
      <c r="AF66" s="61">
        <v>0.49991898148148151</v>
      </c>
      <c r="AH66" t="s">
        <v>795</v>
      </c>
      <c r="AI66" s="31">
        <v>45694</v>
      </c>
      <c r="AJ66" s="61">
        <v>0.57891203703703709</v>
      </c>
      <c r="AK66" t="s">
        <v>1226</v>
      </c>
      <c r="AM66" t="s">
        <v>1227</v>
      </c>
      <c r="AO66" t="s">
        <v>794</v>
      </c>
      <c r="AP66" t="s">
        <v>1228</v>
      </c>
      <c r="AR66" s="31"/>
      <c r="AX66">
        <v>1</v>
      </c>
    </row>
    <row r="67" spans="1:50" x14ac:dyDescent="0.3">
      <c r="A67" t="s">
        <v>44</v>
      </c>
      <c r="B67">
        <v>202</v>
      </c>
      <c r="D67">
        <v>1665</v>
      </c>
      <c r="G67" t="s">
        <v>1229</v>
      </c>
      <c r="J67" t="s">
        <v>1230</v>
      </c>
      <c r="K67" t="s">
        <v>1036</v>
      </c>
      <c r="M67" t="s">
        <v>1037</v>
      </c>
      <c r="P67" t="s">
        <v>778</v>
      </c>
      <c r="W67" t="s">
        <v>780</v>
      </c>
      <c r="X67" t="s">
        <v>816</v>
      </c>
      <c r="Z67" s="31"/>
      <c r="AA67">
        <v>1600</v>
      </c>
      <c r="AB67">
        <v>1824</v>
      </c>
      <c r="AC67">
        <v>34</v>
      </c>
      <c r="AD67" t="s">
        <v>44</v>
      </c>
      <c r="AE67" s="31">
        <v>45687</v>
      </c>
      <c r="AF67" s="61">
        <v>0.41543981481481479</v>
      </c>
      <c r="AH67" t="s">
        <v>795</v>
      </c>
      <c r="AI67" s="31">
        <v>45721</v>
      </c>
      <c r="AJ67" s="61">
        <v>0.46659722222222222</v>
      </c>
      <c r="AK67" t="s">
        <v>796</v>
      </c>
      <c r="AL67" t="s">
        <v>1231</v>
      </c>
      <c r="AN67" t="s">
        <v>1039</v>
      </c>
      <c r="AR67" s="31"/>
      <c r="AX67">
        <v>1</v>
      </c>
    </row>
    <row r="68" spans="1:50" x14ac:dyDescent="0.3">
      <c r="A68" t="s">
        <v>44</v>
      </c>
      <c r="B68">
        <v>203</v>
      </c>
      <c r="D68">
        <v>1666</v>
      </c>
      <c r="G68" t="s">
        <v>1232</v>
      </c>
      <c r="J68" t="s">
        <v>1233</v>
      </c>
      <c r="K68" t="s">
        <v>1234</v>
      </c>
      <c r="M68" t="s">
        <v>1235</v>
      </c>
      <c r="P68" t="s">
        <v>778</v>
      </c>
      <c r="W68" t="s">
        <v>780</v>
      </c>
      <c r="X68" t="s">
        <v>857</v>
      </c>
      <c r="Z68" s="31"/>
      <c r="AC68">
        <v>22</v>
      </c>
      <c r="AD68" t="s">
        <v>44</v>
      </c>
      <c r="AE68" s="31">
        <v>45687</v>
      </c>
      <c r="AF68" s="61">
        <v>0.45832175925925928</v>
      </c>
      <c r="AH68" t="s">
        <v>795</v>
      </c>
      <c r="AI68" s="31">
        <v>45709</v>
      </c>
      <c r="AJ68" s="61">
        <v>0.50681712962962966</v>
      </c>
      <c r="AK68" t="s">
        <v>858</v>
      </c>
      <c r="AL68" t="s">
        <v>1236</v>
      </c>
      <c r="AP68" t="s">
        <v>1237</v>
      </c>
      <c r="AR68" s="31"/>
      <c r="AX68">
        <v>1</v>
      </c>
    </row>
    <row r="69" spans="1:50" x14ac:dyDescent="0.3">
      <c r="A69" t="s">
        <v>44</v>
      </c>
      <c r="B69">
        <v>204</v>
      </c>
      <c r="D69">
        <v>1669</v>
      </c>
      <c r="G69" t="s">
        <v>1238</v>
      </c>
      <c r="J69" t="s">
        <v>1239</v>
      </c>
      <c r="K69" t="s">
        <v>1240</v>
      </c>
      <c r="M69" t="s">
        <v>1241</v>
      </c>
      <c r="P69" t="s">
        <v>778</v>
      </c>
      <c r="W69" t="s">
        <v>780</v>
      </c>
      <c r="X69" t="s">
        <v>781</v>
      </c>
      <c r="Z69" s="31"/>
      <c r="AA69">
        <v>837998</v>
      </c>
      <c r="AB69">
        <v>516364</v>
      </c>
      <c r="AC69">
        <v>0</v>
      </c>
      <c r="AD69" t="s">
        <v>22</v>
      </c>
      <c r="AE69" s="31">
        <v>45689</v>
      </c>
      <c r="AF69" s="61">
        <v>7.4224537037037033E-2</v>
      </c>
      <c r="AH69" t="s">
        <v>818</v>
      </c>
      <c r="AI69" s="31">
        <v>45689</v>
      </c>
      <c r="AJ69" s="61">
        <v>0.14140046296296299</v>
      </c>
      <c r="AR69" s="31"/>
      <c r="AX69">
        <v>1</v>
      </c>
    </row>
    <row r="70" spans="1:50" x14ac:dyDescent="0.3">
      <c r="A70" t="s">
        <v>22</v>
      </c>
      <c r="B70">
        <v>205</v>
      </c>
      <c r="D70">
        <v>1670</v>
      </c>
      <c r="G70" t="s">
        <v>1242</v>
      </c>
      <c r="J70" t="s">
        <v>1243</v>
      </c>
      <c r="K70" t="s">
        <v>1244</v>
      </c>
      <c r="M70" t="s">
        <v>1245</v>
      </c>
      <c r="P70" t="s">
        <v>778</v>
      </c>
      <c r="W70" t="s">
        <v>780</v>
      </c>
      <c r="X70" t="s">
        <v>816</v>
      </c>
      <c r="Z70" s="31"/>
      <c r="AA70">
        <v>299984</v>
      </c>
      <c r="AB70">
        <v>0</v>
      </c>
      <c r="AC70">
        <v>0</v>
      </c>
      <c r="AD70" t="s">
        <v>22</v>
      </c>
      <c r="AE70" s="31">
        <v>45689</v>
      </c>
      <c r="AF70" s="61">
        <v>9.1087962962962968E-2</v>
      </c>
      <c r="AH70" t="s">
        <v>818</v>
      </c>
      <c r="AI70" s="31">
        <v>45689</v>
      </c>
      <c r="AJ70" s="61">
        <v>9.9201388888888895E-2</v>
      </c>
      <c r="AN70" t="s">
        <v>888</v>
      </c>
      <c r="AO70" t="s">
        <v>22</v>
      </c>
      <c r="AP70" t="s">
        <v>888</v>
      </c>
      <c r="AR70" s="31"/>
      <c r="AX70">
        <v>1</v>
      </c>
    </row>
    <row r="71" spans="1:50" x14ac:dyDescent="0.3">
      <c r="A71" t="s">
        <v>22</v>
      </c>
      <c r="B71">
        <v>206</v>
      </c>
      <c r="D71">
        <v>1671</v>
      </c>
      <c r="G71" t="s">
        <v>1246</v>
      </c>
      <c r="J71" t="s">
        <v>1247</v>
      </c>
      <c r="K71" t="s">
        <v>1248</v>
      </c>
      <c r="M71" t="s">
        <v>1249</v>
      </c>
      <c r="P71" t="s">
        <v>778</v>
      </c>
      <c r="W71" t="s">
        <v>780</v>
      </c>
      <c r="X71" t="s">
        <v>816</v>
      </c>
      <c r="Z71" s="31"/>
      <c r="AA71">
        <v>1936</v>
      </c>
      <c r="AB71">
        <v>0</v>
      </c>
      <c r="AC71">
        <v>0</v>
      </c>
      <c r="AD71" t="s">
        <v>22</v>
      </c>
      <c r="AE71" s="31">
        <v>45689</v>
      </c>
      <c r="AF71" s="61">
        <v>9.2152777777777778E-2</v>
      </c>
      <c r="AH71" t="s">
        <v>818</v>
      </c>
      <c r="AI71" s="31">
        <v>45689</v>
      </c>
      <c r="AJ71" s="61">
        <v>9.7048611111111113E-2</v>
      </c>
      <c r="AN71" t="s">
        <v>1250</v>
      </c>
      <c r="AO71" t="s">
        <v>22</v>
      </c>
      <c r="AP71" t="s">
        <v>1250</v>
      </c>
      <c r="AR71" s="31"/>
      <c r="AX71">
        <v>1</v>
      </c>
    </row>
    <row r="72" spans="1:50" x14ac:dyDescent="0.3">
      <c r="A72" t="s">
        <v>22</v>
      </c>
      <c r="B72">
        <v>207</v>
      </c>
      <c r="D72">
        <v>1672</v>
      </c>
      <c r="G72" t="s">
        <v>1251</v>
      </c>
      <c r="J72" t="s">
        <v>1252</v>
      </c>
      <c r="M72" t="s">
        <v>1253</v>
      </c>
      <c r="P72" t="s">
        <v>778</v>
      </c>
      <c r="W72" t="s">
        <v>780</v>
      </c>
      <c r="X72" t="s">
        <v>816</v>
      </c>
      <c r="Z72" s="31"/>
      <c r="AA72">
        <v>6160</v>
      </c>
      <c r="AB72">
        <v>0</v>
      </c>
      <c r="AC72">
        <v>0</v>
      </c>
      <c r="AD72" t="s">
        <v>22</v>
      </c>
      <c r="AE72" s="31">
        <v>45689</v>
      </c>
      <c r="AF72" s="61">
        <v>9.2499999999999999E-2</v>
      </c>
      <c r="AH72" t="s">
        <v>818</v>
      </c>
      <c r="AI72" s="31">
        <v>45689</v>
      </c>
      <c r="AJ72" s="61">
        <v>9.7812499999999997E-2</v>
      </c>
      <c r="AN72" t="s">
        <v>1254</v>
      </c>
      <c r="AO72" t="s">
        <v>22</v>
      </c>
      <c r="AP72" t="s">
        <v>1254</v>
      </c>
      <c r="AR72" s="31"/>
      <c r="AX72">
        <v>1</v>
      </c>
    </row>
    <row r="73" spans="1:50" x14ac:dyDescent="0.3">
      <c r="A73" t="s">
        <v>22</v>
      </c>
      <c r="B73">
        <v>208</v>
      </c>
      <c r="D73">
        <v>1673</v>
      </c>
      <c r="G73" t="s">
        <v>1255</v>
      </c>
      <c r="J73" t="s">
        <v>678</v>
      </c>
      <c r="M73" t="s">
        <v>1256</v>
      </c>
      <c r="P73" t="s">
        <v>778</v>
      </c>
      <c r="W73" t="s">
        <v>780</v>
      </c>
      <c r="X73" t="s">
        <v>816</v>
      </c>
      <c r="Z73" s="31"/>
      <c r="AA73">
        <v>486308</v>
      </c>
      <c r="AB73">
        <v>3564</v>
      </c>
      <c r="AC73">
        <v>0</v>
      </c>
      <c r="AD73" t="s">
        <v>22</v>
      </c>
      <c r="AE73" s="31">
        <v>45689</v>
      </c>
      <c r="AF73" s="61">
        <v>9.331018518518519E-2</v>
      </c>
      <c r="AH73" t="s">
        <v>818</v>
      </c>
      <c r="AI73" s="31">
        <v>45689</v>
      </c>
      <c r="AJ73" s="61">
        <v>9.6041666666666664E-2</v>
      </c>
      <c r="AN73" t="s">
        <v>1070</v>
      </c>
      <c r="AO73" t="s">
        <v>22</v>
      </c>
      <c r="AP73" t="s">
        <v>1070</v>
      </c>
      <c r="AR73" s="31"/>
      <c r="AX73">
        <v>1</v>
      </c>
    </row>
    <row r="74" spans="1:50" x14ac:dyDescent="0.3">
      <c r="A74" t="s">
        <v>44</v>
      </c>
      <c r="B74">
        <v>209</v>
      </c>
      <c r="D74">
        <v>1710</v>
      </c>
      <c r="G74" t="s">
        <v>1257</v>
      </c>
      <c r="J74" t="s">
        <v>1258</v>
      </c>
      <c r="K74" t="s">
        <v>1259</v>
      </c>
      <c r="M74" t="s">
        <v>1260</v>
      </c>
      <c r="P74" t="s">
        <v>778</v>
      </c>
      <c r="S74" t="s">
        <v>1068</v>
      </c>
      <c r="W74" t="s">
        <v>780</v>
      </c>
      <c r="X74" t="s">
        <v>857</v>
      </c>
      <c r="Y74" t="s">
        <v>817</v>
      </c>
      <c r="Z74" s="31"/>
      <c r="AC74">
        <v>68</v>
      </c>
      <c r="AD74" t="s">
        <v>44</v>
      </c>
      <c r="AE74" s="31">
        <v>45694</v>
      </c>
      <c r="AF74" s="61">
        <v>0.4337152777777778</v>
      </c>
      <c r="AH74" t="s">
        <v>795</v>
      </c>
      <c r="AI74" s="31">
        <v>45762</v>
      </c>
      <c r="AJ74" s="61">
        <v>0.69322916666666667</v>
      </c>
      <c r="AK74" t="s">
        <v>796</v>
      </c>
      <c r="AL74" t="s">
        <v>1261</v>
      </c>
      <c r="AP74" t="s">
        <v>1262</v>
      </c>
      <c r="AR74" s="31"/>
      <c r="AX74">
        <v>1</v>
      </c>
    </row>
    <row r="75" spans="1:50" x14ac:dyDescent="0.3">
      <c r="A75" t="s">
        <v>44</v>
      </c>
      <c r="B75">
        <v>210</v>
      </c>
      <c r="D75">
        <v>1711</v>
      </c>
      <c r="G75" t="s">
        <v>1263</v>
      </c>
      <c r="H75">
        <v>12792269000137</v>
      </c>
      <c r="J75" t="s">
        <v>624</v>
      </c>
      <c r="K75" t="s">
        <v>1264</v>
      </c>
      <c r="M75" t="s">
        <v>1265</v>
      </c>
      <c r="P75" t="s">
        <v>778</v>
      </c>
      <c r="V75" t="s">
        <v>1266</v>
      </c>
      <c r="W75" t="s">
        <v>780</v>
      </c>
      <c r="X75" t="s">
        <v>816</v>
      </c>
      <c r="Y75" t="s">
        <v>995</v>
      </c>
      <c r="Z75" s="31"/>
      <c r="AA75">
        <v>65920</v>
      </c>
      <c r="AB75">
        <v>481924</v>
      </c>
      <c r="AC75">
        <v>25</v>
      </c>
      <c r="AD75" t="s">
        <v>44</v>
      </c>
      <c r="AE75" s="31">
        <v>45694</v>
      </c>
      <c r="AF75" s="61">
        <v>0.45374999999999999</v>
      </c>
      <c r="AH75" t="s">
        <v>818</v>
      </c>
      <c r="AI75" s="31">
        <v>45719</v>
      </c>
      <c r="AJ75" s="61">
        <v>0.4811111111111111</v>
      </c>
      <c r="AN75" t="s">
        <v>1262</v>
      </c>
      <c r="AP75" t="s">
        <v>1262</v>
      </c>
      <c r="AQ75" t="s">
        <v>1267</v>
      </c>
      <c r="AR75" s="31"/>
      <c r="AX75">
        <v>1</v>
      </c>
    </row>
    <row r="76" spans="1:50" x14ac:dyDescent="0.3">
      <c r="A76" t="s">
        <v>44</v>
      </c>
      <c r="B76">
        <v>211</v>
      </c>
      <c r="D76">
        <v>1712</v>
      </c>
      <c r="G76" t="s">
        <v>1268</v>
      </c>
      <c r="J76" t="s">
        <v>1269</v>
      </c>
      <c r="K76" t="s">
        <v>1264</v>
      </c>
      <c r="M76" t="s">
        <v>1265</v>
      </c>
      <c r="P76" t="s">
        <v>778</v>
      </c>
      <c r="V76" t="s">
        <v>1266</v>
      </c>
      <c r="W76" t="s">
        <v>780</v>
      </c>
      <c r="X76" t="s">
        <v>816</v>
      </c>
      <c r="Z76" s="31"/>
      <c r="AA76">
        <v>1600</v>
      </c>
      <c r="AB76">
        <v>25908</v>
      </c>
      <c r="AC76">
        <v>14</v>
      </c>
      <c r="AD76" t="s">
        <v>44</v>
      </c>
      <c r="AE76" s="31">
        <v>45694</v>
      </c>
      <c r="AF76" s="61">
        <v>0.48604166666666659</v>
      </c>
      <c r="AH76" t="s">
        <v>795</v>
      </c>
      <c r="AI76" s="31">
        <v>45708</v>
      </c>
      <c r="AJ76" s="61">
        <v>0.66526620370370371</v>
      </c>
      <c r="AK76" t="s">
        <v>858</v>
      </c>
      <c r="AL76" t="s">
        <v>1270</v>
      </c>
      <c r="AN76" t="s">
        <v>1262</v>
      </c>
      <c r="AP76" t="s">
        <v>1262</v>
      </c>
      <c r="AQ76" t="s">
        <v>1267</v>
      </c>
      <c r="AR76" s="31"/>
      <c r="AX76">
        <v>1</v>
      </c>
    </row>
    <row r="77" spans="1:50" x14ac:dyDescent="0.3">
      <c r="A77" t="s">
        <v>44</v>
      </c>
      <c r="B77">
        <v>212</v>
      </c>
      <c r="D77">
        <v>1713</v>
      </c>
      <c r="G77" t="s">
        <v>1271</v>
      </c>
      <c r="J77" t="s">
        <v>1272</v>
      </c>
      <c r="K77" t="s">
        <v>1273</v>
      </c>
      <c r="M77" t="s">
        <v>1274</v>
      </c>
      <c r="P77" t="s">
        <v>778</v>
      </c>
      <c r="S77" t="s">
        <v>1068</v>
      </c>
      <c r="W77" t="s">
        <v>780</v>
      </c>
      <c r="X77" t="s">
        <v>857</v>
      </c>
      <c r="Y77" t="s">
        <v>817</v>
      </c>
      <c r="Z77" s="31"/>
      <c r="AC77">
        <v>60</v>
      </c>
      <c r="AD77" t="s">
        <v>44</v>
      </c>
      <c r="AE77" s="31">
        <v>45694</v>
      </c>
      <c r="AF77" s="61">
        <v>0.5163078703703704</v>
      </c>
      <c r="AH77" t="s">
        <v>795</v>
      </c>
      <c r="AI77" s="31">
        <v>45754</v>
      </c>
      <c r="AJ77" s="61">
        <v>0.4931828703703704</v>
      </c>
      <c r="AK77" t="s">
        <v>796</v>
      </c>
      <c r="AL77" t="s">
        <v>1275</v>
      </c>
      <c r="AP77" t="s">
        <v>1262</v>
      </c>
      <c r="AR77" s="31"/>
      <c r="AX77">
        <v>1</v>
      </c>
    </row>
    <row r="78" spans="1:50" x14ac:dyDescent="0.3">
      <c r="A78" t="s">
        <v>44</v>
      </c>
      <c r="B78">
        <v>213</v>
      </c>
      <c r="D78">
        <v>1714</v>
      </c>
      <c r="G78" t="s">
        <v>1276</v>
      </c>
      <c r="J78" t="s">
        <v>1277</v>
      </c>
      <c r="K78" t="s">
        <v>1278</v>
      </c>
      <c r="M78" t="s">
        <v>1279</v>
      </c>
      <c r="P78" t="s">
        <v>778</v>
      </c>
      <c r="W78" t="s">
        <v>780</v>
      </c>
      <c r="X78" t="s">
        <v>897</v>
      </c>
      <c r="Z78" s="31"/>
      <c r="AA78">
        <v>14400</v>
      </c>
      <c r="AB78">
        <v>18034</v>
      </c>
      <c r="AC78">
        <v>43</v>
      </c>
      <c r="AD78" t="s">
        <v>44</v>
      </c>
      <c r="AE78" s="31">
        <v>45694</v>
      </c>
      <c r="AF78" s="61">
        <v>0.52555555555555555</v>
      </c>
      <c r="AH78" t="s">
        <v>795</v>
      </c>
      <c r="AI78" s="31">
        <v>45737</v>
      </c>
      <c r="AJ78" s="61">
        <v>0.60868055555555556</v>
      </c>
      <c r="AK78" t="s">
        <v>858</v>
      </c>
      <c r="AL78" t="s">
        <v>1280</v>
      </c>
      <c r="AN78" t="s">
        <v>1281</v>
      </c>
      <c r="AP78" t="s">
        <v>1262</v>
      </c>
      <c r="AR78" s="31"/>
      <c r="AX78">
        <v>1</v>
      </c>
    </row>
    <row r="79" spans="1:50" x14ac:dyDescent="0.3">
      <c r="A79" t="s">
        <v>22</v>
      </c>
      <c r="B79">
        <v>214</v>
      </c>
      <c r="D79">
        <v>1661</v>
      </c>
      <c r="G79" t="s">
        <v>1282</v>
      </c>
      <c r="J79" t="s">
        <v>914</v>
      </c>
      <c r="K79" t="s">
        <v>1283</v>
      </c>
      <c r="M79" t="s">
        <v>1284</v>
      </c>
      <c r="P79" t="s">
        <v>778</v>
      </c>
      <c r="Q79" t="s">
        <v>1285</v>
      </c>
      <c r="S79" t="s">
        <v>814</v>
      </c>
      <c r="W79" t="s">
        <v>780</v>
      </c>
      <c r="X79" t="s">
        <v>807</v>
      </c>
      <c r="Z79" s="31"/>
      <c r="AC79">
        <v>0</v>
      </c>
      <c r="AD79" t="s">
        <v>22</v>
      </c>
      <c r="AE79" s="31">
        <v>45694</v>
      </c>
      <c r="AF79" s="61">
        <v>0.57986111111111116</v>
      </c>
      <c r="AH79" t="s">
        <v>795</v>
      </c>
      <c r="AI79" s="31">
        <v>45694</v>
      </c>
      <c r="AJ79" s="61">
        <v>0.72984953703703703</v>
      </c>
      <c r="AK79" t="s">
        <v>867</v>
      </c>
      <c r="AN79" t="s">
        <v>1286</v>
      </c>
      <c r="AP79" t="s">
        <v>1286</v>
      </c>
      <c r="AR79" s="31"/>
      <c r="AX79">
        <v>1</v>
      </c>
    </row>
    <row r="80" spans="1:50" x14ac:dyDescent="0.3">
      <c r="A80" t="s">
        <v>22</v>
      </c>
      <c r="B80">
        <v>215</v>
      </c>
      <c r="D80">
        <v>1715</v>
      </c>
      <c r="G80" t="s">
        <v>1287</v>
      </c>
      <c r="J80" t="s">
        <v>1288</v>
      </c>
      <c r="K80" t="s">
        <v>1289</v>
      </c>
      <c r="M80" t="s">
        <v>1290</v>
      </c>
      <c r="P80" t="s">
        <v>778</v>
      </c>
      <c r="S80" t="s">
        <v>814</v>
      </c>
      <c r="V80" t="s">
        <v>1291</v>
      </c>
      <c r="W80" t="s">
        <v>780</v>
      </c>
      <c r="X80" t="s">
        <v>807</v>
      </c>
      <c r="Z80" s="31"/>
      <c r="AA80">
        <v>43740</v>
      </c>
      <c r="AB80">
        <v>158239</v>
      </c>
      <c r="AC80">
        <v>13</v>
      </c>
      <c r="AD80" t="s">
        <v>22</v>
      </c>
      <c r="AE80" s="31">
        <v>45694</v>
      </c>
      <c r="AF80" s="61">
        <v>0.58037037037037043</v>
      </c>
      <c r="AH80" t="s">
        <v>795</v>
      </c>
      <c r="AI80" s="31">
        <v>45707</v>
      </c>
      <c r="AJ80" s="61">
        <v>0.38752314814814809</v>
      </c>
      <c r="AK80" t="s">
        <v>867</v>
      </c>
      <c r="AN80" t="s">
        <v>1292</v>
      </c>
      <c r="AP80" t="s">
        <v>1293</v>
      </c>
      <c r="AR80" s="31"/>
      <c r="AX80">
        <v>1</v>
      </c>
    </row>
    <row r="81" spans="1:50" x14ac:dyDescent="0.3">
      <c r="A81" t="s">
        <v>22</v>
      </c>
      <c r="B81">
        <v>219</v>
      </c>
      <c r="D81">
        <v>1720</v>
      </c>
      <c r="G81" t="s">
        <v>1294</v>
      </c>
      <c r="J81" t="s">
        <v>1295</v>
      </c>
      <c r="K81" t="s">
        <v>1296</v>
      </c>
      <c r="M81" t="s">
        <v>1297</v>
      </c>
      <c r="P81" t="s">
        <v>778</v>
      </c>
      <c r="W81" t="s">
        <v>780</v>
      </c>
      <c r="X81" t="s">
        <v>816</v>
      </c>
      <c r="Z81" s="31"/>
      <c r="AA81">
        <v>14400</v>
      </c>
      <c r="AB81">
        <v>122984</v>
      </c>
      <c r="AC81">
        <v>8</v>
      </c>
      <c r="AD81" t="s">
        <v>22</v>
      </c>
      <c r="AE81" s="31">
        <v>45694</v>
      </c>
      <c r="AF81" s="61">
        <v>0.73803240740740739</v>
      </c>
      <c r="AH81" t="s">
        <v>818</v>
      </c>
      <c r="AI81" s="31">
        <v>45702</v>
      </c>
      <c r="AJ81" s="61">
        <v>0.46967592592592589</v>
      </c>
      <c r="AN81" t="s">
        <v>1293</v>
      </c>
      <c r="AO81" t="s">
        <v>22</v>
      </c>
      <c r="AP81" t="s">
        <v>1293</v>
      </c>
      <c r="AR81" s="31"/>
      <c r="AX81">
        <v>1</v>
      </c>
    </row>
    <row r="82" spans="1:50" x14ac:dyDescent="0.3">
      <c r="A82" t="s">
        <v>44</v>
      </c>
      <c r="B82">
        <v>230</v>
      </c>
      <c r="D82">
        <v>1734</v>
      </c>
      <c r="G82" t="s">
        <v>1298</v>
      </c>
      <c r="J82" t="s">
        <v>1299</v>
      </c>
      <c r="K82" t="s">
        <v>1300</v>
      </c>
      <c r="M82" t="s">
        <v>1301</v>
      </c>
      <c r="P82" t="s">
        <v>778</v>
      </c>
      <c r="S82" t="s">
        <v>1068</v>
      </c>
      <c r="V82" t="s">
        <v>1302</v>
      </c>
      <c r="W82" t="s">
        <v>780</v>
      </c>
      <c r="X82" t="s">
        <v>816</v>
      </c>
      <c r="Y82" t="s">
        <v>817</v>
      </c>
      <c r="Z82" s="31"/>
      <c r="AA82">
        <v>56000</v>
      </c>
      <c r="AB82">
        <v>2101739</v>
      </c>
      <c r="AC82">
        <v>161</v>
      </c>
      <c r="AD82" t="s">
        <v>44</v>
      </c>
      <c r="AE82" s="31">
        <v>45698</v>
      </c>
      <c r="AF82" s="61">
        <v>0.32956018518518521</v>
      </c>
      <c r="AH82" t="s">
        <v>795</v>
      </c>
      <c r="AI82" s="31">
        <v>45859</v>
      </c>
      <c r="AJ82" s="61">
        <v>0.40759259259259262</v>
      </c>
      <c r="AK82" t="s">
        <v>796</v>
      </c>
      <c r="AL82" t="s">
        <v>1303</v>
      </c>
      <c r="AN82" t="s">
        <v>1304</v>
      </c>
      <c r="AP82" t="s">
        <v>1305</v>
      </c>
      <c r="AR82" s="31"/>
      <c r="AX82">
        <v>1</v>
      </c>
    </row>
    <row r="83" spans="1:50" x14ac:dyDescent="0.3">
      <c r="A83" t="s">
        <v>22</v>
      </c>
      <c r="B83">
        <v>231</v>
      </c>
      <c r="D83">
        <v>1733</v>
      </c>
      <c r="E83" t="s">
        <v>1306</v>
      </c>
      <c r="F83" t="s">
        <v>1307</v>
      </c>
      <c r="G83" t="s">
        <v>1308</v>
      </c>
      <c r="H83">
        <v>14936505000258</v>
      </c>
      <c r="J83" t="s">
        <v>1309</v>
      </c>
      <c r="K83" t="s">
        <v>1310</v>
      </c>
      <c r="M83" t="s">
        <v>1311</v>
      </c>
      <c r="P83" t="s">
        <v>778</v>
      </c>
      <c r="Q83" t="s">
        <v>1312</v>
      </c>
      <c r="R83" t="s">
        <v>790</v>
      </c>
      <c r="S83" t="s">
        <v>1068</v>
      </c>
      <c r="V83" t="s">
        <v>1068</v>
      </c>
      <c r="W83" t="s">
        <v>780</v>
      </c>
      <c r="X83" t="s">
        <v>897</v>
      </c>
      <c r="Z83" s="31"/>
      <c r="AC83">
        <v>38</v>
      </c>
      <c r="AD83" t="s">
        <v>794</v>
      </c>
      <c r="AE83" s="31">
        <v>45699</v>
      </c>
      <c r="AF83" s="61">
        <v>0.65057870370370374</v>
      </c>
      <c r="AH83" t="s">
        <v>795</v>
      </c>
      <c r="AI83" s="31">
        <v>45737</v>
      </c>
      <c r="AJ83" s="61">
        <v>0.63589120370370367</v>
      </c>
      <c r="AK83" t="s">
        <v>1226</v>
      </c>
      <c r="AL83" t="s">
        <v>1313</v>
      </c>
      <c r="AM83" t="s">
        <v>1314</v>
      </c>
      <c r="AO83" t="s">
        <v>794</v>
      </c>
      <c r="AP83" t="s">
        <v>1315</v>
      </c>
      <c r="AR83" s="31"/>
      <c r="AX83">
        <v>1</v>
      </c>
    </row>
    <row r="84" spans="1:50" x14ac:dyDescent="0.3">
      <c r="A84" t="s">
        <v>22</v>
      </c>
      <c r="B84">
        <v>232</v>
      </c>
      <c r="D84">
        <v>1704</v>
      </c>
      <c r="G84" t="s">
        <v>1316</v>
      </c>
      <c r="H84">
        <v>29432229000187</v>
      </c>
      <c r="J84" t="s">
        <v>1317</v>
      </c>
      <c r="K84" t="s">
        <v>1318</v>
      </c>
      <c r="M84" t="s">
        <v>1319</v>
      </c>
      <c r="P84" t="s">
        <v>778</v>
      </c>
      <c r="S84" t="s">
        <v>805</v>
      </c>
      <c r="V84" t="s">
        <v>1320</v>
      </c>
      <c r="W84" t="s">
        <v>780</v>
      </c>
      <c r="X84" t="s">
        <v>897</v>
      </c>
      <c r="Z84" s="31"/>
      <c r="AC84">
        <v>42</v>
      </c>
      <c r="AD84" t="s">
        <v>794</v>
      </c>
      <c r="AE84" s="31">
        <v>45700</v>
      </c>
      <c r="AF84" s="61">
        <v>0.45228009259259261</v>
      </c>
      <c r="AH84" t="s">
        <v>795</v>
      </c>
      <c r="AI84" s="31">
        <v>45742</v>
      </c>
      <c r="AJ84" s="61">
        <v>0.73261574074074076</v>
      </c>
      <c r="AK84" t="s">
        <v>867</v>
      </c>
      <c r="AM84" t="s">
        <v>1321</v>
      </c>
      <c r="AO84" t="s">
        <v>794</v>
      </c>
      <c r="AP84" t="s">
        <v>1322</v>
      </c>
      <c r="AR84" s="31"/>
      <c r="AX84">
        <v>1</v>
      </c>
    </row>
    <row r="85" spans="1:50" x14ac:dyDescent="0.3">
      <c r="A85" t="s">
        <v>44</v>
      </c>
      <c r="B85">
        <v>233</v>
      </c>
      <c r="D85">
        <v>1747</v>
      </c>
      <c r="G85" t="s">
        <v>1323</v>
      </c>
      <c r="J85" t="s">
        <v>1324</v>
      </c>
      <c r="K85" t="s">
        <v>1325</v>
      </c>
      <c r="M85" t="s">
        <v>1326</v>
      </c>
      <c r="P85" t="s">
        <v>778</v>
      </c>
      <c r="V85" t="s">
        <v>1327</v>
      </c>
      <c r="W85" t="s">
        <v>780</v>
      </c>
      <c r="X85" t="s">
        <v>816</v>
      </c>
      <c r="Z85" s="31"/>
      <c r="AA85">
        <v>60534</v>
      </c>
      <c r="AB85">
        <v>27562</v>
      </c>
      <c r="AC85">
        <v>18</v>
      </c>
      <c r="AD85" t="s">
        <v>44</v>
      </c>
      <c r="AE85" s="31">
        <v>45701</v>
      </c>
      <c r="AF85" s="61">
        <v>0.4293865740740741</v>
      </c>
      <c r="AH85" t="s">
        <v>818</v>
      </c>
      <c r="AI85" s="31">
        <v>45719</v>
      </c>
      <c r="AJ85" s="61">
        <v>0.4816435185185185</v>
      </c>
      <c r="AN85" t="s">
        <v>1328</v>
      </c>
      <c r="AP85" t="s">
        <v>1305</v>
      </c>
      <c r="AR85" s="31"/>
      <c r="AX85">
        <v>1</v>
      </c>
    </row>
    <row r="86" spans="1:50" x14ac:dyDescent="0.3">
      <c r="A86" t="s">
        <v>44</v>
      </c>
      <c r="B86">
        <v>234</v>
      </c>
      <c r="D86">
        <v>1748</v>
      </c>
      <c r="G86" t="s">
        <v>1329</v>
      </c>
      <c r="H86">
        <v>26981837000152</v>
      </c>
      <c r="J86" t="s">
        <v>1330</v>
      </c>
      <c r="K86" t="s">
        <v>1331</v>
      </c>
      <c r="M86" t="s">
        <v>1332</v>
      </c>
      <c r="P86" t="s">
        <v>778</v>
      </c>
      <c r="Q86" t="s">
        <v>1333</v>
      </c>
      <c r="R86" t="s">
        <v>1334</v>
      </c>
      <c r="V86" t="s">
        <v>1327</v>
      </c>
      <c r="W86" t="s">
        <v>780</v>
      </c>
      <c r="X86" t="s">
        <v>793</v>
      </c>
      <c r="Z86" s="31"/>
      <c r="AA86">
        <v>40440</v>
      </c>
      <c r="AB86">
        <v>340574</v>
      </c>
      <c r="AC86">
        <v>11</v>
      </c>
      <c r="AD86" t="s">
        <v>44</v>
      </c>
      <c r="AE86" s="31">
        <v>45701</v>
      </c>
      <c r="AF86" s="61">
        <v>0.45105324074074082</v>
      </c>
      <c r="AH86" t="s">
        <v>795</v>
      </c>
      <c r="AI86" s="31">
        <v>45712</v>
      </c>
      <c r="AJ86" s="61">
        <v>0.69750000000000001</v>
      </c>
      <c r="AK86" t="s">
        <v>867</v>
      </c>
      <c r="AL86" t="s">
        <v>1335</v>
      </c>
      <c r="AN86" t="s">
        <v>1328</v>
      </c>
      <c r="AP86" t="s">
        <v>1336</v>
      </c>
      <c r="AR86" s="31"/>
      <c r="AX86">
        <v>1</v>
      </c>
    </row>
    <row r="87" spans="1:50" x14ac:dyDescent="0.3">
      <c r="A87" t="s">
        <v>44</v>
      </c>
      <c r="B87">
        <v>235</v>
      </c>
      <c r="D87">
        <v>1750</v>
      </c>
      <c r="G87" t="s">
        <v>1337</v>
      </c>
      <c r="H87">
        <v>43530585000164</v>
      </c>
      <c r="J87" t="s">
        <v>1338</v>
      </c>
      <c r="K87" t="s">
        <v>1339</v>
      </c>
      <c r="M87" t="s">
        <v>1340</v>
      </c>
      <c r="P87" t="s">
        <v>778</v>
      </c>
      <c r="Q87" t="s">
        <v>1341</v>
      </c>
      <c r="R87" t="s">
        <v>932</v>
      </c>
      <c r="V87" t="s">
        <v>1327</v>
      </c>
      <c r="W87" t="s">
        <v>780</v>
      </c>
      <c r="X87" t="s">
        <v>793</v>
      </c>
      <c r="Z87" s="31"/>
      <c r="AA87">
        <v>4663152</v>
      </c>
      <c r="AB87">
        <v>15528</v>
      </c>
      <c r="AC87">
        <v>11</v>
      </c>
      <c r="AD87" t="s">
        <v>44</v>
      </c>
      <c r="AE87" s="31">
        <v>45701</v>
      </c>
      <c r="AF87" s="61">
        <v>0.46368055555555548</v>
      </c>
      <c r="AH87" t="s">
        <v>795</v>
      </c>
      <c r="AI87" s="31">
        <v>45712</v>
      </c>
      <c r="AJ87" s="61">
        <v>0.71800925925925929</v>
      </c>
      <c r="AK87" t="s">
        <v>867</v>
      </c>
      <c r="AL87" t="s">
        <v>1342</v>
      </c>
      <c r="AN87" t="s">
        <v>1343</v>
      </c>
      <c r="AP87" t="s">
        <v>1336</v>
      </c>
      <c r="AR87" s="31"/>
      <c r="AX87">
        <v>1</v>
      </c>
    </row>
    <row r="88" spans="1:50" x14ac:dyDescent="0.3">
      <c r="A88" t="s">
        <v>44</v>
      </c>
      <c r="B88">
        <v>236</v>
      </c>
      <c r="D88">
        <v>1754</v>
      </c>
      <c r="G88" t="s">
        <v>1344</v>
      </c>
      <c r="H88">
        <v>43530585000164</v>
      </c>
      <c r="J88" t="s">
        <v>1345</v>
      </c>
      <c r="K88" t="s">
        <v>1339</v>
      </c>
      <c r="M88" t="s">
        <v>1340</v>
      </c>
      <c r="P88" t="s">
        <v>778</v>
      </c>
      <c r="Q88" t="s">
        <v>1341</v>
      </c>
      <c r="R88" t="s">
        <v>932</v>
      </c>
      <c r="V88" t="s">
        <v>1327</v>
      </c>
      <c r="W88" t="s">
        <v>780</v>
      </c>
      <c r="X88" t="s">
        <v>793</v>
      </c>
      <c r="Z88" s="31"/>
      <c r="AA88">
        <v>23580</v>
      </c>
      <c r="AB88">
        <v>3060</v>
      </c>
      <c r="AC88">
        <v>11</v>
      </c>
      <c r="AD88" t="s">
        <v>44</v>
      </c>
      <c r="AE88" s="31">
        <v>45701</v>
      </c>
      <c r="AF88" s="61">
        <v>0.46849537037037042</v>
      </c>
      <c r="AH88" t="s">
        <v>795</v>
      </c>
      <c r="AI88" s="31">
        <v>45712</v>
      </c>
      <c r="AJ88" s="61">
        <v>0.71834490740740742</v>
      </c>
      <c r="AK88" t="s">
        <v>867</v>
      </c>
      <c r="AL88" t="s">
        <v>1342</v>
      </c>
      <c r="AN88" t="s">
        <v>1343</v>
      </c>
      <c r="AP88" t="s">
        <v>1336</v>
      </c>
      <c r="AR88" s="31"/>
      <c r="AX88">
        <v>1</v>
      </c>
    </row>
    <row r="89" spans="1:50" x14ac:dyDescent="0.3">
      <c r="A89" t="s">
        <v>44</v>
      </c>
      <c r="B89">
        <v>237</v>
      </c>
      <c r="D89">
        <v>1758</v>
      </c>
      <c r="G89" t="s">
        <v>1346</v>
      </c>
      <c r="H89">
        <v>12182313000197</v>
      </c>
      <c r="J89" t="s">
        <v>1347</v>
      </c>
      <c r="K89" t="s">
        <v>1348</v>
      </c>
      <c r="M89" t="s">
        <v>1349</v>
      </c>
      <c r="P89" t="s">
        <v>778</v>
      </c>
      <c r="Q89" t="s">
        <v>1350</v>
      </c>
      <c r="R89" t="s">
        <v>874</v>
      </c>
      <c r="S89" t="s">
        <v>1068</v>
      </c>
      <c r="V89" t="s">
        <v>1327</v>
      </c>
      <c r="W89" t="s">
        <v>780</v>
      </c>
      <c r="X89" t="s">
        <v>793</v>
      </c>
      <c r="Y89" t="s">
        <v>817</v>
      </c>
      <c r="Z89" s="31"/>
      <c r="AA89">
        <v>85500</v>
      </c>
      <c r="AB89">
        <v>769354</v>
      </c>
      <c r="AC89">
        <v>62</v>
      </c>
      <c r="AD89" t="s">
        <v>44</v>
      </c>
      <c r="AE89" s="31">
        <v>45701</v>
      </c>
      <c r="AF89" s="61">
        <v>0.47734953703703698</v>
      </c>
      <c r="AH89" t="s">
        <v>795</v>
      </c>
      <c r="AI89" s="31">
        <v>45763</v>
      </c>
      <c r="AJ89" s="61">
        <v>0.39438657407407413</v>
      </c>
      <c r="AK89" t="s">
        <v>796</v>
      </c>
      <c r="AL89" t="s">
        <v>1351</v>
      </c>
      <c r="AN89" t="s">
        <v>1352</v>
      </c>
      <c r="AP89" t="s">
        <v>1305</v>
      </c>
      <c r="AR89" s="31"/>
      <c r="AX89">
        <v>1</v>
      </c>
    </row>
    <row r="90" spans="1:50" x14ac:dyDescent="0.3">
      <c r="A90" t="s">
        <v>22</v>
      </c>
      <c r="B90">
        <v>242</v>
      </c>
      <c r="D90">
        <v>1746</v>
      </c>
      <c r="G90" t="s">
        <v>1353</v>
      </c>
      <c r="H90">
        <v>865166000170</v>
      </c>
      <c r="J90" t="s">
        <v>1354</v>
      </c>
      <c r="K90" t="s">
        <v>1355</v>
      </c>
      <c r="M90" t="s">
        <v>1356</v>
      </c>
      <c r="P90" t="s">
        <v>778</v>
      </c>
      <c r="Q90" t="s">
        <v>1104</v>
      </c>
      <c r="S90" t="s">
        <v>814</v>
      </c>
      <c r="V90" t="s">
        <v>1357</v>
      </c>
      <c r="W90" t="s">
        <v>780</v>
      </c>
      <c r="X90" t="s">
        <v>807</v>
      </c>
      <c r="Z90" s="31"/>
      <c r="AC90">
        <v>25</v>
      </c>
      <c r="AD90" t="s">
        <v>22</v>
      </c>
      <c r="AE90" s="31">
        <v>45701</v>
      </c>
      <c r="AF90" s="61">
        <v>0.73598379629629629</v>
      </c>
      <c r="AH90" t="s">
        <v>795</v>
      </c>
      <c r="AI90" s="31">
        <v>45726</v>
      </c>
      <c r="AJ90" s="61">
        <v>0.73435185185185181</v>
      </c>
      <c r="AK90" t="s">
        <v>1358</v>
      </c>
      <c r="AO90" t="s">
        <v>22</v>
      </c>
      <c r="AP90" t="s">
        <v>1359</v>
      </c>
      <c r="AR90" s="31"/>
      <c r="AX90">
        <v>1</v>
      </c>
    </row>
    <row r="91" spans="1:50" x14ac:dyDescent="0.3">
      <c r="A91" t="s">
        <v>22</v>
      </c>
      <c r="B91">
        <v>245</v>
      </c>
      <c r="D91">
        <v>1763</v>
      </c>
      <c r="G91" t="s">
        <v>1360</v>
      </c>
      <c r="H91">
        <v>30164963000191</v>
      </c>
      <c r="J91" t="s">
        <v>1361</v>
      </c>
      <c r="K91" t="s">
        <v>1362</v>
      </c>
      <c r="M91" t="s">
        <v>1363</v>
      </c>
      <c r="P91" t="s">
        <v>778</v>
      </c>
      <c r="Q91" t="s">
        <v>923</v>
      </c>
      <c r="S91" t="s">
        <v>814</v>
      </c>
      <c r="V91" t="s">
        <v>1291</v>
      </c>
      <c r="W91" t="s">
        <v>780</v>
      </c>
      <c r="X91" t="s">
        <v>816</v>
      </c>
      <c r="Z91" s="31"/>
      <c r="AA91">
        <v>46332</v>
      </c>
      <c r="AB91">
        <v>257546</v>
      </c>
      <c r="AC91">
        <v>35</v>
      </c>
      <c r="AD91" t="s">
        <v>22</v>
      </c>
      <c r="AE91" s="31">
        <v>45702</v>
      </c>
      <c r="AF91" s="61">
        <v>0.46055555555555561</v>
      </c>
      <c r="AH91" t="s">
        <v>818</v>
      </c>
      <c r="AI91" s="31">
        <v>45737</v>
      </c>
      <c r="AJ91" s="61">
        <v>0.61858796296296292</v>
      </c>
      <c r="AN91" t="s">
        <v>1364</v>
      </c>
      <c r="AO91" t="s">
        <v>22</v>
      </c>
      <c r="AP91" t="s">
        <v>1359</v>
      </c>
      <c r="AR91" s="31"/>
      <c r="AX91">
        <v>1</v>
      </c>
    </row>
    <row r="92" spans="1:50" x14ac:dyDescent="0.3">
      <c r="A92" t="s">
        <v>22</v>
      </c>
      <c r="B92">
        <v>246</v>
      </c>
      <c r="D92">
        <v>1768</v>
      </c>
      <c r="G92" t="s">
        <v>1365</v>
      </c>
      <c r="J92" t="s">
        <v>1366</v>
      </c>
      <c r="K92" t="s">
        <v>1296</v>
      </c>
      <c r="M92" t="s">
        <v>1297</v>
      </c>
      <c r="P92" t="s">
        <v>778</v>
      </c>
      <c r="W92" t="s">
        <v>780</v>
      </c>
      <c r="X92" t="s">
        <v>816</v>
      </c>
      <c r="Z92" s="31"/>
      <c r="AA92">
        <v>0</v>
      </c>
      <c r="AB92">
        <v>3062</v>
      </c>
      <c r="AC92">
        <v>0</v>
      </c>
      <c r="AD92" t="s">
        <v>22</v>
      </c>
      <c r="AE92" s="31">
        <v>45702</v>
      </c>
      <c r="AF92" s="61">
        <v>0.4742939814814815</v>
      </c>
      <c r="AH92" t="s">
        <v>818</v>
      </c>
      <c r="AI92" s="31">
        <v>45702</v>
      </c>
      <c r="AJ92" s="61">
        <v>0.47730324074074082</v>
      </c>
      <c r="AN92" t="s">
        <v>1328</v>
      </c>
      <c r="AO92" t="s">
        <v>22</v>
      </c>
      <c r="AP92" t="s">
        <v>1328</v>
      </c>
      <c r="AR92" s="31"/>
      <c r="AX92">
        <v>1</v>
      </c>
    </row>
    <row r="93" spans="1:50" x14ac:dyDescent="0.3">
      <c r="A93" t="s">
        <v>22</v>
      </c>
      <c r="B93">
        <v>248</v>
      </c>
      <c r="D93">
        <v>1770</v>
      </c>
      <c r="G93" t="s">
        <v>1367</v>
      </c>
      <c r="J93" t="s">
        <v>1368</v>
      </c>
      <c r="K93" t="s">
        <v>1369</v>
      </c>
      <c r="M93" t="s">
        <v>1370</v>
      </c>
      <c r="P93" t="s">
        <v>778</v>
      </c>
      <c r="S93" t="s">
        <v>1068</v>
      </c>
      <c r="V93" t="s">
        <v>1327</v>
      </c>
      <c r="W93" t="s">
        <v>780</v>
      </c>
      <c r="X93" t="s">
        <v>807</v>
      </c>
      <c r="Y93" t="s">
        <v>817</v>
      </c>
      <c r="Z93" s="31"/>
      <c r="AA93">
        <v>64600</v>
      </c>
      <c r="AB93">
        <v>199064</v>
      </c>
      <c r="AC93">
        <v>53</v>
      </c>
      <c r="AD93" t="s">
        <v>22</v>
      </c>
      <c r="AE93" s="31">
        <v>45702</v>
      </c>
      <c r="AF93" s="61">
        <v>0.67921296296296296</v>
      </c>
      <c r="AH93" t="s">
        <v>795</v>
      </c>
      <c r="AI93" s="31">
        <v>45755</v>
      </c>
      <c r="AJ93" s="61">
        <v>0.37805555555555548</v>
      </c>
      <c r="AK93" t="s">
        <v>858</v>
      </c>
      <c r="AN93" t="s">
        <v>1343</v>
      </c>
      <c r="AP93" t="s">
        <v>1328</v>
      </c>
      <c r="AR93" s="31"/>
      <c r="AX93">
        <v>1</v>
      </c>
    </row>
    <row r="94" spans="1:50" x14ac:dyDescent="0.3">
      <c r="A94" t="s">
        <v>22</v>
      </c>
      <c r="B94">
        <v>249</v>
      </c>
      <c r="D94">
        <v>1771</v>
      </c>
      <c r="G94" t="s">
        <v>1371</v>
      </c>
      <c r="J94" t="s">
        <v>1372</v>
      </c>
      <c r="K94" t="s">
        <v>1373</v>
      </c>
      <c r="M94" t="s">
        <v>1111</v>
      </c>
      <c r="P94" t="s">
        <v>778</v>
      </c>
      <c r="S94" t="s">
        <v>933</v>
      </c>
      <c r="V94" t="s">
        <v>1327</v>
      </c>
      <c r="W94" t="s">
        <v>780</v>
      </c>
      <c r="X94" t="s">
        <v>807</v>
      </c>
      <c r="Y94" t="s">
        <v>817</v>
      </c>
      <c r="Z94" s="31"/>
      <c r="AA94">
        <v>16000</v>
      </c>
      <c r="AB94">
        <v>3724</v>
      </c>
      <c r="AC94">
        <v>116</v>
      </c>
      <c r="AD94" t="s">
        <v>22</v>
      </c>
      <c r="AE94" s="31">
        <v>45702</v>
      </c>
      <c r="AF94" s="61">
        <v>0.68333333333333335</v>
      </c>
      <c r="AH94" t="s">
        <v>795</v>
      </c>
      <c r="AI94" s="31">
        <v>45818</v>
      </c>
      <c r="AJ94" s="61">
        <v>0.61789351851851848</v>
      </c>
      <c r="AK94" t="s">
        <v>858</v>
      </c>
      <c r="AN94" t="s">
        <v>1374</v>
      </c>
      <c r="AO94" t="s">
        <v>22</v>
      </c>
      <c r="AP94" t="s">
        <v>1343</v>
      </c>
      <c r="AR94" s="31"/>
      <c r="AX94">
        <v>1</v>
      </c>
    </row>
    <row r="95" spans="1:50" x14ac:dyDescent="0.3">
      <c r="A95" t="s">
        <v>22</v>
      </c>
      <c r="B95">
        <v>250</v>
      </c>
      <c r="D95">
        <v>1772</v>
      </c>
      <c r="G95" t="s">
        <v>1375</v>
      </c>
      <c r="J95" t="s">
        <v>1239</v>
      </c>
      <c r="K95" t="s">
        <v>1376</v>
      </c>
      <c r="M95" t="s">
        <v>1111</v>
      </c>
      <c r="P95" t="s">
        <v>778</v>
      </c>
      <c r="S95" t="s">
        <v>1068</v>
      </c>
      <c r="V95" t="s">
        <v>1377</v>
      </c>
      <c r="W95" t="s">
        <v>780</v>
      </c>
      <c r="X95" t="s">
        <v>857</v>
      </c>
      <c r="Y95" t="s">
        <v>817</v>
      </c>
      <c r="Z95" s="31">
        <v>46935</v>
      </c>
      <c r="AC95">
        <v>208</v>
      </c>
      <c r="AD95" t="s">
        <v>22</v>
      </c>
      <c r="AE95" s="31">
        <v>45702</v>
      </c>
      <c r="AF95" s="61">
        <v>0.68557870370370366</v>
      </c>
      <c r="AH95" t="s">
        <v>795</v>
      </c>
      <c r="AI95" s="31">
        <v>45910</v>
      </c>
      <c r="AJ95" s="61">
        <v>0.6743055555555556</v>
      </c>
      <c r="AK95" t="s">
        <v>796</v>
      </c>
      <c r="AO95" t="s">
        <v>22</v>
      </c>
      <c r="AP95" t="s">
        <v>1378</v>
      </c>
      <c r="AR95" s="31"/>
      <c r="AX95">
        <v>1</v>
      </c>
    </row>
    <row r="96" spans="1:50" x14ac:dyDescent="0.3">
      <c r="A96" t="s">
        <v>22</v>
      </c>
      <c r="B96">
        <v>253</v>
      </c>
      <c r="D96">
        <v>1776</v>
      </c>
      <c r="G96" t="s">
        <v>1379</v>
      </c>
      <c r="J96" t="s">
        <v>1380</v>
      </c>
      <c r="K96" t="s">
        <v>1381</v>
      </c>
      <c r="M96" t="s">
        <v>1111</v>
      </c>
      <c r="P96" t="s">
        <v>778</v>
      </c>
      <c r="S96" t="s">
        <v>1068</v>
      </c>
      <c r="V96" t="s">
        <v>1382</v>
      </c>
      <c r="W96" t="s">
        <v>780</v>
      </c>
      <c r="X96" t="s">
        <v>807</v>
      </c>
      <c r="Y96" t="s">
        <v>817</v>
      </c>
      <c r="Z96" s="31">
        <v>46037</v>
      </c>
      <c r="AA96">
        <v>48000</v>
      </c>
      <c r="AB96">
        <v>1690959</v>
      </c>
      <c r="AC96">
        <v>299</v>
      </c>
      <c r="AD96" t="s">
        <v>22</v>
      </c>
      <c r="AE96" s="31">
        <v>45702</v>
      </c>
      <c r="AF96" s="61">
        <v>0.72782407407407412</v>
      </c>
      <c r="AH96" t="s">
        <v>795</v>
      </c>
      <c r="AI96" s="31">
        <v>46001</v>
      </c>
      <c r="AJ96" s="61">
        <v>0.71494212962962966</v>
      </c>
      <c r="AK96" t="s">
        <v>858</v>
      </c>
      <c r="AN96" t="s">
        <v>1383</v>
      </c>
      <c r="AO96" t="s">
        <v>22</v>
      </c>
      <c r="AP96" t="s">
        <v>1359</v>
      </c>
      <c r="AR96" s="31"/>
      <c r="AX96">
        <v>1</v>
      </c>
    </row>
    <row r="97" spans="1:50" x14ac:dyDescent="0.3">
      <c r="A97" t="s">
        <v>22</v>
      </c>
      <c r="B97">
        <v>254</v>
      </c>
      <c r="D97">
        <v>1777</v>
      </c>
      <c r="G97" t="s">
        <v>1384</v>
      </c>
      <c r="J97" t="s">
        <v>1385</v>
      </c>
      <c r="K97" t="s">
        <v>1386</v>
      </c>
      <c r="M97" t="s">
        <v>1111</v>
      </c>
      <c r="P97" t="s">
        <v>778</v>
      </c>
      <c r="S97" t="s">
        <v>1068</v>
      </c>
      <c r="V97" t="s">
        <v>1327</v>
      </c>
      <c r="W97" t="s">
        <v>780</v>
      </c>
      <c r="X97" t="s">
        <v>897</v>
      </c>
      <c r="Y97" t="s">
        <v>817</v>
      </c>
      <c r="Z97" s="31"/>
      <c r="AC97">
        <v>40</v>
      </c>
      <c r="AD97" t="s">
        <v>22</v>
      </c>
      <c r="AE97" s="31">
        <v>45702</v>
      </c>
      <c r="AF97" s="61">
        <v>0.73282407407407413</v>
      </c>
      <c r="AH97" t="s">
        <v>795</v>
      </c>
      <c r="AI97" s="31">
        <v>45742</v>
      </c>
      <c r="AJ97" s="61">
        <v>0.72969907407407408</v>
      </c>
      <c r="AK97" t="s">
        <v>1226</v>
      </c>
      <c r="AP97" t="s">
        <v>1359</v>
      </c>
      <c r="AR97" s="31"/>
      <c r="AX97">
        <v>1</v>
      </c>
    </row>
    <row r="98" spans="1:50" x14ac:dyDescent="0.3">
      <c r="A98" t="s">
        <v>22</v>
      </c>
      <c r="B98">
        <v>255</v>
      </c>
      <c r="D98">
        <v>1778</v>
      </c>
      <c r="G98" t="s">
        <v>1387</v>
      </c>
      <c r="J98" t="s">
        <v>1388</v>
      </c>
      <c r="K98" t="s">
        <v>1389</v>
      </c>
      <c r="M98" t="s">
        <v>1111</v>
      </c>
      <c r="P98" t="s">
        <v>778</v>
      </c>
      <c r="S98" t="s">
        <v>1068</v>
      </c>
      <c r="V98" t="s">
        <v>1327</v>
      </c>
      <c r="W98" t="s">
        <v>780</v>
      </c>
      <c r="X98" t="s">
        <v>897</v>
      </c>
      <c r="Y98" t="s">
        <v>817</v>
      </c>
      <c r="Z98" s="31"/>
      <c r="AC98">
        <v>116</v>
      </c>
      <c r="AD98" t="s">
        <v>22</v>
      </c>
      <c r="AE98" s="31">
        <v>45702</v>
      </c>
      <c r="AF98" s="61">
        <v>0.73409722222222218</v>
      </c>
      <c r="AH98" t="s">
        <v>795</v>
      </c>
      <c r="AI98" s="31">
        <v>45818</v>
      </c>
      <c r="AJ98" s="61">
        <v>0.61849537037037039</v>
      </c>
      <c r="AK98" t="s">
        <v>796</v>
      </c>
      <c r="AP98" t="s">
        <v>1378</v>
      </c>
      <c r="AR98" s="31"/>
      <c r="AX98">
        <v>1</v>
      </c>
    </row>
    <row r="99" spans="1:50" x14ac:dyDescent="0.3">
      <c r="A99" t="s">
        <v>22</v>
      </c>
      <c r="B99">
        <v>256</v>
      </c>
      <c r="D99">
        <v>1781</v>
      </c>
      <c r="G99" t="s">
        <v>1390</v>
      </c>
      <c r="J99" t="s">
        <v>1391</v>
      </c>
      <c r="K99" t="s">
        <v>1392</v>
      </c>
      <c r="M99" t="s">
        <v>1393</v>
      </c>
      <c r="P99" t="s">
        <v>778</v>
      </c>
      <c r="S99" t="s">
        <v>933</v>
      </c>
      <c r="W99" t="s">
        <v>780</v>
      </c>
      <c r="X99" t="s">
        <v>857</v>
      </c>
      <c r="Y99" t="s">
        <v>817</v>
      </c>
      <c r="Z99" s="31"/>
      <c r="AC99">
        <v>37</v>
      </c>
      <c r="AD99" t="s">
        <v>22</v>
      </c>
      <c r="AE99" s="31">
        <v>45705</v>
      </c>
      <c r="AF99" s="61">
        <v>0.51423611111111112</v>
      </c>
      <c r="AH99" t="s">
        <v>795</v>
      </c>
      <c r="AI99" s="31">
        <v>45742</v>
      </c>
      <c r="AJ99" s="61">
        <v>0.73364583333333333</v>
      </c>
      <c r="AK99" t="s">
        <v>858</v>
      </c>
      <c r="AN99" t="s">
        <v>1378</v>
      </c>
      <c r="AO99" t="s">
        <v>22</v>
      </c>
      <c r="AP99" t="s">
        <v>1378</v>
      </c>
      <c r="AR99" s="31"/>
      <c r="AX99">
        <v>1</v>
      </c>
    </row>
    <row r="100" spans="1:50" x14ac:dyDescent="0.3">
      <c r="A100" t="s">
        <v>22</v>
      </c>
      <c r="B100">
        <v>257</v>
      </c>
      <c r="D100">
        <v>1780</v>
      </c>
      <c r="G100" t="s">
        <v>1394</v>
      </c>
      <c r="J100" t="s">
        <v>1395</v>
      </c>
      <c r="K100" t="s">
        <v>1396</v>
      </c>
      <c r="M100" t="s">
        <v>1397</v>
      </c>
      <c r="P100" t="s">
        <v>778</v>
      </c>
      <c r="Q100" t="s">
        <v>1398</v>
      </c>
      <c r="S100" t="s">
        <v>814</v>
      </c>
      <c r="V100" t="s">
        <v>1399</v>
      </c>
      <c r="W100" t="s">
        <v>780</v>
      </c>
      <c r="X100" t="s">
        <v>807</v>
      </c>
      <c r="Y100" t="s">
        <v>817</v>
      </c>
      <c r="Z100" s="31"/>
      <c r="AA100">
        <v>1234935</v>
      </c>
      <c r="AB100">
        <v>833725</v>
      </c>
      <c r="AC100">
        <v>113</v>
      </c>
      <c r="AD100" t="s">
        <v>22</v>
      </c>
      <c r="AE100" s="31">
        <v>45705</v>
      </c>
      <c r="AF100" s="61">
        <v>0.53861111111111115</v>
      </c>
      <c r="AH100" t="s">
        <v>795</v>
      </c>
      <c r="AI100" s="31">
        <v>45818</v>
      </c>
      <c r="AJ100" s="61">
        <v>0.60993055555555553</v>
      </c>
      <c r="AK100" t="s">
        <v>974</v>
      </c>
      <c r="AN100" t="s">
        <v>1378</v>
      </c>
      <c r="AO100" t="s">
        <v>22</v>
      </c>
      <c r="AP100" t="s">
        <v>1378</v>
      </c>
      <c r="AR100" s="31"/>
      <c r="AX100">
        <v>1</v>
      </c>
    </row>
    <row r="101" spans="1:50" x14ac:dyDescent="0.3">
      <c r="A101" t="s">
        <v>22</v>
      </c>
      <c r="B101">
        <v>258</v>
      </c>
      <c r="D101">
        <v>1782</v>
      </c>
      <c r="G101" t="s">
        <v>1400</v>
      </c>
      <c r="J101" t="s">
        <v>1401</v>
      </c>
      <c r="K101" t="s">
        <v>1402</v>
      </c>
      <c r="M101" t="s">
        <v>1403</v>
      </c>
      <c r="P101" t="s">
        <v>778</v>
      </c>
      <c r="V101" t="s">
        <v>1327</v>
      </c>
      <c r="W101" t="s">
        <v>780</v>
      </c>
      <c r="X101" t="s">
        <v>807</v>
      </c>
      <c r="Z101" s="31"/>
      <c r="AC101">
        <v>21</v>
      </c>
      <c r="AD101" t="s">
        <v>22</v>
      </c>
      <c r="AE101" s="31">
        <v>45705</v>
      </c>
      <c r="AF101" s="61">
        <v>0.54</v>
      </c>
      <c r="AH101" t="s">
        <v>795</v>
      </c>
      <c r="AI101" s="31">
        <v>45726</v>
      </c>
      <c r="AJ101" s="61">
        <v>0.73636574074074079</v>
      </c>
      <c r="AK101" t="s">
        <v>867</v>
      </c>
      <c r="AN101" t="s">
        <v>1378</v>
      </c>
      <c r="AO101" t="s">
        <v>22</v>
      </c>
      <c r="AP101" t="s">
        <v>1378</v>
      </c>
      <c r="AR101" s="31"/>
      <c r="AX101">
        <v>1</v>
      </c>
    </row>
    <row r="102" spans="1:50" x14ac:dyDescent="0.3">
      <c r="A102" t="s">
        <v>22</v>
      </c>
      <c r="B102">
        <v>259</v>
      </c>
      <c r="D102">
        <v>1783</v>
      </c>
      <c r="G102" t="s">
        <v>1404</v>
      </c>
      <c r="J102" t="s">
        <v>1405</v>
      </c>
      <c r="K102" t="s">
        <v>1406</v>
      </c>
      <c r="M102" t="s">
        <v>1111</v>
      </c>
      <c r="P102" t="s">
        <v>778</v>
      </c>
      <c r="S102" t="s">
        <v>1068</v>
      </c>
      <c r="V102" t="s">
        <v>1407</v>
      </c>
      <c r="W102" t="s">
        <v>780</v>
      </c>
      <c r="X102" t="s">
        <v>897</v>
      </c>
      <c r="Y102" t="s">
        <v>817</v>
      </c>
      <c r="Z102" s="31"/>
      <c r="AC102">
        <v>75</v>
      </c>
      <c r="AD102" t="s">
        <v>22</v>
      </c>
      <c r="AE102" s="31">
        <v>45705</v>
      </c>
      <c r="AF102" s="61">
        <v>0.55487268518518518</v>
      </c>
      <c r="AH102" t="s">
        <v>795</v>
      </c>
      <c r="AI102" s="31">
        <v>45780</v>
      </c>
      <c r="AJ102" s="61">
        <v>0.45906249999999998</v>
      </c>
      <c r="AK102" t="s">
        <v>796</v>
      </c>
      <c r="AO102" t="s">
        <v>22</v>
      </c>
      <c r="AP102" t="s">
        <v>1408</v>
      </c>
      <c r="AR102" s="31"/>
      <c r="AX102">
        <v>1</v>
      </c>
    </row>
    <row r="103" spans="1:50" x14ac:dyDescent="0.3">
      <c r="A103" t="s">
        <v>22</v>
      </c>
      <c r="B103">
        <v>260</v>
      </c>
      <c r="D103">
        <v>1785</v>
      </c>
      <c r="G103" t="s">
        <v>1409</v>
      </c>
      <c r="J103" t="s">
        <v>1410</v>
      </c>
      <c r="K103" t="s">
        <v>1411</v>
      </c>
      <c r="M103" t="s">
        <v>1111</v>
      </c>
      <c r="P103" t="s">
        <v>778</v>
      </c>
      <c r="S103" t="s">
        <v>1068</v>
      </c>
      <c r="V103" t="s">
        <v>1266</v>
      </c>
      <c r="W103" t="s">
        <v>780</v>
      </c>
      <c r="X103" t="s">
        <v>897</v>
      </c>
      <c r="Y103" t="s">
        <v>817</v>
      </c>
      <c r="Z103" s="31"/>
      <c r="AC103">
        <v>37</v>
      </c>
      <c r="AD103" t="s">
        <v>22</v>
      </c>
      <c r="AE103" s="31">
        <v>45705</v>
      </c>
      <c r="AF103" s="61">
        <v>0.55835648148148154</v>
      </c>
      <c r="AH103" t="s">
        <v>795</v>
      </c>
      <c r="AI103" s="31">
        <v>45742</v>
      </c>
      <c r="AJ103" s="61">
        <v>0.73165509259259254</v>
      </c>
      <c r="AK103" t="s">
        <v>867</v>
      </c>
      <c r="AO103" t="s">
        <v>22</v>
      </c>
      <c r="AP103" t="s">
        <v>1408</v>
      </c>
      <c r="AR103" s="31"/>
      <c r="AX103">
        <v>1</v>
      </c>
    </row>
    <row r="104" spans="1:50" x14ac:dyDescent="0.3">
      <c r="A104" t="s">
        <v>44</v>
      </c>
      <c r="B104">
        <v>261</v>
      </c>
      <c r="D104">
        <v>1786</v>
      </c>
      <c r="G104" t="s">
        <v>1412</v>
      </c>
      <c r="J104" t="s">
        <v>1413</v>
      </c>
      <c r="K104" t="s">
        <v>1414</v>
      </c>
      <c r="M104" t="s">
        <v>1340</v>
      </c>
      <c r="P104" t="s">
        <v>778</v>
      </c>
      <c r="V104" t="s">
        <v>1327</v>
      </c>
      <c r="W104" t="s">
        <v>780</v>
      </c>
      <c r="X104" t="s">
        <v>793</v>
      </c>
      <c r="Z104" s="31"/>
      <c r="AA104">
        <v>1600</v>
      </c>
      <c r="AB104">
        <v>2101</v>
      </c>
      <c r="AC104">
        <v>7</v>
      </c>
      <c r="AD104" t="s">
        <v>44</v>
      </c>
      <c r="AE104" s="31">
        <v>45705</v>
      </c>
      <c r="AF104" s="61">
        <v>0.62410879629629634</v>
      </c>
      <c r="AH104" t="s">
        <v>795</v>
      </c>
      <c r="AI104" s="31">
        <v>45712</v>
      </c>
      <c r="AJ104" s="61">
        <v>0.71869212962962958</v>
      </c>
      <c r="AK104" t="s">
        <v>867</v>
      </c>
      <c r="AL104" t="s">
        <v>1342</v>
      </c>
      <c r="AN104" t="s">
        <v>1343</v>
      </c>
      <c r="AP104" t="s">
        <v>1336</v>
      </c>
      <c r="AR104" s="31"/>
      <c r="AX104">
        <v>1</v>
      </c>
    </row>
    <row r="105" spans="1:50" x14ac:dyDescent="0.3">
      <c r="A105" t="s">
        <v>22</v>
      </c>
      <c r="B105">
        <v>263</v>
      </c>
      <c r="D105">
        <v>1790</v>
      </c>
      <c r="E105" t="s">
        <v>1415</v>
      </c>
      <c r="G105" t="s">
        <v>1416</v>
      </c>
      <c r="J105" t="s">
        <v>1417</v>
      </c>
      <c r="K105" t="s">
        <v>1418</v>
      </c>
      <c r="M105" t="s">
        <v>1111</v>
      </c>
      <c r="P105" t="s">
        <v>778</v>
      </c>
      <c r="S105" t="s">
        <v>791</v>
      </c>
      <c r="V105" t="s">
        <v>1419</v>
      </c>
      <c r="W105" t="s">
        <v>780</v>
      </c>
      <c r="X105" t="s">
        <v>793</v>
      </c>
      <c r="Y105" t="s">
        <v>817</v>
      </c>
      <c r="Z105" s="31">
        <v>46053</v>
      </c>
      <c r="AC105">
        <v>364</v>
      </c>
      <c r="AD105" t="s">
        <v>22</v>
      </c>
      <c r="AE105" s="31">
        <v>45706</v>
      </c>
      <c r="AF105" s="61">
        <v>0.41710648148148149</v>
      </c>
      <c r="AH105" t="s">
        <v>795</v>
      </c>
      <c r="AI105" s="31">
        <v>46070</v>
      </c>
      <c r="AJ105" s="61">
        <v>0.60356481481481483</v>
      </c>
      <c r="AK105" t="s">
        <v>796</v>
      </c>
      <c r="AL105" t="s">
        <v>1420</v>
      </c>
      <c r="AN105" t="s">
        <v>1421</v>
      </c>
      <c r="AO105" t="s">
        <v>22</v>
      </c>
      <c r="AP105" t="s">
        <v>1422</v>
      </c>
      <c r="AQ105" t="s">
        <v>1422</v>
      </c>
      <c r="AR105" s="31">
        <v>46045</v>
      </c>
      <c r="AS105" t="s">
        <v>1423</v>
      </c>
      <c r="AX105">
        <v>1</v>
      </c>
    </row>
    <row r="106" spans="1:50" x14ac:dyDescent="0.3">
      <c r="A106" t="s">
        <v>44</v>
      </c>
      <c r="B106">
        <v>266</v>
      </c>
      <c r="D106">
        <v>1866</v>
      </c>
      <c r="G106" t="s">
        <v>1424</v>
      </c>
      <c r="H106">
        <v>8652421000109</v>
      </c>
      <c r="J106" t="s">
        <v>1425</v>
      </c>
      <c r="K106" t="s">
        <v>1426</v>
      </c>
      <c r="M106" t="s">
        <v>1427</v>
      </c>
      <c r="P106" t="s">
        <v>778</v>
      </c>
      <c r="Q106" t="s">
        <v>1428</v>
      </c>
      <c r="R106" t="s">
        <v>1027</v>
      </c>
      <c r="W106" t="s">
        <v>780</v>
      </c>
      <c r="X106" t="s">
        <v>897</v>
      </c>
      <c r="Z106" s="31"/>
      <c r="AA106">
        <v>14400</v>
      </c>
      <c r="AB106">
        <v>18034</v>
      </c>
      <c r="AC106">
        <v>30</v>
      </c>
      <c r="AD106" t="s">
        <v>44</v>
      </c>
      <c r="AE106" s="31">
        <v>45707</v>
      </c>
      <c r="AF106" s="61">
        <v>0.70996527777777774</v>
      </c>
      <c r="AH106" t="s">
        <v>795</v>
      </c>
      <c r="AI106" s="31">
        <v>45737</v>
      </c>
      <c r="AJ106" s="61">
        <v>0.61376157407407406</v>
      </c>
      <c r="AK106" t="s">
        <v>858</v>
      </c>
      <c r="AL106" t="s">
        <v>1429</v>
      </c>
      <c r="AN106" t="s">
        <v>1430</v>
      </c>
      <c r="AP106" t="s">
        <v>1430</v>
      </c>
      <c r="AR106" s="31"/>
      <c r="AX106">
        <v>1</v>
      </c>
    </row>
    <row r="107" spans="1:50" x14ac:dyDescent="0.3">
      <c r="A107" t="s">
        <v>44</v>
      </c>
      <c r="B107">
        <v>267</v>
      </c>
      <c r="D107">
        <v>1871</v>
      </c>
      <c r="G107" t="s">
        <v>1431</v>
      </c>
      <c r="H107">
        <v>21969045000149</v>
      </c>
      <c r="J107" t="s">
        <v>1432</v>
      </c>
      <c r="K107" t="s">
        <v>1433</v>
      </c>
      <c r="M107" t="s">
        <v>1434</v>
      </c>
      <c r="P107" t="s">
        <v>778</v>
      </c>
      <c r="Q107" t="s">
        <v>1435</v>
      </c>
      <c r="R107" t="s">
        <v>790</v>
      </c>
      <c r="S107" t="s">
        <v>1068</v>
      </c>
      <c r="V107" t="s">
        <v>1266</v>
      </c>
      <c r="W107" t="s">
        <v>780</v>
      </c>
      <c r="X107" t="s">
        <v>816</v>
      </c>
      <c r="Y107" t="s">
        <v>817</v>
      </c>
      <c r="Z107" s="31"/>
      <c r="AA107">
        <v>88000</v>
      </c>
      <c r="AB107">
        <v>450432</v>
      </c>
      <c r="AC107">
        <v>64</v>
      </c>
      <c r="AD107" t="s">
        <v>44</v>
      </c>
      <c r="AE107" s="31">
        <v>45707</v>
      </c>
      <c r="AF107" s="61">
        <v>0.71253472222222225</v>
      </c>
      <c r="AH107" t="s">
        <v>818</v>
      </c>
      <c r="AI107" s="31">
        <v>45771</v>
      </c>
      <c r="AJ107" s="61">
        <v>0.50746527777777772</v>
      </c>
      <c r="AN107" t="s">
        <v>1436</v>
      </c>
      <c r="AR107" s="31"/>
      <c r="AX107">
        <v>1</v>
      </c>
    </row>
    <row r="108" spans="1:50" x14ac:dyDescent="0.3">
      <c r="A108" t="s">
        <v>44</v>
      </c>
      <c r="B108">
        <v>268</v>
      </c>
      <c r="D108">
        <v>1874</v>
      </c>
      <c r="G108" t="s">
        <v>1437</v>
      </c>
      <c r="H108">
        <v>52556578000122</v>
      </c>
      <c r="J108" t="s">
        <v>1438</v>
      </c>
      <c r="K108" t="s">
        <v>1439</v>
      </c>
      <c r="M108" t="s">
        <v>1440</v>
      </c>
      <c r="P108" t="s">
        <v>778</v>
      </c>
      <c r="Q108" t="s">
        <v>1441</v>
      </c>
      <c r="R108" t="s">
        <v>790</v>
      </c>
      <c r="S108" t="s">
        <v>1068</v>
      </c>
      <c r="V108" t="s">
        <v>1266</v>
      </c>
      <c r="W108" t="s">
        <v>780</v>
      </c>
      <c r="X108" t="s">
        <v>897</v>
      </c>
      <c r="Y108" t="s">
        <v>817</v>
      </c>
      <c r="Z108" s="31"/>
      <c r="AC108">
        <v>54</v>
      </c>
      <c r="AD108" t="s">
        <v>44</v>
      </c>
      <c r="AE108" s="31">
        <v>45708</v>
      </c>
      <c r="AF108" s="61">
        <v>0.44270833333333331</v>
      </c>
      <c r="AH108" t="s">
        <v>795</v>
      </c>
      <c r="AI108" s="31">
        <v>45762</v>
      </c>
      <c r="AJ108" s="61">
        <v>0.69423611111111116</v>
      </c>
      <c r="AK108" t="s">
        <v>796</v>
      </c>
      <c r="AL108" t="s">
        <v>1442</v>
      </c>
      <c r="AR108" s="31"/>
      <c r="AX108">
        <v>1</v>
      </c>
    </row>
    <row r="109" spans="1:50" x14ac:dyDescent="0.3">
      <c r="A109" t="s">
        <v>44</v>
      </c>
      <c r="B109">
        <v>270</v>
      </c>
      <c r="C109">
        <v>167</v>
      </c>
      <c r="D109">
        <v>1880</v>
      </c>
      <c r="G109" t="s">
        <v>1443</v>
      </c>
      <c r="H109">
        <v>7973104000121</v>
      </c>
      <c r="I109" t="s">
        <v>979</v>
      </c>
      <c r="J109" t="s">
        <v>1444</v>
      </c>
      <c r="K109" t="s">
        <v>981</v>
      </c>
      <c r="M109" t="s">
        <v>982</v>
      </c>
      <c r="P109" t="s">
        <v>778</v>
      </c>
      <c r="Q109" t="s">
        <v>983</v>
      </c>
      <c r="R109" t="s">
        <v>932</v>
      </c>
      <c r="W109" t="s">
        <v>780</v>
      </c>
      <c r="X109" t="s">
        <v>816</v>
      </c>
      <c r="Z109" s="31"/>
      <c r="AA109">
        <v>0</v>
      </c>
      <c r="AB109">
        <v>49896</v>
      </c>
      <c r="AC109">
        <v>11</v>
      </c>
      <c r="AD109" t="s">
        <v>44</v>
      </c>
      <c r="AE109" s="31">
        <v>45708</v>
      </c>
      <c r="AF109" s="61">
        <v>0.48841435185185178</v>
      </c>
      <c r="AH109" t="s">
        <v>818</v>
      </c>
      <c r="AI109" s="31">
        <v>45719</v>
      </c>
      <c r="AJ109" s="61">
        <v>0.48200231481481481</v>
      </c>
      <c r="AN109" t="s">
        <v>1436</v>
      </c>
      <c r="AR109" s="31"/>
      <c r="AX109">
        <v>1</v>
      </c>
    </row>
    <row r="110" spans="1:50" x14ac:dyDescent="0.3">
      <c r="A110" t="s">
        <v>44</v>
      </c>
      <c r="B110">
        <v>272</v>
      </c>
      <c r="D110">
        <v>1882</v>
      </c>
      <c r="G110" t="s">
        <v>1445</v>
      </c>
      <c r="J110" t="s">
        <v>1445</v>
      </c>
      <c r="K110" t="s">
        <v>1446</v>
      </c>
      <c r="M110" t="s">
        <v>1447</v>
      </c>
      <c r="P110" t="s">
        <v>778</v>
      </c>
      <c r="S110" t="s">
        <v>1068</v>
      </c>
      <c r="V110" t="s">
        <v>1327</v>
      </c>
      <c r="W110" t="s">
        <v>780</v>
      </c>
      <c r="X110" t="s">
        <v>897</v>
      </c>
      <c r="Y110" t="s">
        <v>817</v>
      </c>
      <c r="Z110" s="31"/>
      <c r="AC110">
        <v>50</v>
      </c>
      <c r="AD110" t="s">
        <v>44</v>
      </c>
      <c r="AE110" s="31">
        <v>45712</v>
      </c>
      <c r="AF110" s="61">
        <v>0.39177083333333329</v>
      </c>
      <c r="AH110" t="s">
        <v>795</v>
      </c>
      <c r="AI110" s="31">
        <v>45762</v>
      </c>
      <c r="AJ110" s="61">
        <v>0.69267361111111114</v>
      </c>
      <c r="AK110" t="s">
        <v>796</v>
      </c>
      <c r="AL110" t="s">
        <v>1448</v>
      </c>
      <c r="AP110" t="s">
        <v>1262</v>
      </c>
      <c r="AR110" s="31"/>
      <c r="AX110">
        <v>1</v>
      </c>
    </row>
    <row r="111" spans="1:50" x14ac:dyDescent="0.3">
      <c r="A111" t="s">
        <v>31</v>
      </c>
      <c r="B111">
        <v>273</v>
      </c>
      <c r="D111">
        <v>1883</v>
      </c>
      <c r="G111" t="s">
        <v>1449</v>
      </c>
      <c r="J111" t="s">
        <v>1450</v>
      </c>
      <c r="K111" t="s">
        <v>1451</v>
      </c>
      <c r="M111" t="s">
        <v>1452</v>
      </c>
      <c r="P111" t="s">
        <v>778</v>
      </c>
      <c r="S111" t="s">
        <v>1068</v>
      </c>
      <c r="W111" t="s">
        <v>780</v>
      </c>
      <c r="X111" t="s">
        <v>816</v>
      </c>
      <c r="Y111" t="s">
        <v>817</v>
      </c>
      <c r="Z111" s="31"/>
      <c r="AA111">
        <v>55440</v>
      </c>
      <c r="AB111">
        <v>560465</v>
      </c>
      <c r="AC111">
        <v>39</v>
      </c>
      <c r="AD111" t="s">
        <v>31</v>
      </c>
      <c r="AE111" s="31">
        <v>45712</v>
      </c>
      <c r="AF111" s="61">
        <v>0.66232638888888884</v>
      </c>
      <c r="AH111" t="s">
        <v>795</v>
      </c>
      <c r="AI111" s="31">
        <v>45751</v>
      </c>
      <c r="AJ111" s="61">
        <v>0.64483796296296292</v>
      </c>
      <c r="AK111" t="s">
        <v>867</v>
      </c>
      <c r="AN111" t="s">
        <v>1453</v>
      </c>
      <c r="AO111" t="s">
        <v>31</v>
      </c>
      <c r="AP111" t="s">
        <v>1454</v>
      </c>
      <c r="AQ111" t="s">
        <v>1455</v>
      </c>
      <c r="AR111" s="31"/>
      <c r="AX111">
        <v>1</v>
      </c>
    </row>
    <row r="112" spans="1:50" x14ac:dyDescent="0.3">
      <c r="A112" t="s">
        <v>44</v>
      </c>
      <c r="B112">
        <v>277</v>
      </c>
      <c r="D112">
        <v>1887</v>
      </c>
      <c r="G112" t="s">
        <v>1456</v>
      </c>
      <c r="J112" t="s">
        <v>1457</v>
      </c>
      <c r="K112" t="s">
        <v>1458</v>
      </c>
      <c r="M112" t="s">
        <v>1459</v>
      </c>
      <c r="P112" t="s">
        <v>778</v>
      </c>
      <c r="W112" t="s">
        <v>780</v>
      </c>
      <c r="X112" t="s">
        <v>816</v>
      </c>
      <c r="Z112" s="31"/>
      <c r="AA112">
        <v>0</v>
      </c>
      <c r="AB112">
        <v>3564</v>
      </c>
      <c r="AC112">
        <v>5</v>
      </c>
      <c r="AD112" t="s">
        <v>44</v>
      </c>
      <c r="AE112" s="31">
        <v>45714</v>
      </c>
      <c r="AF112" s="61">
        <v>0.38343749999999999</v>
      </c>
      <c r="AH112" t="s">
        <v>818</v>
      </c>
      <c r="AI112" s="31">
        <v>45719</v>
      </c>
      <c r="AJ112" s="61">
        <v>0.48221064814814812</v>
      </c>
      <c r="AN112" t="s">
        <v>1460</v>
      </c>
      <c r="AR112" s="31"/>
      <c r="AX112">
        <v>1</v>
      </c>
    </row>
    <row r="113" spans="1:50" x14ac:dyDescent="0.3">
      <c r="A113" t="s">
        <v>44</v>
      </c>
      <c r="B113">
        <v>279</v>
      </c>
      <c r="D113">
        <v>1890</v>
      </c>
      <c r="G113" t="s">
        <v>1461</v>
      </c>
      <c r="J113" t="s">
        <v>1462</v>
      </c>
      <c r="K113" t="s">
        <v>1463</v>
      </c>
      <c r="M113" t="s">
        <v>1111</v>
      </c>
      <c r="P113" t="s">
        <v>778</v>
      </c>
      <c r="W113" t="s">
        <v>780</v>
      </c>
      <c r="X113" t="s">
        <v>897</v>
      </c>
      <c r="Z113" s="31"/>
      <c r="AC113">
        <v>2</v>
      </c>
      <c r="AD113" t="s">
        <v>22</v>
      </c>
      <c r="AE113" s="31">
        <v>45714</v>
      </c>
      <c r="AF113" s="61">
        <v>0.73251157407407408</v>
      </c>
      <c r="AH113" t="s">
        <v>795</v>
      </c>
      <c r="AI113" s="31">
        <v>45716</v>
      </c>
      <c r="AJ113" s="61">
        <v>0.71136574074074077</v>
      </c>
      <c r="AK113" t="s">
        <v>1226</v>
      </c>
      <c r="AL113" t="s">
        <v>1464</v>
      </c>
      <c r="AO113" t="s">
        <v>44</v>
      </c>
      <c r="AR113" s="31"/>
      <c r="AX113">
        <v>1</v>
      </c>
    </row>
    <row r="114" spans="1:50" x14ac:dyDescent="0.3">
      <c r="A114" t="s">
        <v>44</v>
      </c>
      <c r="B114">
        <v>281</v>
      </c>
      <c r="D114">
        <v>1892</v>
      </c>
      <c r="G114" t="s">
        <v>1465</v>
      </c>
      <c r="J114" t="s">
        <v>1466</v>
      </c>
      <c r="K114" t="s">
        <v>1467</v>
      </c>
      <c r="M114" t="s">
        <v>1468</v>
      </c>
      <c r="P114" t="s">
        <v>778</v>
      </c>
      <c r="S114" t="s">
        <v>1068</v>
      </c>
      <c r="W114" t="s">
        <v>780</v>
      </c>
      <c r="X114" t="s">
        <v>816</v>
      </c>
      <c r="Y114" t="s">
        <v>817</v>
      </c>
      <c r="Z114" s="31"/>
      <c r="AA114">
        <v>0</v>
      </c>
      <c r="AB114">
        <v>449635</v>
      </c>
      <c r="AC114">
        <v>55</v>
      </c>
      <c r="AD114" t="s">
        <v>44</v>
      </c>
      <c r="AE114" s="31">
        <v>45716</v>
      </c>
      <c r="AF114" s="61">
        <v>0.42606481481481479</v>
      </c>
      <c r="AH114" t="s">
        <v>818</v>
      </c>
      <c r="AI114" s="31">
        <v>45771</v>
      </c>
      <c r="AJ114" s="61">
        <v>0.50797453703703699</v>
      </c>
      <c r="AN114" t="s">
        <v>1383</v>
      </c>
      <c r="AP114" t="s">
        <v>1460</v>
      </c>
      <c r="AR114" s="31"/>
      <c r="AX114">
        <v>1</v>
      </c>
    </row>
    <row r="115" spans="1:50" x14ac:dyDescent="0.3">
      <c r="A115" t="s">
        <v>44</v>
      </c>
      <c r="B115">
        <v>282</v>
      </c>
      <c r="D115">
        <v>1894</v>
      </c>
      <c r="G115" t="s">
        <v>1469</v>
      </c>
      <c r="J115" t="s">
        <v>1470</v>
      </c>
      <c r="K115" t="s">
        <v>1471</v>
      </c>
      <c r="M115" t="s">
        <v>1472</v>
      </c>
      <c r="P115" t="s">
        <v>778</v>
      </c>
      <c r="S115" t="s">
        <v>1068</v>
      </c>
      <c r="W115" t="s">
        <v>780</v>
      </c>
      <c r="X115" t="s">
        <v>793</v>
      </c>
      <c r="Y115" t="s">
        <v>817</v>
      </c>
      <c r="Z115" s="31"/>
      <c r="AA115">
        <v>1600</v>
      </c>
      <c r="AB115">
        <v>5</v>
      </c>
      <c r="AC115">
        <v>47</v>
      </c>
      <c r="AD115" t="s">
        <v>44</v>
      </c>
      <c r="AE115" s="31">
        <v>45716</v>
      </c>
      <c r="AF115" s="61">
        <v>0.70343750000000005</v>
      </c>
      <c r="AH115" t="s">
        <v>795</v>
      </c>
      <c r="AI115" s="31">
        <v>45763</v>
      </c>
      <c r="AJ115" s="61">
        <v>0.3946527777777778</v>
      </c>
      <c r="AK115" t="s">
        <v>796</v>
      </c>
      <c r="AL115" t="s">
        <v>1351</v>
      </c>
      <c r="AN115" t="s">
        <v>1352</v>
      </c>
      <c r="AP115" t="s">
        <v>1305</v>
      </c>
      <c r="AR115" s="31"/>
      <c r="AX115">
        <v>1</v>
      </c>
    </row>
    <row r="116" spans="1:50" x14ac:dyDescent="0.3">
      <c r="A116" t="s">
        <v>31</v>
      </c>
      <c r="B116">
        <v>283</v>
      </c>
      <c r="D116">
        <v>1895</v>
      </c>
      <c r="G116" t="s">
        <v>1473</v>
      </c>
      <c r="H116">
        <v>37075503000136</v>
      </c>
      <c r="J116" t="s">
        <v>1474</v>
      </c>
      <c r="K116" t="s">
        <v>1475</v>
      </c>
      <c r="M116" t="s">
        <v>1476</v>
      </c>
      <c r="P116" t="s">
        <v>778</v>
      </c>
      <c r="Q116" t="s">
        <v>1477</v>
      </c>
      <c r="R116" t="s">
        <v>932</v>
      </c>
      <c r="W116" t="s">
        <v>780</v>
      </c>
      <c r="X116" t="s">
        <v>816</v>
      </c>
      <c r="Z116" s="31"/>
      <c r="AA116">
        <v>63000</v>
      </c>
      <c r="AB116">
        <v>211328</v>
      </c>
      <c r="AC116">
        <v>20</v>
      </c>
      <c r="AD116" t="s">
        <v>31</v>
      </c>
      <c r="AE116" s="31">
        <v>45720</v>
      </c>
      <c r="AF116" s="61">
        <v>0.40530092592592593</v>
      </c>
      <c r="AH116" t="s">
        <v>818</v>
      </c>
      <c r="AI116" s="31">
        <v>45740</v>
      </c>
      <c r="AJ116" s="61">
        <v>0.80163194444444441</v>
      </c>
      <c r="AN116" t="s">
        <v>1478</v>
      </c>
      <c r="AO116" t="s">
        <v>31</v>
      </c>
      <c r="AR116" s="31"/>
      <c r="AX116">
        <v>1</v>
      </c>
    </row>
    <row r="117" spans="1:50" x14ac:dyDescent="0.3">
      <c r="A117" t="s">
        <v>31</v>
      </c>
      <c r="B117">
        <v>284</v>
      </c>
      <c r="D117">
        <v>1897</v>
      </c>
      <c r="G117" t="s">
        <v>1479</v>
      </c>
      <c r="H117">
        <v>37075503000136</v>
      </c>
      <c r="J117" t="s">
        <v>1474</v>
      </c>
      <c r="K117" t="s">
        <v>1475</v>
      </c>
      <c r="M117" t="s">
        <v>1476</v>
      </c>
      <c r="P117" t="s">
        <v>778</v>
      </c>
      <c r="Q117" t="s">
        <v>1477</v>
      </c>
      <c r="R117" t="s">
        <v>932</v>
      </c>
      <c r="S117" t="s">
        <v>1068</v>
      </c>
      <c r="W117" t="s">
        <v>780</v>
      </c>
      <c r="X117" t="s">
        <v>816</v>
      </c>
      <c r="Z117" s="31"/>
      <c r="AA117">
        <v>1600</v>
      </c>
      <c r="AB117">
        <v>287073</v>
      </c>
      <c r="AC117">
        <v>22</v>
      </c>
      <c r="AD117" t="s">
        <v>31</v>
      </c>
      <c r="AE117" s="31">
        <v>45720</v>
      </c>
      <c r="AF117" s="61">
        <v>0.63810185185185186</v>
      </c>
      <c r="AH117" t="s">
        <v>818</v>
      </c>
      <c r="AI117" s="31">
        <v>45742</v>
      </c>
      <c r="AJ117" s="61">
        <v>0.4453125</v>
      </c>
      <c r="AN117" t="s">
        <v>1478</v>
      </c>
      <c r="AO117" t="s">
        <v>31</v>
      </c>
      <c r="AP117" t="s">
        <v>1478</v>
      </c>
      <c r="AR117" s="31"/>
      <c r="AX117">
        <v>1</v>
      </c>
    </row>
    <row r="118" spans="1:50" x14ac:dyDescent="0.3">
      <c r="A118" t="s">
        <v>31</v>
      </c>
      <c r="B118">
        <v>286</v>
      </c>
      <c r="D118">
        <v>1900</v>
      </c>
      <c r="G118" t="s">
        <v>1480</v>
      </c>
      <c r="H118">
        <v>37075503000136</v>
      </c>
      <c r="J118" t="s">
        <v>1481</v>
      </c>
      <c r="K118" t="s">
        <v>1482</v>
      </c>
      <c r="M118" t="s">
        <v>1476</v>
      </c>
      <c r="P118" t="s">
        <v>778</v>
      </c>
      <c r="Q118" t="s">
        <v>1477</v>
      </c>
      <c r="R118" t="s">
        <v>932</v>
      </c>
      <c r="S118" t="s">
        <v>791</v>
      </c>
      <c r="W118" t="s">
        <v>780</v>
      </c>
      <c r="X118" t="s">
        <v>807</v>
      </c>
      <c r="Y118" t="s">
        <v>817</v>
      </c>
      <c r="Z118" s="31"/>
      <c r="AA118">
        <v>23580</v>
      </c>
      <c r="AB118">
        <v>1800</v>
      </c>
      <c r="AC118">
        <v>65</v>
      </c>
      <c r="AD118" t="s">
        <v>31</v>
      </c>
      <c r="AE118" s="31">
        <v>45726</v>
      </c>
      <c r="AF118" s="61">
        <v>0.63922453703703708</v>
      </c>
      <c r="AH118" t="s">
        <v>795</v>
      </c>
      <c r="AI118" s="31">
        <v>45791</v>
      </c>
      <c r="AJ118" s="61">
        <v>0.48103009259259261</v>
      </c>
      <c r="AK118" t="s">
        <v>934</v>
      </c>
      <c r="AN118" t="s">
        <v>1483</v>
      </c>
      <c r="AO118" t="s">
        <v>31</v>
      </c>
      <c r="AP118" t="s">
        <v>1483</v>
      </c>
      <c r="AR118" s="31"/>
      <c r="AX118">
        <v>1</v>
      </c>
    </row>
    <row r="119" spans="1:50" x14ac:dyDescent="0.3">
      <c r="A119" t="s">
        <v>22</v>
      </c>
      <c r="B119">
        <v>287</v>
      </c>
      <c r="D119">
        <v>1902</v>
      </c>
      <c r="G119" t="s">
        <v>1484</v>
      </c>
      <c r="H119">
        <v>7764744000202</v>
      </c>
      <c r="J119" t="s">
        <v>1485</v>
      </c>
      <c r="K119" t="s">
        <v>1486</v>
      </c>
      <c r="M119" t="s">
        <v>1487</v>
      </c>
      <c r="P119" t="s">
        <v>778</v>
      </c>
      <c r="S119" t="s">
        <v>791</v>
      </c>
      <c r="V119" t="s">
        <v>1488</v>
      </c>
      <c r="W119" t="s">
        <v>780</v>
      </c>
      <c r="X119" t="s">
        <v>807</v>
      </c>
      <c r="Y119" t="s">
        <v>817</v>
      </c>
      <c r="Z119" s="31"/>
      <c r="AA119">
        <v>16000</v>
      </c>
      <c r="AB119">
        <v>68607</v>
      </c>
      <c r="AC119">
        <v>54</v>
      </c>
      <c r="AD119" t="s">
        <v>22</v>
      </c>
      <c r="AE119" s="31">
        <v>45726</v>
      </c>
      <c r="AF119" s="61">
        <v>0.69724537037037038</v>
      </c>
      <c r="AH119" t="s">
        <v>795</v>
      </c>
      <c r="AI119" s="31">
        <v>45780</v>
      </c>
      <c r="AJ119" s="61">
        <v>0.44266203703703699</v>
      </c>
      <c r="AK119" t="s">
        <v>974</v>
      </c>
      <c r="AN119" t="s">
        <v>1489</v>
      </c>
      <c r="AO119" t="s">
        <v>22</v>
      </c>
      <c r="AP119" t="s">
        <v>1490</v>
      </c>
      <c r="AQ119" t="s">
        <v>1491</v>
      </c>
      <c r="AR119" s="31"/>
      <c r="AX119">
        <v>1</v>
      </c>
    </row>
    <row r="120" spans="1:50" x14ac:dyDescent="0.3">
      <c r="A120" t="s">
        <v>44</v>
      </c>
      <c r="B120">
        <v>291</v>
      </c>
      <c r="D120">
        <v>1904</v>
      </c>
      <c r="G120" t="s">
        <v>1492</v>
      </c>
      <c r="J120" t="s">
        <v>1493</v>
      </c>
      <c r="K120" t="s">
        <v>1494</v>
      </c>
      <c r="M120" t="s">
        <v>1495</v>
      </c>
      <c r="P120" t="s">
        <v>778</v>
      </c>
      <c r="S120" t="s">
        <v>1496</v>
      </c>
      <c r="W120" t="s">
        <v>780</v>
      </c>
      <c r="X120" t="s">
        <v>816</v>
      </c>
      <c r="Y120" t="s">
        <v>817</v>
      </c>
      <c r="Z120" s="31"/>
      <c r="AA120">
        <v>12720</v>
      </c>
      <c r="AB120">
        <v>1764</v>
      </c>
      <c r="AC120">
        <v>47</v>
      </c>
      <c r="AD120" t="s">
        <v>44</v>
      </c>
      <c r="AE120" s="31">
        <v>45729</v>
      </c>
      <c r="AF120" s="61">
        <v>0.59673611111111113</v>
      </c>
      <c r="AH120" t="s">
        <v>818</v>
      </c>
      <c r="AI120" s="31">
        <v>45776</v>
      </c>
      <c r="AJ120" s="61">
        <v>0.60798611111111112</v>
      </c>
      <c r="AN120" t="s">
        <v>1497</v>
      </c>
      <c r="AP120" t="s">
        <v>1497</v>
      </c>
      <c r="AR120" s="31"/>
      <c r="AX120">
        <v>1</v>
      </c>
    </row>
    <row r="121" spans="1:50" x14ac:dyDescent="0.3">
      <c r="A121" t="s">
        <v>22</v>
      </c>
      <c r="B121">
        <v>293</v>
      </c>
      <c r="D121">
        <v>1907</v>
      </c>
      <c r="G121" t="s">
        <v>1498</v>
      </c>
      <c r="J121" t="s">
        <v>1499</v>
      </c>
      <c r="K121" t="s">
        <v>1500</v>
      </c>
      <c r="M121" t="s">
        <v>1501</v>
      </c>
      <c r="P121" t="s">
        <v>778</v>
      </c>
      <c r="Q121" t="s">
        <v>1502</v>
      </c>
      <c r="S121" t="s">
        <v>814</v>
      </c>
      <c r="V121" t="s">
        <v>1198</v>
      </c>
      <c r="W121" t="s">
        <v>780</v>
      </c>
      <c r="X121" t="s">
        <v>857</v>
      </c>
      <c r="Y121" t="s">
        <v>817</v>
      </c>
      <c r="Z121" s="31"/>
      <c r="AC121">
        <v>21</v>
      </c>
      <c r="AD121" t="s">
        <v>22</v>
      </c>
      <c r="AE121" s="31">
        <v>45733</v>
      </c>
      <c r="AF121" s="61">
        <v>0.37027777777777782</v>
      </c>
      <c r="AH121" t="s">
        <v>795</v>
      </c>
      <c r="AI121" s="31">
        <v>45754</v>
      </c>
      <c r="AJ121" s="61">
        <v>0.58361111111111108</v>
      </c>
      <c r="AK121" t="s">
        <v>858</v>
      </c>
      <c r="AN121" t="s">
        <v>1503</v>
      </c>
      <c r="AP121" t="s">
        <v>1503</v>
      </c>
      <c r="AR121" s="31"/>
      <c r="AX121">
        <v>1</v>
      </c>
    </row>
    <row r="122" spans="1:50" x14ac:dyDescent="0.3">
      <c r="A122" t="s">
        <v>22</v>
      </c>
      <c r="B122">
        <v>294</v>
      </c>
      <c r="D122">
        <v>1908</v>
      </c>
      <c r="G122" t="s">
        <v>1504</v>
      </c>
      <c r="J122" t="s">
        <v>1505</v>
      </c>
      <c r="K122" t="s">
        <v>1506</v>
      </c>
      <c r="M122" t="s">
        <v>1111</v>
      </c>
      <c r="P122" t="s">
        <v>778</v>
      </c>
      <c r="S122" t="s">
        <v>1191</v>
      </c>
      <c r="W122" t="s">
        <v>780</v>
      </c>
      <c r="X122" t="s">
        <v>857</v>
      </c>
      <c r="Y122" t="s">
        <v>817</v>
      </c>
      <c r="Z122" s="31"/>
      <c r="AC122">
        <v>21</v>
      </c>
      <c r="AD122" t="s">
        <v>22</v>
      </c>
      <c r="AE122" s="31">
        <v>45733</v>
      </c>
      <c r="AF122" s="61">
        <v>0.37392361111111111</v>
      </c>
      <c r="AH122" t="s">
        <v>795</v>
      </c>
      <c r="AI122" s="31">
        <v>45754</v>
      </c>
      <c r="AJ122" s="61">
        <v>0.49223379629629632</v>
      </c>
      <c r="AK122" t="s">
        <v>858</v>
      </c>
      <c r="AN122" t="s">
        <v>1503</v>
      </c>
      <c r="AO122" t="s">
        <v>22</v>
      </c>
      <c r="AP122" t="s">
        <v>1503</v>
      </c>
      <c r="AR122" s="31"/>
      <c r="AX122">
        <v>1</v>
      </c>
    </row>
    <row r="123" spans="1:50" x14ac:dyDescent="0.3">
      <c r="A123" t="s">
        <v>44</v>
      </c>
      <c r="B123">
        <v>295</v>
      </c>
      <c r="D123">
        <v>1909</v>
      </c>
      <c r="G123" t="s">
        <v>1507</v>
      </c>
      <c r="J123" t="s">
        <v>1508</v>
      </c>
      <c r="K123" t="s">
        <v>1509</v>
      </c>
      <c r="M123" t="s">
        <v>1510</v>
      </c>
      <c r="P123" t="s">
        <v>778</v>
      </c>
      <c r="S123" t="s">
        <v>933</v>
      </c>
      <c r="W123" t="s">
        <v>780</v>
      </c>
      <c r="X123" t="s">
        <v>807</v>
      </c>
      <c r="Y123" t="s">
        <v>817</v>
      </c>
      <c r="Z123" s="31"/>
      <c r="AA123">
        <v>79920</v>
      </c>
      <c r="AB123">
        <v>33813</v>
      </c>
      <c r="AC123">
        <v>59</v>
      </c>
      <c r="AD123" t="s">
        <v>44</v>
      </c>
      <c r="AE123" s="31">
        <v>45733</v>
      </c>
      <c r="AF123" s="61">
        <v>0.52471064814814816</v>
      </c>
      <c r="AH123" t="s">
        <v>795</v>
      </c>
      <c r="AI123" s="31">
        <v>45792</v>
      </c>
      <c r="AJ123" s="61">
        <v>0.68163194444444442</v>
      </c>
      <c r="AK123" t="s">
        <v>796</v>
      </c>
      <c r="AL123" t="s">
        <v>797</v>
      </c>
      <c r="AN123" t="s">
        <v>1511</v>
      </c>
      <c r="AP123" t="s">
        <v>1512</v>
      </c>
      <c r="AR123" s="31"/>
      <c r="AX123">
        <v>1</v>
      </c>
    </row>
    <row r="124" spans="1:50" x14ac:dyDescent="0.3">
      <c r="A124" t="s">
        <v>44</v>
      </c>
      <c r="B124">
        <v>298</v>
      </c>
      <c r="D124">
        <v>1913</v>
      </c>
      <c r="G124" t="s">
        <v>1513</v>
      </c>
      <c r="J124" t="s">
        <v>1514</v>
      </c>
      <c r="K124" t="s">
        <v>1509</v>
      </c>
      <c r="M124" t="s">
        <v>1515</v>
      </c>
      <c r="P124" t="s">
        <v>778</v>
      </c>
      <c r="S124" t="s">
        <v>933</v>
      </c>
      <c r="W124" t="s">
        <v>780</v>
      </c>
      <c r="X124" t="s">
        <v>807</v>
      </c>
      <c r="Y124" t="s">
        <v>817</v>
      </c>
      <c r="Z124" s="31"/>
      <c r="AA124">
        <v>1600</v>
      </c>
      <c r="AB124">
        <v>3196</v>
      </c>
      <c r="AC124">
        <v>58</v>
      </c>
      <c r="AD124" t="s">
        <v>44</v>
      </c>
      <c r="AE124" s="31">
        <v>45734</v>
      </c>
      <c r="AF124" s="61">
        <v>0.62533564814814813</v>
      </c>
      <c r="AH124" t="s">
        <v>795</v>
      </c>
      <c r="AI124" s="31">
        <v>45792</v>
      </c>
      <c r="AJ124" s="61">
        <v>0.68206018518518519</v>
      </c>
      <c r="AK124" t="s">
        <v>796</v>
      </c>
      <c r="AL124" t="s">
        <v>797</v>
      </c>
      <c r="AN124" t="s">
        <v>1511</v>
      </c>
      <c r="AP124" t="s">
        <v>1512</v>
      </c>
      <c r="AR124" s="31"/>
      <c r="AX124">
        <v>1</v>
      </c>
    </row>
    <row r="125" spans="1:50" x14ac:dyDescent="0.3">
      <c r="A125" t="s">
        <v>44</v>
      </c>
      <c r="B125">
        <v>301</v>
      </c>
      <c r="D125">
        <v>1916</v>
      </c>
      <c r="G125" t="s">
        <v>1516</v>
      </c>
      <c r="J125" t="s">
        <v>1517</v>
      </c>
      <c r="K125" t="s">
        <v>1458</v>
      </c>
      <c r="M125" t="s">
        <v>1459</v>
      </c>
      <c r="P125" t="s">
        <v>778</v>
      </c>
      <c r="S125" t="s">
        <v>791</v>
      </c>
      <c r="W125" t="s">
        <v>780</v>
      </c>
      <c r="X125" t="s">
        <v>816</v>
      </c>
      <c r="Z125" s="31"/>
      <c r="AA125">
        <v>2339208</v>
      </c>
      <c r="AB125">
        <v>0</v>
      </c>
      <c r="AC125">
        <v>13</v>
      </c>
      <c r="AD125" t="s">
        <v>44</v>
      </c>
      <c r="AE125" s="31">
        <v>45736</v>
      </c>
      <c r="AF125" s="61">
        <v>0.61819444444444449</v>
      </c>
      <c r="AH125" t="s">
        <v>818</v>
      </c>
      <c r="AI125" s="31">
        <v>45749</v>
      </c>
      <c r="AJ125" s="61">
        <v>0.42002314814814817</v>
      </c>
      <c r="AN125" t="s">
        <v>1518</v>
      </c>
      <c r="AR125" s="31"/>
      <c r="AX125">
        <v>1</v>
      </c>
    </row>
    <row r="126" spans="1:50" x14ac:dyDescent="0.3">
      <c r="A126" t="s">
        <v>44</v>
      </c>
      <c r="B126">
        <v>303</v>
      </c>
      <c r="D126">
        <v>1919</v>
      </c>
      <c r="G126" t="s">
        <v>1519</v>
      </c>
      <c r="J126" t="s">
        <v>1520</v>
      </c>
      <c r="K126" t="s">
        <v>1521</v>
      </c>
      <c r="M126" t="s">
        <v>1522</v>
      </c>
      <c r="P126" t="s">
        <v>778</v>
      </c>
      <c r="Q126" t="s">
        <v>1523</v>
      </c>
      <c r="S126" t="s">
        <v>814</v>
      </c>
      <c r="V126" t="s">
        <v>1186</v>
      </c>
      <c r="W126" t="s">
        <v>780</v>
      </c>
      <c r="X126" t="s">
        <v>816</v>
      </c>
      <c r="Y126" t="s">
        <v>817</v>
      </c>
      <c r="Z126" s="31"/>
      <c r="AA126">
        <v>583848</v>
      </c>
      <c r="AB126">
        <v>229112</v>
      </c>
      <c r="AC126">
        <v>57</v>
      </c>
      <c r="AD126" t="s">
        <v>22</v>
      </c>
      <c r="AE126" s="31">
        <v>45741</v>
      </c>
      <c r="AF126" s="61">
        <v>0.38427083333333328</v>
      </c>
      <c r="AH126" t="s">
        <v>818</v>
      </c>
      <c r="AI126" s="31">
        <v>45798</v>
      </c>
      <c r="AJ126" s="61">
        <v>0.37590277777777781</v>
      </c>
      <c r="AN126" t="s">
        <v>1524</v>
      </c>
      <c r="AP126" t="s">
        <v>1525</v>
      </c>
      <c r="AQ126" t="s">
        <v>1524</v>
      </c>
      <c r="AR126" s="31"/>
      <c r="AX126">
        <v>1</v>
      </c>
    </row>
    <row r="127" spans="1:50" x14ac:dyDescent="0.3">
      <c r="A127" t="s">
        <v>44</v>
      </c>
      <c r="B127">
        <v>304</v>
      </c>
      <c r="D127">
        <v>1922</v>
      </c>
      <c r="G127" t="s">
        <v>1526</v>
      </c>
      <c r="J127" t="s">
        <v>1527</v>
      </c>
      <c r="K127" t="s">
        <v>1458</v>
      </c>
      <c r="M127" t="s">
        <v>1459</v>
      </c>
      <c r="P127" t="s">
        <v>778</v>
      </c>
      <c r="W127" t="s">
        <v>780</v>
      </c>
      <c r="X127" t="s">
        <v>816</v>
      </c>
      <c r="Z127" s="31"/>
      <c r="AA127">
        <v>0</v>
      </c>
      <c r="AB127">
        <v>14256</v>
      </c>
      <c r="AC127">
        <v>0</v>
      </c>
      <c r="AD127" t="s">
        <v>44</v>
      </c>
      <c r="AE127" s="31">
        <v>45742</v>
      </c>
      <c r="AF127" s="61">
        <v>0.51811342592592591</v>
      </c>
      <c r="AH127" t="s">
        <v>818</v>
      </c>
      <c r="AI127" s="31">
        <v>45742</v>
      </c>
      <c r="AJ127" s="61">
        <v>0.51986111111111111</v>
      </c>
      <c r="AN127" t="s">
        <v>1528</v>
      </c>
      <c r="AR127" s="31"/>
      <c r="AX127">
        <v>1</v>
      </c>
    </row>
    <row r="128" spans="1:50" x14ac:dyDescent="0.3">
      <c r="A128" t="s">
        <v>44</v>
      </c>
      <c r="B128">
        <v>305</v>
      </c>
      <c r="D128">
        <v>1923</v>
      </c>
      <c r="G128" t="s">
        <v>1529</v>
      </c>
      <c r="H128">
        <v>49695060000165</v>
      </c>
      <c r="J128" t="s">
        <v>1530</v>
      </c>
      <c r="K128" t="s">
        <v>1531</v>
      </c>
      <c r="M128" t="s">
        <v>1532</v>
      </c>
      <c r="P128" t="s">
        <v>778</v>
      </c>
      <c r="Q128" t="s">
        <v>1094</v>
      </c>
      <c r="R128" t="s">
        <v>790</v>
      </c>
      <c r="S128" t="s">
        <v>1191</v>
      </c>
      <c r="W128" t="s">
        <v>780</v>
      </c>
      <c r="X128" t="s">
        <v>793</v>
      </c>
      <c r="Y128" t="s">
        <v>817</v>
      </c>
      <c r="Z128" s="31"/>
      <c r="AA128">
        <v>64448</v>
      </c>
      <c r="AB128">
        <v>159326</v>
      </c>
      <c r="AC128">
        <v>50</v>
      </c>
      <c r="AD128" t="s">
        <v>44</v>
      </c>
      <c r="AE128" s="31">
        <v>45742</v>
      </c>
      <c r="AF128" s="61">
        <v>0.53810185185185189</v>
      </c>
      <c r="AH128" t="s">
        <v>795</v>
      </c>
      <c r="AI128" s="31">
        <v>45792</v>
      </c>
      <c r="AJ128" s="61">
        <v>0.64240740740740743</v>
      </c>
      <c r="AK128" t="s">
        <v>796</v>
      </c>
      <c r="AL128" t="s">
        <v>1533</v>
      </c>
      <c r="AN128" t="s">
        <v>1525</v>
      </c>
      <c r="AP128" t="s">
        <v>1528</v>
      </c>
      <c r="AR128" s="31"/>
      <c r="AX128">
        <v>1</v>
      </c>
    </row>
    <row r="129" spans="1:50" x14ac:dyDescent="0.3">
      <c r="A129" t="s">
        <v>44</v>
      </c>
      <c r="B129">
        <v>311</v>
      </c>
      <c r="D129">
        <v>1942</v>
      </c>
      <c r="G129" t="s">
        <v>1534</v>
      </c>
      <c r="J129" t="s">
        <v>642</v>
      </c>
      <c r="K129" t="s">
        <v>1535</v>
      </c>
      <c r="M129" t="s">
        <v>1536</v>
      </c>
      <c r="P129" t="s">
        <v>778</v>
      </c>
      <c r="W129" t="s">
        <v>780</v>
      </c>
      <c r="X129" t="s">
        <v>816</v>
      </c>
      <c r="Y129" t="s">
        <v>1537</v>
      </c>
      <c r="Z129" s="31"/>
      <c r="AA129">
        <v>16960</v>
      </c>
      <c r="AB129">
        <v>10810</v>
      </c>
      <c r="AC129">
        <v>43</v>
      </c>
      <c r="AD129" t="s">
        <v>44</v>
      </c>
      <c r="AE129" s="31">
        <v>45743</v>
      </c>
      <c r="AF129" s="61">
        <v>0.53383101851851855</v>
      </c>
      <c r="AH129" t="s">
        <v>818</v>
      </c>
      <c r="AI129" s="31">
        <v>45786</v>
      </c>
      <c r="AJ129" s="61">
        <v>0.50201388888888887</v>
      </c>
      <c r="AN129" t="s">
        <v>1524</v>
      </c>
      <c r="AP129" t="s">
        <v>1525</v>
      </c>
      <c r="AQ129" t="s">
        <v>1538</v>
      </c>
      <c r="AR129" s="31"/>
      <c r="AX129">
        <v>1</v>
      </c>
    </row>
    <row r="130" spans="1:50" x14ac:dyDescent="0.3">
      <c r="A130" t="s">
        <v>22</v>
      </c>
      <c r="B130">
        <v>313</v>
      </c>
      <c r="D130">
        <v>1944</v>
      </c>
      <c r="G130" t="s">
        <v>1539</v>
      </c>
      <c r="H130">
        <v>1787082000129</v>
      </c>
      <c r="J130" t="s">
        <v>1540</v>
      </c>
      <c r="K130" t="s">
        <v>1541</v>
      </c>
      <c r="M130" t="s">
        <v>1542</v>
      </c>
      <c r="P130" t="s">
        <v>778</v>
      </c>
      <c r="S130" t="s">
        <v>933</v>
      </c>
      <c r="V130" t="s">
        <v>1488</v>
      </c>
      <c r="W130" t="s">
        <v>780</v>
      </c>
      <c r="X130" t="s">
        <v>816</v>
      </c>
      <c r="Y130" t="s">
        <v>817</v>
      </c>
      <c r="Z130" s="31">
        <v>46904</v>
      </c>
      <c r="AA130">
        <v>51200</v>
      </c>
      <c r="AB130">
        <v>42262</v>
      </c>
      <c r="AC130">
        <v>75</v>
      </c>
      <c r="AD130" t="s">
        <v>22</v>
      </c>
      <c r="AE130" s="31">
        <v>45743</v>
      </c>
      <c r="AF130" s="61">
        <v>0.66615740740740736</v>
      </c>
      <c r="AH130" t="s">
        <v>795</v>
      </c>
      <c r="AI130" s="31">
        <v>45818</v>
      </c>
      <c r="AJ130" s="61">
        <v>0.51120370370370372</v>
      </c>
      <c r="AK130" t="s">
        <v>867</v>
      </c>
      <c r="AN130" t="s">
        <v>1374</v>
      </c>
      <c r="AO130" t="s">
        <v>22</v>
      </c>
      <c r="AP130" t="s">
        <v>1543</v>
      </c>
      <c r="AR130" s="31"/>
      <c r="AX130">
        <v>1</v>
      </c>
    </row>
    <row r="131" spans="1:50" x14ac:dyDescent="0.3">
      <c r="A131" t="s">
        <v>22</v>
      </c>
      <c r="B131">
        <v>314</v>
      </c>
      <c r="D131">
        <v>1948</v>
      </c>
      <c r="G131" t="s">
        <v>1544</v>
      </c>
      <c r="J131" t="s">
        <v>1462</v>
      </c>
      <c r="K131" t="s">
        <v>1545</v>
      </c>
      <c r="M131" t="s">
        <v>1111</v>
      </c>
      <c r="P131" t="s">
        <v>778</v>
      </c>
      <c r="W131" t="s">
        <v>780</v>
      </c>
      <c r="X131" t="s">
        <v>897</v>
      </c>
      <c r="Z131" s="31"/>
      <c r="AC131">
        <v>10</v>
      </c>
      <c r="AD131" t="s">
        <v>22</v>
      </c>
      <c r="AE131" s="31">
        <v>45744</v>
      </c>
      <c r="AF131" s="61">
        <v>0.46645833333333331</v>
      </c>
      <c r="AH131" t="s">
        <v>795</v>
      </c>
      <c r="AI131" s="31">
        <v>45754</v>
      </c>
      <c r="AJ131" s="61">
        <v>0.60836805555555551</v>
      </c>
      <c r="AK131" t="s">
        <v>1226</v>
      </c>
      <c r="AO131" t="s">
        <v>22</v>
      </c>
      <c r="AP131" t="s">
        <v>1546</v>
      </c>
      <c r="AR131" s="31"/>
      <c r="AX131">
        <v>1</v>
      </c>
    </row>
    <row r="132" spans="1:50" x14ac:dyDescent="0.3">
      <c r="A132" t="s">
        <v>44</v>
      </c>
      <c r="B132">
        <v>315</v>
      </c>
      <c r="D132">
        <v>1949</v>
      </c>
      <c r="G132" t="s">
        <v>1547</v>
      </c>
      <c r="J132" t="s">
        <v>1548</v>
      </c>
      <c r="K132" t="s">
        <v>1549</v>
      </c>
      <c r="M132" t="s">
        <v>1522</v>
      </c>
      <c r="P132" t="s">
        <v>778</v>
      </c>
      <c r="W132" t="s">
        <v>780</v>
      </c>
      <c r="X132" t="s">
        <v>816</v>
      </c>
      <c r="Y132" t="s">
        <v>995</v>
      </c>
      <c r="Z132" s="31"/>
      <c r="AA132">
        <v>1600</v>
      </c>
      <c r="AB132">
        <v>180443</v>
      </c>
      <c r="AC132">
        <v>54</v>
      </c>
      <c r="AD132" t="s">
        <v>44</v>
      </c>
      <c r="AE132" s="31">
        <v>45744</v>
      </c>
      <c r="AF132" s="61">
        <v>0.49288194444444439</v>
      </c>
      <c r="AH132" t="s">
        <v>818</v>
      </c>
      <c r="AI132" s="31">
        <v>45798</v>
      </c>
      <c r="AJ132" s="61">
        <v>0.37681712962962971</v>
      </c>
      <c r="AN132" t="s">
        <v>1524</v>
      </c>
      <c r="AP132" t="s">
        <v>1525</v>
      </c>
      <c r="AR132" s="31"/>
      <c r="AX132">
        <v>1</v>
      </c>
    </row>
    <row r="133" spans="1:50" x14ac:dyDescent="0.3">
      <c r="A133" t="s">
        <v>44</v>
      </c>
      <c r="B133">
        <v>316</v>
      </c>
      <c r="D133">
        <v>1950</v>
      </c>
      <c r="G133" t="s">
        <v>1550</v>
      </c>
      <c r="H133">
        <v>49695060000165</v>
      </c>
      <c r="J133" t="s">
        <v>1551</v>
      </c>
      <c r="K133" t="s">
        <v>1531</v>
      </c>
      <c r="M133" t="s">
        <v>1532</v>
      </c>
      <c r="P133" t="s">
        <v>778</v>
      </c>
      <c r="Q133" t="s">
        <v>1094</v>
      </c>
      <c r="R133" t="s">
        <v>790</v>
      </c>
      <c r="W133" t="s">
        <v>780</v>
      </c>
      <c r="X133" t="s">
        <v>793</v>
      </c>
      <c r="Z133" s="31"/>
      <c r="AA133">
        <v>1600</v>
      </c>
      <c r="AB133">
        <v>2178</v>
      </c>
      <c r="AC133">
        <v>48</v>
      </c>
      <c r="AD133" t="s">
        <v>44</v>
      </c>
      <c r="AE133" s="31">
        <v>45744</v>
      </c>
      <c r="AF133" s="61">
        <v>0.62916666666666665</v>
      </c>
      <c r="AH133" t="s">
        <v>795</v>
      </c>
      <c r="AI133" s="31">
        <v>45792</v>
      </c>
      <c r="AJ133" s="61">
        <v>0.64351851851851849</v>
      </c>
      <c r="AK133" t="s">
        <v>796</v>
      </c>
      <c r="AL133" t="s">
        <v>1533</v>
      </c>
      <c r="AM133" t="s">
        <v>1528</v>
      </c>
      <c r="AN133" t="s">
        <v>1528</v>
      </c>
      <c r="AP133" t="s">
        <v>1528</v>
      </c>
      <c r="AR133" s="31"/>
      <c r="AX133">
        <v>1</v>
      </c>
    </row>
    <row r="134" spans="1:50" x14ac:dyDescent="0.3">
      <c r="A134" t="s">
        <v>44</v>
      </c>
      <c r="B134">
        <v>317</v>
      </c>
      <c r="D134">
        <v>1952</v>
      </c>
      <c r="G134" t="s">
        <v>1552</v>
      </c>
      <c r="H134">
        <v>8652421000109</v>
      </c>
      <c r="J134" t="s">
        <v>1553</v>
      </c>
      <c r="K134" t="s">
        <v>1554</v>
      </c>
      <c r="M134" t="s">
        <v>1427</v>
      </c>
      <c r="P134" t="s">
        <v>778</v>
      </c>
      <c r="Q134" t="s">
        <v>1428</v>
      </c>
      <c r="R134" t="s">
        <v>1027</v>
      </c>
      <c r="W134" t="s">
        <v>780</v>
      </c>
      <c r="X134" t="s">
        <v>807</v>
      </c>
      <c r="Z134" s="31"/>
      <c r="AA134">
        <v>74860</v>
      </c>
      <c r="AB134">
        <v>641932</v>
      </c>
      <c r="AC134">
        <v>48</v>
      </c>
      <c r="AD134" t="s">
        <v>44</v>
      </c>
      <c r="AE134" s="31">
        <v>45744</v>
      </c>
      <c r="AF134" s="61">
        <v>0.65123842592592596</v>
      </c>
      <c r="AH134" t="s">
        <v>795</v>
      </c>
      <c r="AI134" s="31">
        <v>45792</v>
      </c>
      <c r="AJ134" s="61">
        <v>0.48288194444444438</v>
      </c>
      <c r="AK134" t="s">
        <v>796</v>
      </c>
      <c r="AL134" t="s">
        <v>1555</v>
      </c>
      <c r="AN134" t="s">
        <v>1524</v>
      </c>
      <c r="AP134" t="s">
        <v>1556</v>
      </c>
      <c r="AR134" s="31"/>
      <c r="AX134">
        <v>1</v>
      </c>
    </row>
    <row r="135" spans="1:50" x14ac:dyDescent="0.3">
      <c r="A135" t="s">
        <v>44</v>
      </c>
      <c r="B135">
        <v>318</v>
      </c>
      <c r="D135">
        <v>1957</v>
      </c>
      <c r="G135" t="s">
        <v>1557</v>
      </c>
      <c r="H135">
        <v>8652421000109</v>
      </c>
      <c r="J135" t="s">
        <v>1558</v>
      </c>
      <c r="K135" t="s">
        <v>1559</v>
      </c>
      <c r="M135" t="s">
        <v>1427</v>
      </c>
      <c r="P135" t="s">
        <v>778</v>
      </c>
      <c r="W135" t="s">
        <v>780</v>
      </c>
      <c r="X135" t="s">
        <v>793</v>
      </c>
      <c r="Z135" s="31"/>
      <c r="AC135">
        <v>19</v>
      </c>
      <c r="AD135" t="s">
        <v>44</v>
      </c>
      <c r="AE135" s="31">
        <v>45744</v>
      </c>
      <c r="AF135" s="61">
        <v>0.65327546296296302</v>
      </c>
      <c r="AH135" t="s">
        <v>795</v>
      </c>
      <c r="AI135" s="31">
        <v>45763</v>
      </c>
      <c r="AJ135" s="61">
        <v>0.40211805555555558</v>
      </c>
      <c r="AK135" t="s">
        <v>796</v>
      </c>
      <c r="AL135" t="s">
        <v>1560</v>
      </c>
      <c r="AN135" t="s">
        <v>1524</v>
      </c>
      <c r="AP135" t="s">
        <v>1556</v>
      </c>
      <c r="AR135" s="31"/>
      <c r="AX135">
        <v>1</v>
      </c>
    </row>
    <row r="136" spans="1:50" x14ac:dyDescent="0.3">
      <c r="A136" t="s">
        <v>44</v>
      </c>
      <c r="B136">
        <v>319</v>
      </c>
      <c r="D136">
        <v>1958</v>
      </c>
      <c r="G136" t="s">
        <v>1561</v>
      </c>
      <c r="J136" t="s">
        <v>1562</v>
      </c>
      <c r="K136" t="s">
        <v>1024</v>
      </c>
      <c r="M136" t="s">
        <v>1025</v>
      </c>
      <c r="P136" t="s">
        <v>778</v>
      </c>
      <c r="W136" t="s">
        <v>780</v>
      </c>
      <c r="X136" t="s">
        <v>816</v>
      </c>
      <c r="Z136" s="31"/>
      <c r="AA136">
        <v>1760013</v>
      </c>
      <c r="AB136">
        <v>0</v>
      </c>
      <c r="AC136">
        <v>0</v>
      </c>
      <c r="AD136" t="s">
        <v>44</v>
      </c>
      <c r="AE136" s="31">
        <v>45747</v>
      </c>
      <c r="AF136" s="61">
        <v>0.47290509259259261</v>
      </c>
      <c r="AH136" t="s">
        <v>818</v>
      </c>
      <c r="AI136" s="31">
        <v>45747</v>
      </c>
      <c r="AJ136" s="61">
        <v>0.48357638888888888</v>
      </c>
      <c r="AN136" t="s">
        <v>1497</v>
      </c>
      <c r="AR136" s="31"/>
      <c r="AX136">
        <v>1</v>
      </c>
    </row>
    <row r="137" spans="1:50" x14ac:dyDescent="0.3">
      <c r="A137" t="s">
        <v>44</v>
      </c>
      <c r="B137">
        <v>321</v>
      </c>
      <c r="D137">
        <v>1961</v>
      </c>
      <c r="G137" t="s">
        <v>1557</v>
      </c>
      <c r="J137" t="s">
        <v>1558</v>
      </c>
      <c r="K137" t="s">
        <v>1563</v>
      </c>
      <c r="M137" t="s">
        <v>1427</v>
      </c>
      <c r="P137" t="s">
        <v>778</v>
      </c>
      <c r="W137" t="s">
        <v>780</v>
      </c>
      <c r="X137" t="s">
        <v>807</v>
      </c>
      <c r="Z137" s="31"/>
      <c r="AA137">
        <v>1600</v>
      </c>
      <c r="AB137">
        <v>462522</v>
      </c>
      <c r="AC137">
        <v>45</v>
      </c>
      <c r="AD137" t="s">
        <v>44</v>
      </c>
      <c r="AE137" s="31">
        <v>45747</v>
      </c>
      <c r="AF137" s="61">
        <v>0.63219907407407405</v>
      </c>
      <c r="AH137" t="s">
        <v>795</v>
      </c>
      <c r="AI137" s="31">
        <v>45792</v>
      </c>
      <c r="AJ137" s="61">
        <v>0.48388888888888892</v>
      </c>
      <c r="AK137" t="s">
        <v>796</v>
      </c>
      <c r="AL137" t="s">
        <v>1555</v>
      </c>
      <c r="AN137" t="s">
        <v>1524</v>
      </c>
      <c r="AP137" t="s">
        <v>1556</v>
      </c>
      <c r="AR137" s="31"/>
      <c r="AX137">
        <v>1</v>
      </c>
    </row>
    <row r="138" spans="1:50" x14ac:dyDescent="0.3">
      <c r="A138" t="s">
        <v>44</v>
      </c>
      <c r="B138">
        <v>322</v>
      </c>
      <c r="D138">
        <v>1962</v>
      </c>
      <c r="G138" t="s">
        <v>1564</v>
      </c>
      <c r="J138" t="s">
        <v>1565</v>
      </c>
      <c r="K138" t="s">
        <v>991</v>
      </c>
      <c r="M138" t="s">
        <v>992</v>
      </c>
      <c r="P138" t="s">
        <v>778</v>
      </c>
      <c r="W138" t="s">
        <v>780</v>
      </c>
      <c r="X138" t="s">
        <v>816</v>
      </c>
      <c r="Z138" s="31"/>
      <c r="AA138">
        <v>0</v>
      </c>
      <c r="AB138">
        <v>30002</v>
      </c>
      <c r="AC138">
        <v>24</v>
      </c>
      <c r="AD138" t="s">
        <v>44</v>
      </c>
      <c r="AE138" s="31">
        <v>45747</v>
      </c>
      <c r="AF138" s="61">
        <v>0.69299768518518523</v>
      </c>
      <c r="AH138" t="s">
        <v>818</v>
      </c>
      <c r="AI138" s="31">
        <v>45771</v>
      </c>
      <c r="AJ138" s="61">
        <v>0.50261574074074078</v>
      </c>
      <c r="AN138" t="s">
        <v>1524</v>
      </c>
      <c r="AR138" s="31"/>
      <c r="AX138">
        <v>1</v>
      </c>
    </row>
    <row r="139" spans="1:50" x14ac:dyDescent="0.3">
      <c r="A139" t="s">
        <v>44</v>
      </c>
      <c r="B139">
        <v>323</v>
      </c>
      <c r="D139">
        <v>1963</v>
      </c>
      <c r="G139" t="s">
        <v>1566</v>
      </c>
      <c r="J139" t="s">
        <v>1567</v>
      </c>
      <c r="K139" t="s">
        <v>1568</v>
      </c>
      <c r="M139" t="s">
        <v>1569</v>
      </c>
      <c r="P139" t="s">
        <v>778</v>
      </c>
      <c r="W139" t="s">
        <v>780</v>
      </c>
      <c r="X139" t="s">
        <v>793</v>
      </c>
      <c r="Z139" s="31"/>
      <c r="AA139">
        <v>16960</v>
      </c>
      <c r="AB139">
        <v>1980</v>
      </c>
      <c r="AC139">
        <v>64</v>
      </c>
      <c r="AD139" t="s">
        <v>44</v>
      </c>
      <c r="AE139" s="31">
        <v>45747</v>
      </c>
      <c r="AF139" s="61">
        <v>0.70123842592592589</v>
      </c>
      <c r="AH139" t="s">
        <v>795</v>
      </c>
      <c r="AI139" s="31">
        <v>45811</v>
      </c>
      <c r="AJ139" s="61">
        <v>0.46266203703703701</v>
      </c>
      <c r="AK139" t="s">
        <v>858</v>
      </c>
      <c r="AL139" t="s">
        <v>1570</v>
      </c>
      <c r="AN139" t="s">
        <v>1524</v>
      </c>
      <c r="AP139" t="s">
        <v>1524</v>
      </c>
      <c r="AR139" s="31"/>
      <c r="AX139">
        <v>1</v>
      </c>
    </row>
    <row r="140" spans="1:50" x14ac:dyDescent="0.3">
      <c r="A140" t="s">
        <v>44</v>
      </c>
      <c r="B140">
        <v>328</v>
      </c>
      <c r="D140">
        <v>1970</v>
      </c>
      <c r="G140" t="s">
        <v>1571</v>
      </c>
      <c r="J140" t="s">
        <v>1572</v>
      </c>
      <c r="K140" t="s">
        <v>1573</v>
      </c>
      <c r="M140" t="s">
        <v>1574</v>
      </c>
      <c r="P140" t="s">
        <v>778</v>
      </c>
      <c r="W140" t="s">
        <v>780</v>
      </c>
      <c r="X140" t="s">
        <v>897</v>
      </c>
      <c r="Z140" s="31"/>
      <c r="AC140">
        <v>71</v>
      </c>
      <c r="AD140" t="s">
        <v>44</v>
      </c>
      <c r="AE140" s="31">
        <v>45748</v>
      </c>
      <c r="AF140" s="61">
        <v>0.6648263888888889</v>
      </c>
      <c r="AH140" t="s">
        <v>795</v>
      </c>
      <c r="AI140" s="31">
        <v>45819</v>
      </c>
      <c r="AJ140" s="61">
        <v>0.60791666666666666</v>
      </c>
      <c r="AK140" t="s">
        <v>796</v>
      </c>
      <c r="AL140" t="s">
        <v>1575</v>
      </c>
      <c r="AM140" t="s">
        <v>1576</v>
      </c>
      <c r="AR140" s="31"/>
      <c r="AX140">
        <v>1</v>
      </c>
    </row>
    <row r="141" spans="1:50" x14ac:dyDescent="0.3">
      <c r="A141" t="s">
        <v>44</v>
      </c>
      <c r="B141">
        <v>333</v>
      </c>
      <c r="D141">
        <v>1977</v>
      </c>
      <c r="G141" t="s">
        <v>1577</v>
      </c>
      <c r="H141">
        <v>32921219000110</v>
      </c>
      <c r="J141" t="s">
        <v>1578</v>
      </c>
      <c r="K141" t="s">
        <v>1579</v>
      </c>
      <c r="M141" t="s">
        <v>1580</v>
      </c>
      <c r="P141" t="s">
        <v>778</v>
      </c>
      <c r="V141" t="s">
        <v>1581</v>
      </c>
      <c r="W141" t="s">
        <v>780</v>
      </c>
      <c r="X141" t="s">
        <v>807</v>
      </c>
      <c r="Z141" s="31"/>
      <c r="AA141">
        <v>69112</v>
      </c>
      <c r="AB141">
        <v>318388</v>
      </c>
      <c r="AC141">
        <v>88</v>
      </c>
      <c r="AD141" t="s">
        <v>44</v>
      </c>
      <c r="AE141" s="31">
        <v>45750</v>
      </c>
      <c r="AF141" s="61">
        <v>0.66128472222222223</v>
      </c>
      <c r="AH141" t="s">
        <v>795</v>
      </c>
      <c r="AI141" s="31">
        <v>45838</v>
      </c>
      <c r="AJ141" s="61">
        <v>0.63310185185185186</v>
      </c>
      <c r="AK141" t="s">
        <v>934</v>
      </c>
      <c r="AL141" t="s">
        <v>1582</v>
      </c>
      <c r="AN141" t="s">
        <v>1583</v>
      </c>
      <c r="AO141" t="s">
        <v>44</v>
      </c>
      <c r="AP141" t="s">
        <v>1583</v>
      </c>
      <c r="AQ141" t="s">
        <v>1584</v>
      </c>
      <c r="AR141" s="31"/>
      <c r="AX141">
        <v>1</v>
      </c>
    </row>
    <row r="142" spans="1:50" x14ac:dyDescent="0.3">
      <c r="A142" t="s">
        <v>31</v>
      </c>
      <c r="B142">
        <v>334</v>
      </c>
      <c r="D142">
        <v>1978</v>
      </c>
      <c r="G142" t="s">
        <v>1585</v>
      </c>
      <c r="H142">
        <v>55940574000131</v>
      </c>
      <c r="J142" t="s">
        <v>1586</v>
      </c>
      <c r="K142" t="s">
        <v>1587</v>
      </c>
      <c r="M142" t="s">
        <v>1588</v>
      </c>
      <c r="P142" t="s">
        <v>778</v>
      </c>
      <c r="S142" t="s">
        <v>933</v>
      </c>
      <c r="V142" t="s">
        <v>1581</v>
      </c>
      <c r="W142" t="s">
        <v>780</v>
      </c>
      <c r="X142" t="s">
        <v>807</v>
      </c>
      <c r="Y142" t="s">
        <v>995</v>
      </c>
      <c r="Z142" s="31">
        <v>46053</v>
      </c>
      <c r="AC142">
        <v>228</v>
      </c>
      <c r="AD142" t="s">
        <v>31</v>
      </c>
      <c r="AE142" s="31">
        <v>45751</v>
      </c>
      <c r="AF142" s="61">
        <v>0.64585648148148145</v>
      </c>
      <c r="AH142" t="s">
        <v>795</v>
      </c>
      <c r="AI142" s="31">
        <v>45979</v>
      </c>
      <c r="AJ142" s="61">
        <v>0.39087962962962958</v>
      </c>
      <c r="AK142" t="s">
        <v>796</v>
      </c>
      <c r="AN142" t="s">
        <v>1589</v>
      </c>
      <c r="AO142" t="s">
        <v>31</v>
      </c>
      <c r="AP142" t="s">
        <v>1590</v>
      </c>
      <c r="AQ142" t="s">
        <v>1591</v>
      </c>
      <c r="AR142" s="31"/>
      <c r="AX142">
        <v>1</v>
      </c>
    </row>
    <row r="143" spans="1:50" x14ac:dyDescent="0.3">
      <c r="A143" t="s">
        <v>44</v>
      </c>
      <c r="B143">
        <v>336</v>
      </c>
      <c r="D143">
        <v>1980</v>
      </c>
      <c r="G143" t="s">
        <v>1592</v>
      </c>
      <c r="H143">
        <v>56262451000151</v>
      </c>
      <c r="J143" t="s">
        <v>1593</v>
      </c>
      <c r="K143" t="s">
        <v>1594</v>
      </c>
      <c r="M143" t="s">
        <v>1595</v>
      </c>
      <c r="P143" t="s">
        <v>778</v>
      </c>
      <c r="Q143" t="s">
        <v>1596</v>
      </c>
      <c r="R143" t="s">
        <v>790</v>
      </c>
      <c r="W143" t="s">
        <v>780</v>
      </c>
      <c r="X143" t="s">
        <v>807</v>
      </c>
      <c r="Z143" s="31"/>
      <c r="AA143">
        <v>110486</v>
      </c>
      <c r="AB143">
        <v>704412</v>
      </c>
      <c r="AC143">
        <v>16</v>
      </c>
      <c r="AD143" t="s">
        <v>44</v>
      </c>
      <c r="AE143" s="31">
        <v>45754</v>
      </c>
      <c r="AF143" s="61">
        <v>0.42481481481481481</v>
      </c>
      <c r="AH143" t="s">
        <v>795</v>
      </c>
      <c r="AI143" s="31">
        <v>45770</v>
      </c>
      <c r="AJ143" s="61">
        <v>0.62724537037037043</v>
      </c>
      <c r="AK143" t="s">
        <v>934</v>
      </c>
      <c r="AL143" t="s">
        <v>1597</v>
      </c>
      <c r="AM143" t="s">
        <v>1598</v>
      </c>
      <c r="AN143" t="s">
        <v>1576</v>
      </c>
      <c r="AR143" s="31"/>
      <c r="AX143">
        <v>1</v>
      </c>
    </row>
    <row r="144" spans="1:50" x14ac:dyDescent="0.3">
      <c r="A144" t="s">
        <v>22</v>
      </c>
      <c r="B144">
        <v>338</v>
      </c>
      <c r="D144">
        <v>1983</v>
      </c>
      <c r="G144" t="s">
        <v>1599</v>
      </c>
      <c r="H144">
        <v>750764000102</v>
      </c>
      <c r="J144" t="s">
        <v>1600</v>
      </c>
      <c r="K144" t="s">
        <v>1601</v>
      </c>
      <c r="M144" t="s">
        <v>1602</v>
      </c>
      <c r="P144" t="s">
        <v>778</v>
      </c>
      <c r="W144" t="s">
        <v>780</v>
      </c>
      <c r="X144" t="s">
        <v>807</v>
      </c>
      <c r="Z144" s="31"/>
      <c r="AA144">
        <v>50000</v>
      </c>
      <c r="AB144">
        <v>30502</v>
      </c>
      <c r="AC144">
        <v>26</v>
      </c>
      <c r="AD144" t="s">
        <v>22</v>
      </c>
      <c r="AE144" s="31">
        <v>45754</v>
      </c>
      <c r="AF144" s="61">
        <v>0.60024305555555557</v>
      </c>
      <c r="AH144" t="s">
        <v>795</v>
      </c>
      <c r="AI144" s="31">
        <v>45780</v>
      </c>
      <c r="AJ144" s="61">
        <v>0.44513888888888892</v>
      </c>
      <c r="AK144" t="s">
        <v>867</v>
      </c>
      <c r="AN144" t="s">
        <v>1603</v>
      </c>
      <c r="AO144" t="s">
        <v>22</v>
      </c>
      <c r="AP144" t="s">
        <v>1604</v>
      </c>
      <c r="AR144" s="31"/>
      <c r="AX144">
        <v>1</v>
      </c>
    </row>
    <row r="145" spans="1:50" x14ac:dyDescent="0.3">
      <c r="A145" t="s">
        <v>44</v>
      </c>
      <c r="B145">
        <v>343</v>
      </c>
      <c r="D145">
        <v>1988</v>
      </c>
      <c r="G145" t="s">
        <v>1605</v>
      </c>
      <c r="J145" t="s">
        <v>1606</v>
      </c>
      <c r="K145" t="s">
        <v>1607</v>
      </c>
      <c r="M145" t="s">
        <v>1608</v>
      </c>
      <c r="P145" t="s">
        <v>778</v>
      </c>
      <c r="W145" t="s">
        <v>780</v>
      </c>
      <c r="X145" t="s">
        <v>793</v>
      </c>
      <c r="Z145" s="31"/>
      <c r="AA145">
        <v>32400</v>
      </c>
      <c r="AB145">
        <v>104544</v>
      </c>
      <c r="AC145">
        <v>34</v>
      </c>
      <c r="AD145" t="s">
        <v>44</v>
      </c>
      <c r="AE145" s="31">
        <v>45758</v>
      </c>
      <c r="AF145" s="61">
        <v>0.4972685185185185</v>
      </c>
      <c r="AH145" t="s">
        <v>795</v>
      </c>
      <c r="AI145" s="31">
        <v>45792</v>
      </c>
      <c r="AJ145" s="61">
        <v>0.47031250000000002</v>
      </c>
      <c r="AK145" t="s">
        <v>796</v>
      </c>
      <c r="AL145" t="s">
        <v>1609</v>
      </c>
      <c r="AN145" t="s">
        <v>1610</v>
      </c>
      <c r="AP145" t="s">
        <v>1610</v>
      </c>
      <c r="AR145" s="31"/>
      <c r="AX145">
        <v>1</v>
      </c>
    </row>
    <row r="146" spans="1:50" x14ac:dyDescent="0.3">
      <c r="A146" t="s">
        <v>44</v>
      </c>
      <c r="B146">
        <v>346</v>
      </c>
      <c r="D146">
        <v>1991</v>
      </c>
      <c r="G146" t="s">
        <v>1611</v>
      </c>
      <c r="J146" t="s">
        <v>1612</v>
      </c>
      <c r="K146" t="s">
        <v>1613</v>
      </c>
      <c r="M146" t="s">
        <v>1614</v>
      </c>
      <c r="P146" t="s">
        <v>778</v>
      </c>
      <c r="V146" t="s">
        <v>1615</v>
      </c>
      <c r="W146" t="s">
        <v>780</v>
      </c>
      <c r="X146" t="s">
        <v>816</v>
      </c>
      <c r="Z146" s="31">
        <v>46053</v>
      </c>
      <c r="AA146">
        <v>51306</v>
      </c>
      <c r="AB146">
        <v>2700</v>
      </c>
      <c r="AC146">
        <v>296</v>
      </c>
      <c r="AD146" t="s">
        <v>44</v>
      </c>
      <c r="AE146" s="31">
        <v>45762</v>
      </c>
      <c r="AF146" s="61">
        <v>0.62379629629629629</v>
      </c>
      <c r="AH146" t="s">
        <v>818</v>
      </c>
      <c r="AI146" s="31">
        <v>45783</v>
      </c>
      <c r="AJ146" s="61">
        <v>0.48605324074074069</v>
      </c>
      <c r="AL146" t="s">
        <v>1058</v>
      </c>
      <c r="AN146" t="s">
        <v>888</v>
      </c>
      <c r="AP146" t="s">
        <v>888</v>
      </c>
      <c r="AR146" s="31">
        <v>46028</v>
      </c>
      <c r="AX146">
        <v>1</v>
      </c>
    </row>
    <row r="147" spans="1:50" x14ac:dyDescent="0.3">
      <c r="A147" t="s">
        <v>44</v>
      </c>
      <c r="B147">
        <v>347</v>
      </c>
      <c r="D147">
        <v>1992</v>
      </c>
      <c r="G147" t="s">
        <v>1616</v>
      </c>
      <c r="J147" t="s">
        <v>1617</v>
      </c>
      <c r="K147" t="s">
        <v>1613</v>
      </c>
      <c r="M147" t="s">
        <v>1614</v>
      </c>
      <c r="P147" t="s">
        <v>778</v>
      </c>
      <c r="W147" t="s">
        <v>780</v>
      </c>
      <c r="X147" t="s">
        <v>807</v>
      </c>
      <c r="Z147" s="31"/>
      <c r="AA147">
        <v>15216</v>
      </c>
      <c r="AB147">
        <v>37684</v>
      </c>
      <c r="AC147">
        <v>21</v>
      </c>
      <c r="AD147" t="s">
        <v>44</v>
      </c>
      <c r="AE147" s="31">
        <v>45762</v>
      </c>
      <c r="AF147" s="61">
        <v>0.62471064814814814</v>
      </c>
      <c r="AH147" t="s">
        <v>795</v>
      </c>
      <c r="AI147" s="31">
        <v>45783</v>
      </c>
      <c r="AJ147" s="61">
        <v>0.4869560185185185</v>
      </c>
      <c r="AK147" t="s">
        <v>867</v>
      </c>
      <c r="AL147" t="s">
        <v>1618</v>
      </c>
      <c r="AN147" t="s">
        <v>1584</v>
      </c>
      <c r="AP147" t="s">
        <v>1619</v>
      </c>
      <c r="AR147" s="31"/>
      <c r="AX147">
        <v>1</v>
      </c>
    </row>
    <row r="148" spans="1:50" x14ac:dyDescent="0.3">
      <c r="A148" t="s">
        <v>44</v>
      </c>
      <c r="B148">
        <v>348</v>
      </c>
      <c r="D148">
        <v>1993</v>
      </c>
      <c r="G148" t="s">
        <v>1620</v>
      </c>
      <c r="J148" t="s">
        <v>1621</v>
      </c>
      <c r="K148" t="s">
        <v>1622</v>
      </c>
      <c r="M148" t="s">
        <v>1623</v>
      </c>
      <c r="P148" t="s">
        <v>778</v>
      </c>
      <c r="W148" t="s">
        <v>780</v>
      </c>
      <c r="X148" t="s">
        <v>816</v>
      </c>
      <c r="Y148" t="s">
        <v>995</v>
      </c>
      <c r="Z148" s="31"/>
      <c r="AA148">
        <v>15264</v>
      </c>
      <c r="AB148">
        <v>8210</v>
      </c>
      <c r="AC148">
        <v>22</v>
      </c>
      <c r="AD148" t="s">
        <v>44</v>
      </c>
      <c r="AE148" s="31">
        <v>45762</v>
      </c>
      <c r="AF148" s="61">
        <v>0.7232291666666667</v>
      </c>
      <c r="AH148" t="s">
        <v>818</v>
      </c>
      <c r="AI148" s="31">
        <v>45784</v>
      </c>
      <c r="AJ148" s="61">
        <v>0.37145833333333328</v>
      </c>
      <c r="AN148" t="s">
        <v>1624</v>
      </c>
      <c r="AR148" s="31"/>
      <c r="AX148">
        <v>1</v>
      </c>
    </row>
    <row r="149" spans="1:50" x14ac:dyDescent="0.3">
      <c r="A149" t="s">
        <v>44</v>
      </c>
      <c r="B149">
        <v>351</v>
      </c>
      <c r="D149">
        <v>1997</v>
      </c>
      <c r="G149" t="s">
        <v>1625</v>
      </c>
      <c r="H149">
        <v>56262451000151</v>
      </c>
      <c r="J149" t="s">
        <v>1626</v>
      </c>
      <c r="K149" t="s">
        <v>1594</v>
      </c>
      <c r="M149" t="s">
        <v>1595</v>
      </c>
      <c r="P149" t="s">
        <v>778</v>
      </c>
      <c r="Q149" t="s">
        <v>1596</v>
      </c>
      <c r="R149" t="s">
        <v>790</v>
      </c>
      <c r="W149" t="s">
        <v>780</v>
      </c>
      <c r="X149" t="s">
        <v>807</v>
      </c>
      <c r="Z149" s="31"/>
      <c r="AA149">
        <v>1620001</v>
      </c>
      <c r="AB149">
        <v>3400</v>
      </c>
      <c r="AC149">
        <v>6</v>
      </c>
      <c r="AD149" t="s">
        <v>44</v>
      </c>
      <c r="AE149" s="31">
        <v>45764</v>
      </c>
      <c r="AF149" s="61">
        <v>0.43085648148148148</v>
      </c>
      <c r="AH149" t="s">
        <v>795</v>
      </c>
      <c r="AI149" s="31">
        <v>45770</v>
      </c>
      <c r="AJ149" s="61">
        <v>0.62804398148148144</v>
      </c>
      <c r="AK149" t="s">
        <v>934</v>
      </c>
      <c r="AL149" t="s">
        <v>1597</v>
      </c>
      <c r="AN149" t="s">
        <v>1598</v>
      </c>
      <c r="AP149" t="s">
        <v>1576</v>
      </c>
      <c r="AR149" s="31"/>
      <c r="AX149">
        <v>1</v>
      </c>
    </row>
    <row r="150" spans="1:50" x14ac:dyDescent="0.3">
      <c r="A150" t="s">
        <v>44</v>
      </c>
      <c r="B150">
        <v>352</v>
      </c>
      <c r="D150">
        <v>1999</v>
      </c>
      <c r="G150" t="s">
        <v>1627</v>
      </c>
      <c r="J150" t="s">
        <v>1628</v>
      </c>
      <c r="K150" t="s">
        <v>1629</v>
      </c>
      <c r="M150" t="s">
        <v>1595</v>
      </c>
      <c r="P150" t="s">
        <v>778</v>
      </c>
      <c r="W150" t="s">
        <v>780</v>
      </c>
      <c r="X150" t="s">
        <v>807</v>
      </c>
      <c r="Z150" s="31"/>
      <c r="AA150">
        <v>16200</v>
      </c>
      <c r="AB150">
        <v>2160</v>
      </c>
      <c r="AC150">
        <v>6</v>
      </c>
      <c r="AD150" t="s">
        <v>44</v>
      </c>
      <c r="AE150" s="31">
        <v>45764</v>
      </c>
      <c r="AF150" s="61">
        <v>0.46605324074074073</v>
      </c>
      <c r="AH150" t="s">
        <v>795</v>
      </c>
      <c r="AI150" s="31">
        <v>45770</v>
      </c>
      <c r="AJ150" s="61">
        <v>0.62869212962962961</v>
      </c>
      <c r="AK150" t="s">
        <v>934</v>
      </c>
      <c r="AL150" t="s">
        <v>1597</v>
      </c>
      <c r="AN150" t="s">
        <v>1598</v>
      </c>
      <c r="AP150" t="s">
        <v>1576</v>
      </c>
      <c r="AR150" s="31"/>
      <c r="AX150">
        <v>1</v>
      </c>
    </row>
    <row r="151" spans="1:50" x14ac:dyDescent="0.3">
      <c r="A151" t="s">
        <v>44</v>
      </c>
      <c r="B151">
        <v>353</v>
      </c>
      <c r="D151">
        <v>2000</v>
      </c>
      <c r="G151" t="s">
        <v>1630</v>
      </c>
      <c r="H151">
        <v>8678467000105</v>
      </c>
      <c r="J151" t="s">
        <v>1631</v>
      </c>
      <c r="K151" t="s">
        <v>1632</v>
      </c>
      <c r="P151" t="s">
        <v>778</v>
      </c>
      <c r="Q151" t="s">
        <v>1633</v>
      </c>
      <c r="R151" t="s">
        <v>848</v>
      </c>
      <c r="V151" t="s">
        <v>1419</v>
      </c>
      <c r="W151" t="s">
        <v>780</v>
      </c>
      <c r="X151" t="s">
        <v>807</v>
      </c>
      <c r="Z151" s="31"/>
      <c r="AA151">
        <v>5667184</v>
      </c>
      <c r="AB151">
        <v>539533</v>
      </c>
      <c r="AC151">
        <v>68</v>
      </c>
      <c r="AD151" t="s">
        <v>44</v>
      </c>
      <c r="AE151" s="31">
        <v>45764</v>
      </c>
      <c r="AF151" s="61">
        <v>0.51119212962962968</v>
      </c>
      <c r="AH151" t="s">
        <v>795</v>
      </c>
      <c r="AI151" s="31">
        <v>45832</v>
      </c>
      <c r="AJ151" s="61">
        <v>0.4964351851851852</v>
      </c>
      <c r="AK151" t="s">
        <v>934</v>
      </c>
      <c r="AL151" t="s">
        <v>1634</v>
      </c>
      <c r="AN151" t="s">
        <v>1583</v>
      </c>
      <c r="AP151" t="s">
        <v>1583</v>
      </c>
      <c r="AR151" s="31"/>
      <c r="AX151">
        <v>1</v>
      </c>
    </row>
    <row r="152" spans="1:50" x14ac:dyDescent="0.3">
      <c r="A152" t="s">
        <v>44</v>
      </c>
      <c r="B152">
        <v>354</v>
      </c>
      <c r="D152">
        <v>2002</v>
      </c>
      <c r="G152" t="s">
        <v>1635</v>
      </c>
      <c r="H152">
        <v>8678467000105</v>
      </c>
      <c r="J152" t="s">
        <v>1636</v>
      </c>
      <c r="K152" t="s">
        <v>1632</v>
      </c>
      <c r="P152" t="s">
        <v>778</v>
      </c>
      <c r="Q152" t="s">
        <v>1633</v>
      </c>
      <c r="R152" t="s">
        <v>848</v>
      </c>
      <c r="V152" t="s">
        <v>1419</v>
      </c>
      <c r="W152" t="s">
        <v>780</v>
      </c>
      <c r="X152" t="s">
        <v>807</v>
      </c>
      <c r="Z152" s="31"/>
      <c r="AA152">
        <v>1600</v>
      </c>
      <c r="AB152">
        <v>28747</v>
      </c>
      <c r="AC152">
        <v>68</v>
      </c>
      <c r="AD152" t="s">
        <v>44</v>
      </c>
      <c r="AE152" s="31">
        <v>45764</v>
      </c>
      <c r="AF152" s="61">
        <v>0.59777777777777774</v>
      </c>
      <c r="AH152" t="s">
        <v>795</v>
      </c>
      <c r="AI152" s="31">
        <v>45832</v>
      </c>
      <c r="AJ152" s="61">
        <v>0.49752314814814808</v>
      </c>
      <c r="AK152" t="s">
        <v>934</v>
      </c>
      <c r="AL152" t="s">
        <v>1637</v>
      </c>
      <c r="AN152" t="s">
        <v>1583</v>
      </c>
      <c r="AP152" t="s">
        <v>1583</v>
      </c>
      <c r="AR152" s="31"/>
      <c r="AX152">
        <v>1</v>
      </c>
    </row>
    <row r="153" spans="1:50" x14ac:dyDescent="0.3">
      <c r="A153" t="s">
        <v>44</v>
      </c>
      <c r="B153">
        <v>355</v>
      </c>
      <c r="D153">
        <v>2004</v>
      </c>
      <c r="G153" t="s">
        <v>1638</v>
      </c>
      <c r="J153" t="s">
        <v>1639</v>
      </c>
      <c r="K153" t="s">
        <v>1579</v>
      </c>
      <c r="M153" t="s">
        <v>1640</v>
      </c>
      <c r="P153" t="s">
        <v>778</v>
      </c>
      <c r="V153" t="s">
        <v>1581</v>
      </c>
      <c r="W153" t="s">
        <v>780</v>
      </c>
      <c r="X153" t="s">
        <v>807</v>
      </c>
      <c r="Z153" s="31"/>
      <c r="AA153">
        <v>1600</v>
      </c>
      <c r="AB153">
        <v>32107</v>
      </c>
      <c r="AC153">
        <v>74</v>
      </c>
      <c r="AD153" t="s">
        <v>44</v>
      </c>
      <c r="AE153" s="31">
        <v>45764</v>
      </c>
      <c r="AF153" s="61">
        <v>0.64312499999999995</v>
      </c>
      <c r="AH153" t="s">
        <v>795</v>
      </c>
      <c r="AI153" s="31">
        <v>45838</v>
      </c>
      <c r="AJ153" s="61">
        <v>0.63413194444444443</v>
      </c>
      <c r="AK153" t="s">
        <v>934</v>
      </c>
      <c r="AL153" t="s">
        <v>1641</v>
      </c>
      <c r="AN153" t="s">
        <v>1583</v>
      </c>
      <c r="AP153" t="s">
        <v>1583</v>
      </c>
      <c r="AQ153" t="s">
        <v>1584</v>
      </c>
      <c r="AR153" s="31"/>
      <c r="AX153">
        <v>1</v>
      </c>
    </row>
    <row r="154" spans="1:50" x14ac:dyDescent="0.3">
      <c r="A154" t="s">
        <v>44</v>
      </c>
      <c r="B154">
        <v>358</v>
      </c>
      <c r="D154">
        <v>2008</v>
      </c>
      <c r="G154" t="s">
        <v>1642</v>
      </c>
      <c r="J154" t="s">
        <v>1643</v>
      </c>
      <c r="K154" t="s">
        <v>1644</v>
      </c>
      <c r="M154" t="s">
        <v>1645</v>
      </c>
      <c r="P154" t="s">
        <v>778</v>
      </c>
      <c r="Q154" t="s">
        <v>1646</v>
      </c>
      <c r="S154" t="s">
        <v>814</v>
      </c>
      <c r="V154" t="s">
        <v>1186</v>
      </c>
      <c r="W154" t="s">
        <v>780</v>
      </c>
      <c r="X154" t="s">
        <v>793</v>
      </c>
      <c r="Z154" s="31"/>
      <c r="AA154">
        <v>58088</v>
      </c>
      <c r="AB154">
        <v>112089</v>
      </c>
      <c r="AC154">
        <v>17</v>
      </c>
      <c r="AD154" t="s">
        <v>22</v>
      </c>
      <c r="AE154" s="31">
        <v>45775</v>
      </c>
      <c r="AF154" s="61">
        <v>0.6950115740740741</v>
      </c>
      <c r="AH154" t="s">
        <v>795</v>
      </c>
      <c r="AI154" s="31">
        <v>45792</v>
      </c>
      <c r="AJ154" s="61">
        <v>0.64664351851851853</v>
      </c>
      <c r="AK154" t="s">
        <v>796</v>
      </c>
      <c r="AL154" t="s">
        <v>1647</v>
      </c>
      <c r="AN154" t="s">
        <v>1589</v>
      </c>
      <c r="AO154" t="s">
        <v>44</v>
      </c>
      <c r="AP154" t="s">
        <v>1589</v>
      </c>
      <c r="AR154" s="31"/>
      <c r="AX154">
        <v>1</v>
      </c>
    </row>
    <row r="155" spans="1:50" x14ac:dyDescent="0.3">
      <c r="A155" t="s">
        <v>22</v>
      </c>
      <c r="B155">
        <v>359</v>
      </c>
      <c r="D155">
        <v>2019</v>
      </c>
      <c r="G155" t="s">
        <v>1648</v>
      </c>
      <c r="J155" t="s">
        <v>1649</v>
      </c>
      <c r="K155" t="s">
        <v>1650</v>
      </c>
      <c r="M155" t="s">
        <v>1651</v>
      </c>
      <c r="P155" t="s">
        <v>778</v>
      </c>
      <c r="W155" t="s">
        <v>780</v>
      </c>
      <c r="X155" t="s">
        <v>816</v>
      </c>
      <c r="Z155" s="31"/>
      <c r="AA155">
        <v>40000</v>
      </c>
      <c r="AB155">
        <v>23581</v>
      </c>
      <c r="AC155">
        <v>43</v>
      </c>
      <c r="AD155" t="s">
        <v>22</v>
      </c>
      <c r="AE155" s="31">
        <v>45775</v>
      </c>
      <c r="AF155" s="61">
        <v>0.69732638888888887</v>
      </c>
      <c r="AH155" t="s">
        <v>818</v>
      </c>
      <c r="AI155" s="31">
        <v>45818</v>
      </c>
      <c r="AJ155" s="61">
        <v>0.51094907407407408</v>
      </c>
      <c r="AN155" t="s">
        <v>1652</v>
      </c>
      <c r="AO155" t="s">
        <v>22</v>
      </c>
      <c r="AP155" t="s">
        <v>1653</v>
      </c>
      <c r="AR155" s="31"/>
      <c r="AX155">
        <v>1</v>
      </c>
    </row>
    <row r="156" spans="1:50" x14ac:dyDescent="0.3">
      <c r="A156" t="s">
        <v>22</v>
      </c>
      <c r="B156">
        <v>360</v>
      </c>
      <c r="D156">
        <v>1986</v>
      </c>
      <c r="G156" t="s">
        <v>1654</v>
      </c>
      <c r="J156" t="s">
        <v>1655</v>
      </c>
      <c r="K156" t="s">
        <v>1656</v>
      </c>
      <c r="M156" t="s">
        <v>1657</v>
      </c>
      <c r="P156" t="s">
        <v>778</v>
      </c>
      <c r="Q156" t="s">
        <v>923</v>
      </c>
      <c r="S156" t="s">
        <v>814</v>
      </c>
      <c r="V156" t="s">
        <v>1186</v>
      </c>
      <c r="W156" t="s">
        <v>780</v>
      </c>
      <c r="X156" t="s">
        <v>807</v>
      </c>
      <c r="Z156" s="31"/>
      <c r="AA156">
        <v>68400</v>
      </c>
      <c r="AB156">
        <v>302046</v>
      </c>
      <c r="AC156">
        <v>43</v>
      </c>
      <c r="AD156" t="s">
        <v>22</v>
      </c>
      <c r="AE156" s="31">
        <v>45775</v>
      </c>
      <c r="AF156" s="61">
        <v>0.70218749999999996</v>
      </c>
      <c r="AH156" t="s">
        <v>795</v>
      </c>
      <c r="AI156" s="31">
        <v>45818</v>
      </c>
      <c r="AJ156" s="61">
        <v>0.61357638888888888</v>
      </c>
      <c r="AK156" t="s">
        <v>858</v>
      </c>
      <c r="AN156" t="s">
        <v>1652</v>
      </c>
      <c r="AO156" t="s">
        <v>22</v>
      </c>
      <c r="AP156" t="s">
        <v>1653</v>
      </c>
      <c r="AR156" s="31"/>
      <c r="AX156">
        <v>1</v>
      </c>
    </row>
    <row r="157" spans="1:50" x14ac:dyDescent="0.3">
      <c r="A157" t="s">
        <v>44</v>
      </c>
      <c r="B157">
        <v>361</v>
      </c>
      <c r="D157">
        <v>2010</v>
      </c>
      <c r="G157" t="s">
        <v>1658</v>
      </c>
      <c r="J157" t="s">
        <v>1659</v>
      </c>
      <c r="K157" t="s">
        <v>1660</v>
      </c>
      <c r="M157" t="s">
        <v>1645</v>
      </c>
      <c r="P157" t="s">
        <v>778</v>
      </c>
      <c r="W157" t="s">
        <v>780</v>
      </c>
      <c r="X157" t="s">
        <v>793</v>
      </c>
      <c r="Z157" s="31"/>
      <c r="AA157">
        <v>26200</v>
      </c>
      <c r="AB157">
        <v>3400</v>
      </c>
      <c r="AC157">
        <v>16</v>
      </c>
      <c r="AD157" t="s">
        <v>44</v>
      </c>
      <c r="AE157" s="31">
        <v>45776</v>
      </c>
      <c r="AF157" s="61">
        <v>0.6177893518518518</v>
      </c>
      <c r="AH157" t="s">
        <v>795</v>
      </c>
      <c r="AI157" s="31">
        <v>45792</v>
      </c>
      <c r="AJ157" s="61">
        <v>0.64693287037037039</v>
      </c>
      <c r="AK157" t="s">
        <v>796</v>
      </c>
      <c r="AL157" t="s">
        <v>1647</v>
      </c>
      <c r="AN157" t="s">
        <v>1589</v>
      </c>
      <c r="AP157" t="s">
        <v>1589</v>
      </c>
      <c r="AR157" s="31"/>
      <c r="AX157">
        <v>1</v>
      </c>
    </row>
    <row r="158" spans="1:50" x14ac:dyDescent="0.3">
      <c r="A158" t="s">
        <v>44</v>
      </c>
      <c r="B158">
        <v>362</v>
      </c>
      <c r="D158">
        <v>2011</v>
      </c>
      <c r="G158" t="s">
        <v>1661</v>
      </c>
      <c r="J158" t="s">
        <v>1662</v>
      </c>
      <c r="K158" t="s">
        <v>1613</v>
      </c>
      <c r="M158" t="s">
        <v>1614</v>
      </c>
      <c r="P158" t="s">
        <v>778</v>
      </c>
      <c r="W158" t="s">
        <v>780</v>
      </c>
      <c r="X158" t="s">
        <v>807</v>
      </c>
      <c r="Z158" s="31"/>
      <c r="AA158">
        <v>1600</v>
      </c>
      <c r="AB158">
        <v>1026</v>
      </c>
      <c r="AC158">
        <v>7</v>
      </c>
      <c r="AD158" t="s">
        <v>44</v>
      </c>
      <c r="AE158" s="31">
        <v>45776</v>
      </c>
      <c r="AF158" s="61">
        <v>0.70245370370370375</v>
      </c>
      <c r="AH158" t="s">
        <v>795</v>
      </c>
      <c r="AI158" s="31">
        <v>45783</v>
      </c>
      <c r="AJ158" s="61">
        <v>0.62656250000000002</v>
      </c>
      <c r="AK158" t="s">
        <v>867</v>
      </c>
      <c r="AN158" t="s">
        <v>1584</v>
      </c>
      <c r="AP158" t="s">
        <v>1619</v>
      </c>
      <c r="AR158" s="31"/>
      <c r="AX158">
        <v>1</v>
      </c>
    </row>
    <row r="159" spans="1:50" x14ac:dyDescent="0.3">
      <c r="A159" t="s">
        <v>31</v>
      </c>
      <c r="B159">
        <v>366</v>
      </c>
      <c r="D159">
        <v>2015</v>
      </c>
      <c r="G159" t="s">
        <v>1663</v>
      </c>
      <c r="J159" t="s">
        <v>1664</v>
      </c>
      <c r="M159" t="s">
        <v>1665</v>
      </c>
      <c r="P159" t="s">
        <v>778</v>
      </c>
      <c r="W159" t="s">
        <v>780</v>
      </c>
      <c r="X159" t="s">
        <v>816</v>
      </c>
      <c r="Z159" s="31"/>
      <c r="AA159">
        <v>3360</v>
      </c>
      <c r="AB159">
        <v>165372</v>
      </c>
      <c r="AC159">
        <v>19</v>
      </c>
      <c r="AD159" t="s">
        <v>31</v>
      </c>
      <c r="AE159" s="31">
        <v>45777</v>
      </c>
      <c r="AF159" s="61">
        <v>0.63238425925925923</v>
      </c>
      <c r="AH159" t="s">
        <v>818</v>
      </c>
      <c r="AI159" s="31">
        <v>45796</v>
      </c>
      <c r="AJ159" s="61">
        <v>0.37675925925925918</v>
      </c>
      <c r="AN159" t="s">
        <v>1666</v>
      </c>
      <c r="AP159" t="s">
        <v>1666</v>
      </c>
      <c r="AR159" s="31"/>
      <c r="AX159">
        <v>1</v>
      </c>
    </row>
    <row r="160" spans="1:50" x14ac:dyDescent="0.3">
      <c r="A160" t="s">
        <v>44</v>
      </c>
      <c r="B160">
        <v>367</v>
      </c>
      <c r="D160">
        <v>2016</v>
      </c>
      <c r="G160" t="s">
        <v>1667</v>
      </c>
      <c r="J160" t="s">
        <v>1668</v>
      </c>
      <c r="K160" t="s">
        <v>1660</v>
      </c>
      <c r="M160" t="s">
        <v>1645</v>
      </c>
      <c r="P160" t="s">
        <v>778</v>
      </c>
      <c r="W160" t="s">
        <v>780</v>
      </c>
      <c r="X160" t="s">
        <v>793</v>
      </c>
      <c r="Z160" s="31"/>
      <c r="AA160">
        <v>1600</v>
      </c>
      <c r="AB160">
        <v>210169</v>
      </c>
      <c r="AC160">
        <v>15</v>
      </c>
      <c r="AD160" t="s">
        <v>44</v>
      </c>
      <c r="AE160" s="31">
        <v>45777</v>
      </c>
      <c r="AF160" s="61">
        <v>0.64599537037037036</v>
      </c>
      <c r="AH160" t="s">
        <v>795</v>
      </c>
      <c r="AI160" s="31">
        <v>45792</v>
      </c>
      <c r="AJ160" s="61">
        <v>0.64718750000000003</v>
      </c>
      <c r="AK160" t="s">
        <v>796</v>
      </c>
      <c r="AL160" t="s">
        <v>1647</v>
      </c>
      <c r="AN160" t="s">
        <v>1589</v>
      </c>
      <c r="AP160" t="s">
        <v>1589</v>
      </c>
      <c r="AR160" s="31"/>
      <c r="AX160">
        <v>1</v>
      </c>
    </row>
    <row r="161" spans="1:50" x14ac:dyDescent="0.3">
      <c r="A161" t="s">
        <v>22</v>
      </c>
      <c r="B161">
        <v>368</v>
      </c>
      <c r="D161">
        <v>2017</v>
      </c>
      <c r="G161" t="s">
        <v>1669</v>
      </c>
      <c r="H161">
        <v>18677964000134</v>
      </c>
      <c r="J161" t="s">
        <v>640</v>
      </c>
      <c r="K161" t="s">
        <v>1670</v>
      </c>
      <c r="M161" t="s">
        <v>1671</v>
      </c>
      <c r="P161" t="s">
        <v>778</v>
      </c>
      <c r="W161" t="s">
        <v>780</v>
      </c>
      <c r="X161" t="s">
        <v>816</v>
      </c>
      <c r="Z161" s="31"/>
      <c r="AA161">
        <v>14000</v>
      </c>
      <c r="AB161">
        <v>886</v>
      </c>
      <c r="AC161">
        <v>0</v>
      </c>
      <c r="AD161" t="s">
        <v>22</v>
      </c>
      <c r="AE161" s="31">
        <v>45779</v>
      </c>
      <c r="AF161" s="61">
        <v>0.58202546296296298</v>
      </c>
      <c r="AH161" t="s">
        <v>818</v>
      </c>
      <c r="AI161" s="31">
        <v>45779</v>
      </c>
      <c r="AJ161" s="61">
        <v>0.58649305555555553</v>
      </c>
      <c r="AN161" t="s">
        <v>1672</v>
      </c>
      <c r="AO161" t="s">
        <v>22</v>
      </c>
      <c r="AP161" t="s">
        <v>1672</v>
      </c>
      <c r="AR161" s="31"/>
      <c r="AX161">
        <v>1</v>
      </c>
    </row>
    <row r="162" spans="1:50" x14ac:dyDescent="0.3">
      <c r="A162" t="s">
        <v>22</v>
      </c>
      <c r="B162">
        <v>369</v>
      </c>
      <c r="D162">
        <v>2018</v>
      </c>
      <c r="G162" t="s">
        <v>1673</v>
      </c>
      <c r="H162">
        <v>10906096000105</v>
      </c>
      <c r="J162" t="s">
        <v>641</v>
      </c>
      <c r="K162" t="s">
        <v>1674</v>
      </c>
      <c r="M162" t="s">
        <v>1675</v>
      </c>
      <c r="P162" t="s">
        <v>778</v>
      </c>
      <c r="W162" t="s">
        <v>780</v>
      </c>
      <c r="X162" t="s">
        <v>781</v>
      </c>
      <c r="Z162" s="31"/>
      <c r="AA162">
        <v>13600</v>
      </c>
      <c r="AB162">
        <v>886</v>
      </c>
      <c r="AC162">
        <v>0</v>
      </c>
      <c r="AD162" t="s">
        <v>22</v>
      </c>
      <c r="AE162" s="31">
        <v>45779</v>
      </c>
      <c r="AF162" s="61">
        <v>0.58754629629629629</v>
      </c>
      <c r="AH162" t="s">
        <v>818</v>
      </c>
      <c r="AI162" s="31">
        <v>45779</v>
      </c>
      <c r="AJ162" s="61">
        <v>0.58922453703703703</v>
      </c>
      <c r="AN162" t="s">
        <v>1672</v>
      </c>
      <c r="AO162" t="s">
        <v>22</v>
      </c>
      <c r="AP162" t="s">
        <v>1672</v>
      </c>
      <c r="AR162" s="31"/>
      <c r="AX162">
        <v>1</v>
      </c>
    </row>
    <row r="163" spans="1:50" x14ac:dyDescent="0.3">
      <c r="A163" t="s">
        <v>22</v>
      </c>
      <c r="B163">
        <v>370</v>
      </c>
      <c r="D163">
        <v>2020</v>
      </c>
      <c r="G163" t="s">
        <v>1676</v>
      </c>
      <c r="J163" t="s">
        <v>1677</v>
      </c>
      <c r="K163" t="s">
        <v>1678</v>
      </c>
      <c r="M163" t="s">
        <v>1111</v>
      </c>
      <c r="P163" t="s">
        <v>778</v>
      </c>
      <c r="V163" t="s">
        <v>1419</v>
      </c>
      <c r="W163" t="s">
        <v>780</v>
      </c>
      <c r="X163" t="s">
        <v>807</v>
      </c>
      <c r="Z163" s="31"/>
      <c r="AA163">
        <v>51250</v>
      </c>
      <c r="AB163">
        <v>33381</v>
      </c>
      <c r="AC163">
        <v>114</v>
      </c>
      <c r="AD163" t="s">
        <v>22</v>
      </c>
      <c r="AE163" s="31">
        <v>45780</v>
      </c>
      <c r="AF163" s="61">
        <v>0.46067129629629627</v>
      </c>
      <c r="AH163" t="s">
        <v>795</v>
      </c>
      <c r="AI163" s="31">
        <v>45894</v>
      </c>
      <c r="AJ163" s="61">
        <v>0.60730324074074071</v>
      </c>
      <c r="AK163" t="s">
        <v>796</v>
      </c>
      <c r="AO163" t="s">
        <v>22</v>
      </c>
      <c r="AP163" t="s">
        <v>1679</v>
      </c>
      <c r="AR163" s="31"/>
      <c r="AX163">
        <v>1</v>
      </c>
    </row>
    <row r="164" spans="1:50" x14ac:dyDescent="0.3">
      <c r="A164" t="s">
        <v>44</v>
      </c>
      <c r="B164">
        <v>375</v>
      </c>
      <c r="D164">
        <v>2024</v>
      </c>
      <c r="G164" t="s">
        <v>1680</v>
      </c>
      <c r="J164" t="s">
        <v>1681</v>
      </c>
      <c r="K164" t="s">
        <v>1682</v>
      </c>
      <c r="M164" t="s">
        <v>1683</v>
      </c>
      <c r="P164" t="s">
        <v>778</v>
      </c>
      <c r="W164" t="s">
        <v>780</v>
      </c>
      <c r="X164" t="s">
        <v>793</v>
      </c>
      <c r="Z164" s="31"/>
      <c r="AA164">
        <v>69112</v>
      </c>
      <c r="AB164">
        <v>508112</v>
      </c>
      <c r="AC164">
        <v>7</v>
      </c>
      <c r="AD164" t="s">
        <v>44</v>
      </c>
      <c r="AE164" s="31">
        <v>45785</v>
      </c>
      <c r="AF164" s="61">
        <v>0.67459490740740746</v>
      </c>
      <c r="AH164" t="s">
        <v>795</v>
      </c>
      <c r="AI164" s="31">
        <v>45792</v>
      </c>
      <c r="AJ164" s="61">
        <v>0.6825</v>
      </c>
      <c r="AK164" t="s">
        <v>934</v>
      </c>
      <c r="AN164" t="s">
        <v>1684</v>
      </c>
      <c r="AP164" t="s">
        <v>1684</v>
      </c>
      <c r="AR164" s="31"/>
      <c r="AX164">
        <v>1</v>
      </c>
    </row>
    <row r="165" spans="1:50" x14ac:dyDescent="0.3">
      <c r="A165" t="s">
        <v>44</v>
      </c>
      <c r="B165">
        <v>376</v>
      </c>
      <c r="D165">
        <v>2025</v>
      </c>
      <c r="G165" t="s">
        <v>1685</v>
      </c>
      <c r="J165" t="s">
        <v>1686</v>
      </c>
      <c r="K165" t="s">
        <v>1682</v>
      </c>
      <c r="M165" t="s">
        <v>1683</v>
      </c>
      <c r="P165" t="s">
        <v>778</v>
      </c>
      <c r="W165" t="s">
        <v>780</v>
      </c>
      <c r="X165" t="s">
        <v>793</v>
      </c>
      <c r="Z165" s="31"/>
      <c r="AA165">
        <v>1600</v>
      </c>
      <c r="AB165">
        <v>32107</v>
      </c>
      <c r="AC165">
        <v>7</v>
      </c>
      <c r="AD165" t="s">
        <v>44</v>
      </c>
      <c r="AE165" s="31">
        <v>45785</v>
      </c>
      <c r="AF165" s="61">
        <v>0.68726851851851856</v>
      </c>
      <c r="AH165" t="s">
        <v>795</v>
      </c>
      <c r="AI165" s="31">
        <v>45792</v>
      </c>
      <c r="AJ165" s="61">
        <v>0.68280092592592589</v>
      </c>
      <c r="AK165" t="s">
        <v>934</v>
      </c>
      <c r="AN165" t="s">
        <v>1684</v>
      </c>
      <c r="AP165" t="s">
        <v>1684</v>
      </c>
      <c r="AR165" s="31"/>
      <c r="AX165">
        <v>1</v>
      </c>
    </row>
    <row r="166" spans="1:50" x14ac:dyDescent="0.3">
      <c r="A166" t="s">
        <v>22</v>
      </c>
      <c r="B166">
        <v>379</v>
      </c>
      <c r="D166">
        <v>2199</v>
      </c>
      <c r="G166" t="s">
        <v>1687</v>
      </c>
      <c r="J166" t="s">
        <v>1688</v>
      </c>
      <c r="K166" t="s">
        <v>1689</v>
      </c>
      <c r="P166" t="s">
        <v>778</v>
      </c>
      <c r="S166" t="s">
        <v>933</v>
      </c>
      <c r="V166" t="s">
        <v>1419</v>
      </c>
      <c r="W166" t="s">
        <v>780</v>
      </c>
      <c r="X166" t="s">
        <v>807</v>
      </c>
      <c r="Z166" s="31"/>
      <c r="AA166">
        <v>68400</v>
      </c>
      <c r="AB166">
        <v>17345</v>
      </c>
      <c r="AC166">
        <v>108</v>
      </c>
      <c r="AD166" t="s">
        <v>22</v>
      </c>
      <c r="AE166" s="31">
        <v>45786</v>
      </c>
      <c r="AF166" s="61">
        <v>0.66736111111111107</v>
      </c>
      <c r="AH166" t="s">
        <v>795</v>
      </c>
      <c r="AI166" s="31">
        <v>45894</v>
      </c>
      <c r="AJ166" s="61">
        <v>0.6030092592592593</v>
      </c>
      <c r="AK166" t="s">
        <v>974</v>
      </c>
      <c r="AR166" s="31"/>
      <c r="AX166">
        <v>1</v>
      </c>
    </row>
    <row r="167" spans="1:50" x14ac:dyDescent="0.3">
      <c r="A167" t="s">
        <v>44</v>
      </c>
      <c r="B167">
        <v>382</v>
      </c>
      <c r="D167">
        <v>2031</v>
      </c>
      <c r="G167" t="s">
        <v>1690</v>
      </c>
      <c r="H167">
        <v>27173648000116</v>
      </c>
      <c r="J167" t="s">
        <v>1691</v>
      </c>
      <c r="K167" t="s">
        <v>1692</v>
      </c>
      <c r="M167" t="s">
        <v>1693</v>
      </c>
      <c r="P167" t="s">
        <v>778</v>
      </c>
      <c r="Q167" t="s">
        <v>1094</v>
      </c>
      <c r="R167" t="s">
        <v>790</v>
      </c>
      <c r="W167" t="s">
        <v>780</v>
      </c>
      <c r="X167" t="s">
        <v>781</v>
      </c>
      <c r="Z167" s="31"/>
      <c r="AC167">
        <v>50</v>
      </c>
      <c r="AD167" t="s">
        <v>44</v>
      </c>
      <c r="AE167" s="31">
        <v>45789</v>
      </c>
      <c r="AF167" s="61">
        <v>0.64024305555555561</v>
      </c>
      <c r="AH167" t="s">
        <v>795</v>
      </c>
      <c r="AI167" s="31">
        <v>45839</v>
      </c>
      <c r="AJ167" s="61">
        <v>0.40694444444444439</v>
      </c>
      <c r="AK167" t="s">
        <v>796</v>
      </c>
      <c r="AL167" t="s">
        <v>1694</v>
      </c>
      <c r="AP167" t="s">
        <v>1695</v>
      </c>
      <c r="AR167" s="31"/>
      <c r="AX167">
        <v>1</v>
      </c>
    </row>
    <row r="168" spans="1:50" x14ac:dyDescent="0.3">
      <c r="A168" t="s">
        <v>44</v>
      </c>
      <c r="B168">
        <v>383</v>
      </c>
      <c r="D168">
        <v>2033</v>
      </c>
      <c r="G168" t="s">
        <v>1696</v>
      </c>
      <c r="H168">
        <v>86890639000105</v>
      </c>
      <c r="J168" t="s">
        <v>1697</v>
      </c>
      <c r="P168" t="s">
        <v>778</v>
      </c>
      <c r="Q168" t="s">
        <v>1698</v>
      </c>
      <c r="R168" t="s">
        <v>1699</v>
      </c>
      <c r="W168" t="s">
        <v>780</v>
      </c>
      <c r="X168" t="s">
        <v>781</v>
      </c>
      <c r="Z168" s="31"/>
      <c r="AC168">
        <v>50</v>
      </c>
      <c r="AD168" t="s">
        <v>44</v>
      </c>
      <c r="AE168" s="31">
        <v>45789</v>
      </c>
      <c r="AF168" s="61">
        <v>0.64898148148148149</v>
      </c>
      <c r="AH168" t="s">
        <v>795</v>
      </c>
      <c r="AI168" s="31">
        <v>45839</v>
      </c>
      <c r="AJ168" s="61">
        <v>0.40733796296296299</v>
      </c>
      <c r="AK168" t="s">
        <v>796</v>
      </c>
      <c r="AL168" t="s">
        <v>1694</v>
      </c>
      <c r="AR168" s="31"/>
      <c r="AX168">
        <v>1</v>
      </c>
    </row>
    <row r="169" spans="1:50" x14ac:dyDescent="0.3">
      <c r="A169" t="s">
        <v>44</v>
      </c>
      <c r="B169">
        <v>384</v>
      </c>
      <c r="D169">
        <v>2036</v>
      </c>
      <c r="G169" t="s">
        <v>1700</v>
      </c>
      <c r="J169" t="s">
        <v>1701</v>
      </c>
      <c r="K169" t="s">
        <v>1702</v>
      </c>
      <c r="M169" t="s">
        <v>1703</v>
      </c>
      <c r="P169" t="s">
        <v>778</v>
      </c>
      <c r="V169" t="s">
        <v>1704</v>
      </c>
      <c r="W169" t="s">
        <v>780</v>
      </c>
      <c r="X169" t="s">
        <v>816</v>
      </c>
      <c r="Z169" s="31"/>
      <c r="AA169">
        <v>3230634</v>
      </c>
      <c r="AB169">
        <v>17706</v>
      </c>
      <c r="AC169">
        <v>35</v>
      </c>
      <c r="AD169" t="s">
        <v>44</v>
      </c>
      <c r="AE169" s="31">
        <v>45790</v>
      </c>
      <c r="AF169" s="61">
        <v>0.7193518518518518</v>
      </c>
      <c r="AH169" t="s">
        <v>818</v>
      </c>
      <c r="AI169" s="31">
        <v>45825</v>
      </c>
      <c r="AJ169" s="61">
        <v>0.68025462962962968</v>
      </c>
      <c r="AN169" t="s">
        <v>1695</v>
      </c>
      <c r="AP169" t="s">
        <v>1705</v>
      </c>
      <c r="AR169" s="31"/>
      <c r="AX169">
        <v>1</v>
      </c>
    </row>
    <row r="170" spans="1:50" x14ac:dyDescent="0.3">
      <c r="A170" t="s">
        <v>44</v>
      </c>
      <c r="B170">
        <v>385</v>
      </c>
      <c r="D170">
        <v>2037</v>
      </c>
      <c r="G170" t="s">
        <v>1706</v>
      </c>
      <c r="J170" t="s">
        <v>1707</v>
      </c>
      <c r="K170" t="s">
        <v>1708</v>
      </c>
      <c r="M170" t="s">
        <v>1703</v>
      </c>
      <c r="P170" t="s">
        <v>778</v>
      </c>
      <c r="V170" t="s">
        <v>1704</v>
      </c>
      <c r="W170" t="s">
        <v>780</v>
      </c>
      <c r="X170" t="s">
        <v>816</v>
      </c>
      <c r="Z170" s="31"/>
      <c r="AA170">
        <v>0</v>
      </c>
      <c r="AB170">
        <v>208313</v>
      </c>
      <c r="AC170">
        <v>35</v>
      </c>
      <c r="AD170" t="s">
        <v>44</v>
      </c>
      <c r="AE170" s="31">
        <v>45790</v>
      </c>
      <c r="AF170" s="61">
        <v>0.72012731481481485</v>
      </c>
      <c r="AH170" t="s">
        <v>818</v>
      </c>
      <c r="AI170" s="31">
        <v>45825</v>
      </c>
      <c r="AJ170" s="61">
        <v>0.68076388888888884</v>
      </c>
      <c r="AN170" t="s">
        <v>1695</v>
      </c>
      <c r="AP170" t="s">
        <v>1705</v>
      </c>
      <c r="AR170" s="31"/>
      <c r="AX170">
        <v>1</v>
      </c>
    </row>
    <row r="171" spans="1:50" x14ac:dyDescent="0.3">
      <c r="A171" t="s">
        <v>44</v>
      </c>
      <c r="B171">
        <v>405</v>
      </c>
      <c r="D171">
        <v>2061</v>
      </c>
      <c r="G171" t="s">
        <v>1709</v>
      </c>
      <c r="J171" t="s">
        <v>1710</v>
      </c>
      <c r="K171" t="s">
        <v>1711</v>
      </c>
      <c r="M171" t="s">
        <v>1712</v>
      </c>
      <c r="P171" t="s">
        <v>778</v>
      </c>
      <c r="V171" t="s">
        <v>1419</v>
      </c>
      <c r="W171" t="s">
        <v>780</v>
      </c>
      <c r="X171" t="s">
        <v>807</v>
      </c>
      <c r="Z171" s="31"/>
      <c r="AC171">
        <v>20</v>
      </c>
      <c r="AD171" t="s">
        <v>44</v>
      </c>
      <c r="AE171" s="31">
        <v>45805</v>
      </c>
      <c r="AF171" s="61">
        <v>0.3974537037037037</v>
      </c>
      <c r="AH171" t="s">
        <v>795</v>
      </c>
      <c r="AI171" s="31">
        <v>45825</v>
      </c>
      <c r="AJ171" s="61">
        <v>0.6817361111111111</v>
      </c>
      <c r="AK171" t="s">
        <v>1358</v>
      </c>
      <c r="AL171" t="s">
        <v>1713</v>
      </c>
      <c r="AN171" t="s">
        <v>1714</v>
      </c>
      <c r="AP171" t="s">
        <v>1714</v>
      </c>
      <c r="AR171" s="31"/>
      <c r="AX171">
        <v>1</v>
      </c>
    </row>
    <row r="172" spans="1:50" x14ac:dyDescent="0.3">
      <c r="A172" t="s">
        <v>44</v>
      </c>
      <c r="B172">
        <v>406</v>
      </c>
      <c r="D172">
        <v>2062</v>
      </c>
      <c r="G172" t="s">
        <v>1715</v>
      </c>
      <c r="H172">
        <v>5215210000110</v>
      </c>
      <c r="J172" t="s">
        <v>1716</v>
      </c>
      <c r="K172" t="s">
        <v>1717</v>
      </c>
      <c r="P172" t="s">
        <v>778</v>
      </c>
      <c r="Q172" t="s">
        <v>1698</v>
      </c>
      <c r="R172" t="s">
        <v>1699</v>
      </c>
      <c r="V172" t="s">
        <v>1718</v>
      </c>
      <c r="W172" t="s">
        <v>780</v>
      </c>
      <c r="X172" t="s">
        <v>857</v>
      </c>
      <c r="Z172" s="31"/>
      <c r="AA172">
        <v>622008</v>
      </c>
      <c r="AB172">
        <v>23661</v>
      </c>
      <c r="AC172">
        <v>26</v>
      </c>
      <c r="AD172" t="s">
        <v>44</v>
      </c>
      <c r="AE172" s="31">
        <v>45805</v>
      </c>
      <c r="AF172" s="61">
        <v>0.41018518518518521</v>
      </c>
      <c r="AH172" t="s">
        <v>795</v>
      </c>
      <c r="AI172" s="31">
        <v>45831</v>
      </c>
      <c r="AJ172" s="61">
        <v>0.36943287037037043</v>
      </c>
      <c r="AK172" t="s">
        <v>796</v>
      </c>
      <c r="AL172" t="s">
        <v>1719</v>
      </c>
      <c r="AN172" t="s">
        <v>1720</v>
      </c>
      <c r="AP172" t="s">
        <v>1721</v>
      </c>
      <c r="AR172" s="31"/>
      <c r="AX172">
        <v>1</v>
      </c>
    </row>
    <row r="173" spans="1:50" x14ac:dyDescent="0.3">
      <c r="A173" t="s">
        <v>44</v>
      </c>
      <c r="B173">
        <v>407</v>
      </c>
      <c r="D173">
        <v>2065</v>
      </c>
      <c r="G173" t="s">
        <v>1722</v>
      </c>
      <c r="H173">
        <v>5215210000110</v>
      </c>
      <c r="J173" t="s">
        <v>1716</v>
      </c>
      <c r="K173" t="s">
        <v>1717</v>
      </c>
      <c r="P173" t="s">
        <v>778</v>
      </c>
      <c r="Q173" t="s">
        <v>1698</v>
      </c>
      <c r="R173" t="s">
        <v>1699</v>
      </c>
      <c r="V173" t="s">
        <v>1718</v>
      </c>
      <c r="W173" t="s">
        <v>780</v>
      </c>
      <c r="X173" t="s">
        <v>857</v>
      </c>
      <c r="Z173" s="31"/>
      <c r="AA173">
        <v>1600</v>
      </c>
      <c r="AB173">
        <v>26507</v>
      </c>
      <c r="AC173">
        <v>26</v>
      </c>
      <c r="AD173" t="s">
        <v>44</v>
      </c>
      <c r="AE173" s="31">
        <v>45805</v>
      </c>
      <c r="AF173" s="61">
        <v>0.41281250000000003</v>
      </c>
      <c r="AH173" t="s">
        <v>795</v>
      </c>
      <c r="AI173" s="31">
        <v>45831</v>
      </c>
      <c r="AJ173" s="61">
        <v>0.37035879629629631</v>
      </c>
      <c r="AK173" t="s">
        <v>796</v>
      </c>
      <c r="AL173" t="s">
        <v>1723</v>
      </c>
      <c r="AN173" t="s">
        <v>1720</v>
      </c>
      <c r="AP173" t="s">
        <v>1721</v>
      </c>
      <c r="AR173" s="31"/>
      <c r="AX173">
        <v>1</v>
      </c>
    </row>
    <row r="174" spans="1:50" x14ac:dyDescent="0.3">
      <c r="A174" t="s">
        <v>44</v>
      </c>
      <c r="B174">
        <v>408</v>
      </c>
      <c r="D174">
        <v>2068</v>
      </c>
      <c r="G174" t="s">
        <v>1724</v>
      </c>
      <c r="J174" t="s">
        <v>1725</v>
      </c>
      <c r="K174" t="s">
        <v>1458</v>
      </c>
      <c r="M174" t="s">
        <v>1459</v>
      </c>
      <c r="P174" t="s">
        <v>778</v>
      </c>
      <c r="W174" t="s">
        <v>780</v>
      </c>
      <c r="X174" t="s">
        <v>816</v>
      </c>
      <c r="Y174" t="s">
        <v>995</v>
      </c>
      <c r="Z174" s="31"/>
      <c r="AA174">
        <v>123066</v>
      </c>
      <c r="AB174">
        <v>0</v>
      </c>
      <c r="AC174">
        <v>0</v>
      </c>
      <c r="AD174" t="s">
        <v>44</v>
      </c>
      <c r="AE174" s="31">
        <v>45805</v>
      </c>
      <c r="AF174" s="61">
        <v>0.42335648148148147</v>
      </c>
      <c r="AH174" t="s">
        <v>818</v>
      </c>
      <c r="AI174" s="31">
        <v>45805</v>
      </c>
      <c r="AJ174" s="61">
        <v>0.43202546296296301</v>
      </c>
      <c r="AN174" t="s">
        <v>1726</v>
      </c>
      <c r="AR174" s="31"/>
      <c r="AX174">
        <v>1</v>
      </c>
    </row>
    <row r="175" spans="1:50" x14ac:dyDescent="0.3">
      <c r="A175" t="s">
        <v>44</v>
      </c>
      <c r="B175">
        <v>409</v>
      </c>
      <c r="D175">
        <v>2069</v>
      </c>
      <c r="G175" t="s">
        <v>1727</v>
      </c>
      <c r="H175">
        <v>56262451000151</v>
      </c>
      <c r="J175" t="s">
        <v>1728</v>
      </c>
      <c r="K175" t="s">
        <v>1594</v>
      </c>
      <c r="M175" t="s">
        <v>1595</v>
      </c>
      <c r="P175" t="s">
        <v>778</v>
      </c>
      <c r="Q175" t="s">
        <v>1596</v>
      </c>
      <c r="R175" t="s">
        <v>790</v>
      </c>
      <c r="W175" t="s">
        <v>780</v>
      </c>
      <c r="X175" t="s">
        <v>807</v>
      </c>
      <c r="Z175" s="31"/>
      <c r="AA175">
        <v>52258</v>
      </c>
      <c r="AB175">
        <v>606364</v>
      </c>
      <c r="AC175">
        <v>6</v>
      </c>
      <c r="AD175" t="s">
        <v>44</v>
      </c>
      <c r="AE175" s="31">
        <v>45805</v>
      </c>
      <c r="AF175" s="61">
        <v>0.43896990740740738</v>
      </c>
      <c r="AH175" t="s">
        <v>795</v>
      </c>
      <c r="AI175" s="31">
        <v>45811</v>
      </c>
      <c r="AJ175" s="61">
        <v>0.41700231481481481</v>
      </c>
      <c r="AK175" t="s">
        <v>867</v>
      </c>
      <c r="AL175" t="s">
        <v>1729</v>
      </c>
      <c r="AN175" t="s">
        <v>1730</v>
      </c>
      <c r="AR175" s="31"/>
      <c r="AX175">
        <v>1</v>
      </c>
    </row>
    <row r="176" spans="1:50" x14ac:dyDescent="0.3">
      <c r="A176" t="s">
        <v>44</v>
      </c>
      <c r="B176">
        <v>410</v>
      </c>
      <c r="D176">
        <v>2071</v>
      </c>
      <c r="G176" t="s">
        <v>1731</v>
      </c>
      <c r="H176">
        <v>56262451000151</v>
      </c>
      <c r="J176" t="s">
        <v>1732</v>
      </c>
      <c r="K176" t="s">
        <v>1594</v>
      </c>
      <c r="M176" t="s">
        <v>1595</v>
      </c>
      <c r="P176" t="s">
        <v>778</v>
      </c>
      <c r="Q176" t="s">
        <v>1596</v>
      </c>
      <c r="R176" t="s">
        <v>790</v>
      </c>
      <c r="W176" t="s">
        <v>780</v>
      </c>
      <c r="X176" t="s">
        <v>807</v>
      </c>
      <c r="Z176" s="31"/>
      <c r="AA176">
        <v>42400</v>
      </c>
      <c r="AB176">
        <v>5560</v>
      </c>
      <c r="AC176">
        <v>6</v>
      </c>
      <c r="AD176" t="s">
        <v>44</v>
      </c>
      <c r="AE176" s="31">
        <v>45805</v>
      </c>
      <c r="AF176" s="61">
        <v>0.44361111111111112</v>
      </c>
      <c r="AH176" t="s">
        <v>795</v>
      </c>
      <c r="AI176" s="31">
        <v>45811</v>
      </c>
      <c r="AJ176" s="61">
        <v>0.41766203703703703</v>
      </c>
      <c r="AK176" t="s">
        <v>867</v>
      </c>
      <c r="AL176" t="s">
        <v>1733</v>
      </c>
      <c r="AN176" t="s">
        <v>1730</v>
      </c>
      <c r="AR176" s="31"/>
      <c r="AX176">
        <v>1</v>
      </c>
    </row>
    <row r="177" spans="1:50" x14ac:dyDescent="0.3">
      <c r="A177" t="s">
        <v>44</v>
      </c>
      <c r="B177">
        <v>412</v>
      </c>
      <c r="D177">
        <v>2075</v>
      </c>
      <c r="G177" t="s">
        <v>1734</v>
      </c>
      <c r="J177" t="s">
        <v>1735</v>
      </c>
      <c r="K177" t="s">
        <v>1736</v>
      </c>
      <c r="M177" t="s">
        <v>1737</v>
      </c>
      <c r="P177" t="s">
        <v>778</v>
      </c>
      <c r="V177" t="s">
        <v>1419</v>
      </c>
      <c r="W177" t="s">
        <v>780</v>
      </c>
      <c r="X177" t="s">
        <v>807</v>
      </c>
      <c r="Z177" s="31"/>
      <c r="AA177">
        <v>26200</v>
      </c>
      <c r="AB177">
        <v>3400</v>
      </c>
      <c r="AC177">
        <v>92</v>
      </c>
      <c r="AD177" t="s">
        <v>44</v>
      </c>
      <c r="AE177" s="31">
        <v>45805</v>
      </c>
      <c r="AF177" s="61">
        <v>0.45153935185185179</v>
      </c>
      <c r="AH177" t="s">
        <v>795</v>
      </c>
      <c r="AI177" s="31">
        <v>45897</v>
      </c>
      <c r="AJ177" s="61">
        <v>0.64814814814814814</v>
      </c>
      <c r="AK177" t="s">
        <v>934</v>
      </c>
      <c r="AN177" t="s">
        <v>1721</v>
      </c>
      <c r="AP177" t="s">
        <v>1721</v>
      </c>
      <c r="AR177" s="31"/>
      <c r="AX177">
        <v>1</v>
      </c>
    </row>
    <row r="178" spans="1:50" x14ac:dyDescent="0.3">
      <c r="A178" t="s">
        <v>44</v>
      </c>
      <c r="B178">
        <v>413</v>
      </c>
      <c r="D178">
        <v>2076</v>
      </c>
      <c r="G178" t="s">
        <v>1738</v>
      </c>
      <c r="J178" t="s">
        <v>1739</v>
      </c>
      <c r="K178" t="s">
        <v>1740</v>
      </c>
      <c r="M178" t="s">
        <v>1741</v>
      </c>
      <c r="P178" t="s">
        <v>778</v>
      </c>
      <c r="W178" t="s">
        <v>780</v>
      </c>
      <c r="X178" t="s">
        <v>857</v>
      </c>
      <c r="Z178" s="31"/>
      <c r="AC178">
        <v>12</v>
      </c>
      <c r="AD178" t="s">
        <v>44</v>
      </c>
      <c r="AE178" s="31">
        <v>45805</v>
      </c>
      <c r="AF178" s="61">
        <v>0.46685185185185191</v>
      </c>
      <c r="AH178" t="s">
        <v>795</v>
      </c>
      <c r="AI178" s="31">
        <v>45817</v>
      </c>
      <c r="AJ178" s="61">
        <v>0.66245370370370371</v>
      </c>
      <c r="AK178" t="s">
        <v>796</v>
      </c>
      <c r="AL178" t="s">
        <v>1742</v>
      </c>
      <c r="AP178" t="s">
        <v>1743</v>
      </c>
      <c r="AR178" s="31"/>
      <c r="AX178">
        <v>1</v>
      </c>
    </row>
    <row r="179" spans="1:50" x14ac:dyDescent="0.3">
      <c r="A179" t="s">
        <v>44</v>
      </c>
      <c r="B179">
        <v>415</v>
      </c>
      <c r="D179">
        <v>2127</v>
      </c>
      <c r="G179" t="s">
        <v>1744</v>
      </c>
      <c r="J179" t="s">
        <v>1745</v>
      </c>
      <c r="K179" t="s">
        <v>1746</v>
      </c>
      <c r="M179" t="s">
        <v>1747</v>
      </c>
      <c r="P179" t="s">
        <v>778</v>
      </c>
      <c r="W179" t="s">
        <v>780</v>
      </c>
      <c r="X179" t="s">
        <v>857</v>
      </c>
      <c r="Z179" s="31"/>
      <c r="AA179">
        <v>622008</v>
      </c>
      <c r="AB179">
        <v>28481</v>
      </c>
      <c r="AC179">
        <v>12</v>
      </c>
      <c r="AD179" t="s">
        <v>44</v>
      </c>
      <c r="AE179" s="31">
        <v>45807</v>
      </c>
      <c r="AF179" s="61">
        <v>0.38197916666666659</v>
      </c>
      <c r="AH179" t="s">
        <v>795</v>
      </c>
      <c r="AI179" s="31">
        <v>45819</v>
      </c>
      <c r="AJ179" s="61">
        <v>0.6005787037037037</v>
      </c>
      <c r="AK179" t="s">
        <v>934</v>
      </c>
      <c r="AL179" t="s">
        <v>1748</v>
      </c>
      <c r="AN179" t="s">
        <v>1714</v>
      </c>
      <c r="AP179" t="s">
        <v>1720</v>
      </c>
      <c r="AR179" s="31"/>
      <c r="AX179">
        <v>1</v>
      </c>
    </row>
    <row r="180" spans="1:50" x14ac:dyDescent="0.3">
      <c r="A180" t="s">
        <v>44</v>
      </c>
      <c r="B180">
        <v>416</v>
      </c>
      <c r="D180">
        <v>2132</v>
      </c>
      <c r="G180" t="s">
        <v>1749</v>
      </c>
      <c r="J180" t="s">
        <v>1750</v>
      </c>
      <c r="K180" t="s">
        <v>1746</v>
      </c>
      <c r="M180" t="s">
        <v>1747</v>
      </c>
      <c r="P180" t="s">
        <v>778</v>
      </c>
      <c r="W180" t="s">
        <v>780</v>
      </c>
      <c r="X180" t="s">
        <v>793</v>
      </c>
      <c r="Z180" s="31"/>
      <c r="AA180">
        <v>1600</v>
      </c>
      <c r="AB180">
        <v>28747</v>
      </c>
      <c r="AC180">
        <v>12</v>
      </c>
      <c r="AD180" t="s">
        <v>44</v>
      </c>
      <c r="AE180" s="31">
        <v>45807</v>
      </c>
      <c r="AF180" s="61">
        <v>0.4244560185185185</v>
      </c>
      <c r="AH180" t="s">
        <v>795</v>
      </c>
      <c r="AI180" s="31">
        <v>45819</v>
      </c>
      <c r="AJ180" s="61">
        <v>0.60103009259259255</v>
      </c>
      <c r="AK180" t="s">
        <v>934</v>
      </c>
      <c r="AL180" t="s">
        <v>1751</v>
      </c>
      <c r="AN180" t="s">
        <v>1714</v>
      </c>
      <c r="AP180" t="s">
        <v>1720</v>
      </c>
      <c r="AR180" s="31"/>
      <c r="AX180">
        <v>1</v>
      </c>
    </row>
    <row r="181" spans="1:50" x14ac:dyDescent="0.3">
      <c r="A181" t="s">
        <v>44</v>
      </c>
      <c r="B181">
        <v>417</v>
      </c>
      <c r="D181">
        <v>2133</v>
      </c>
      <c r="G181" t="s">
        <v>1752</v>
      </c>
      <c r="J181" t="s">
        <v>1753</v>
      </c>
      <c r="K181" t="s">
        <v>1754</v>
      </c>
      <c r="M181" t="s">
        <v>1755</v>
      </c>
      <c r="P181" t="s">
        <v>778</v>
      </c>
      <c r="V181" t="s">
        <v>1718</v>
      </c>
      <c r="W181" t="s">
        <v>780</v>
      </c>
      <c r="X181" t="s">
        <v>793</v>
      </c>
      <c r="Z181" s="31"/>
      <c r="AA181">
        <v>16960</v>
      </c>
      <c r="AB181">
        <v>40572</v>
      </c>
      <c r="AC181">
        <v>52</v>
      </c>
      <c r="AD181" t="s">
        <v>44</v>
      </c>
      <c r="AE181" s="31">
        <v>45807</v>
      </c>
      <c r="AF181" s="61">
        <v>0.43975694444444452</v>
      </c>
      <c r="AH181" t="s">
        <v>795</v>
      </c>
      <c r="AI181" s="31">
        <v>45859</v>
      </c>
      <c r="AJ181" s="61">
        <v>0.38516203703703711</v>
      </c>
      <c r="AK181" t="s">
        <v>796</v>
      </c>
      <c r="AL181" t="s">
        <v>1756</v>
      </c>
      <c r="AN181" t="s">
        <v>1714</v>
      </c>
      <c r="AP181" t="s">
        <v>1720</v>
      </c>
      <c r="AR181" s="31"/>
      <c r="AX181">
        <v>1</v>
      </c>
    </row>
    <row r="182" spans="1:50" x14ac:dyDescent="0.3">
      <c r="A182" t="s">
        <v>44</v>
      </c>
      <c r="B182">
        <v>419</v>
      </c>
      <c r="D182">
        <v>2144</v>
      </c>
      <c r="G182" t="s">
        <v>1757</v>
      </c>
      <c r="J182" t="s">
        <v>1758</v>
      </c>
      <c r="K182" t="s">
        <v>1759</v>
      </c>
      <c r="M182" t="s">
        <v>1760</v>
      </c>
      <c r="P182" t="s">
        <v>778</v>
      </c>
      <c r="V182" t="s">
        <v>1704</v>
      </c>
      <c r="W182" t="s">
        <v>780</v>
      </c>
      <c r="X182" t="s">
        <v>816</v>
      </c>
      <c r="Z182" s="31"/>
      <c r="AA182">
        <v>1600</v>
      </c>
      <c r="AB182">
        <v>1833334</v>
      </c>
      <c r="AC182">
        <v>52</v>
      </c>
      <c r="AD182" t="s">
        <v>44</v>
      </c>
      <c r="AE182" s="31">
        <v>45807</v>
      </c>
      <c r="AF182" s="61">
        <v>0.58697916666666672</v>
      </c>
      <c r="AH182" t="s">
        <v>795</v>
      </c>
      <c r="AI182" s="31">
        <v>45859</v>
      </c>
      <c r="AJ182" s="61">
        <v>0.40807870370370369</v>
      </c>
      <c r="AK182" t="s">
        <v>796</v>
      </c>
      <c r="AL182" t="s">
        <v>1303</v>
      </c>
      <c r="AN182" t="s">
        <v>1721</v>
      </c>
      <c r="AR182" s="31"/>
      <c r="AX182">
        <v>1</v>
      </c>
    </row>
    <row r="183" spans="1:50" x14ac:dyDescent="0.3">
      <c r="A183" t="s">
        <v>44</v>
      </c>
      <c r="B183">
        <v>422</v>
      </c>
      <c r="D183">
        <v>2141</v>
      </c>
      <c r="G183" t="s">
        <v>1761</v>
      </c>
      <c r="H183">
        <v>27898532000144</v>
      </c>
      <c r="J183" t="s">
        <v>1762</v>
      </c>
      <c r="K183" t="s">
        <v>1763</v>
      </c>
      <c r="M183" t="s">
        <v>1764</v>
      </c>
      <c r="P183" t="s">
        <v>778</v>
      </c>
      <c r="Q183" t="s">
        <v>1765</v>
      </c>
      <c r="R183" t="s">
        <v>790</v>
      </c>
      <c r="S183" t="s">
        <v>1766</v>
      </c>
      <c r="W183" t="s">
        <v>780</v>
      </c>
      <c r="X183" t="s">
        <v>857</v>
      </c>
      <c r="Z183" s="31"/>
      <c r="AA183">
        <v>69592</v>
      </c>
      <c r="AB183">
        <v>23661</v>
      </c>
      <c r="AC183">
        <v>42</v>
      </c>
      <c r="AD183" t="s">
        <v>594</v>
      </c>
      <c r="AE183" s="31">
        <v>45810</v>
      </c>
      <c r="AF183" s="61">
        <v>0.45253472222222219</v>
      </c>
      <c r="AH183" t="s">
        <v>795</v>
      </c>
      <c r="AI183" s="31">
        <v>45852</v>
      </c>
      <c r="AJ183" s="61">
        <v>0.43975694444444452</v>
      </c>
      <c r="AK183" t="s">
        <v>796</v>
      </c>
      <c r="AL183" t="s">
        <v>1767</v>
      </c>
      <c r="AM183" t="s">
        <v>1768</v>
      </c>
      <c r="AN183" t="s">
        <v>1769</v>
      </c>
      <c r="AO183" t="s">
        <v>594</v>
      </c>
      <c r="AP183" t="s">
        <v>1770</v>
      </c>
      <c r="AQ183" t="s">
        <v>1771</v>
      </c>
      <c r="AR183" s="31"/>
      <c r="AX183">
        <v>1</v>
      </c>
    </row>
    <row r="184" spans="1:50" x14ac:dyDescent="0.3">
      <c r="A184" t="s">
        <v>31</v>
      </c>
      <c r="B184">
        <v>423</v>
      </c>
      <c r="D184">
        <v>2179</v>
      </c>
      <c r="G184" t="s">
        <v>1772</v>
      </c>
      <c r="H184">
        <v>62182753000112</v>
      </c>
      <c r="J184" t="s">
        <v>1133</v>
      </c>
      <c r="K184" t="s">
        <v>1587</v>
      </c>
      <c r="M184" t="s">
        <v>1588</v>
      </c>
      <c r="P184" t="s">
        <v>778</v>
      </c>
      <c r="S184" t="s">
        <v>933</v>
      </c>
      <c r="V184" t="s">
        <v>1581</v>
      </c>
      <c r="W184" t="s">
        <v>780</v>
      </c>
      <c r="X184" t="s">
        <v>807</v>
      </c>
      <c r="Z184" s="31"/>
      <c r="AA184">
        <v>14280</v>
      </c>
      <c r="AB184">
        <v>127673</v>
      </c>
      <c r="AC184">
        <v>168</v>
      </c>
      <c r="AD184" t="s">
        <v>31</v>
      </c>
      <c r="AE184" s="31">
        <v>45811</v>
      </c>
      <c r="AF184" s="61">
        <v>0.48096064814814821</v>
      </c>
      <c r="AH184" t="s">
        <v>795</v>
      </c>
      <c r="AI184" s="31">
        <v>45979</v>
      </c>
      <c r="AJ184" s="61">
        <v>0.39922453703703698</v>
      </c>
      <c r="AK184" t="s">
        <v>796</v>
      </c>
      <c r="AN184" t="s">
        <v>1773</v>
      </c>
      <c r="AO184" t="s">
        <v>31</v>
      </c>
      <c r="AP184" t="s">
        <v>1773</v>
      </c>
      <c r="AR184" s="31"/>
      <c r="AX184">
        <v>1</v>
      </c>
    </row>
    <row r="185" spans="1:50" x14ac:dyDescent="0.3">
      <c r="A185" t="s">
        <v>44</v>
      </c>
      <c r="B185">
        <v>425</v>
      </c>
      <c r="D185">
        <v>2181</v>
      </c>
      <c r="G185" t="s">
        <v>1774</v>
      </c>
      <c r="H185">
        <v>3971592000187</v>
      </c>
      <c r="J185" t="s">
        <v>1775</v>
      </c>
      <c r="K185" t="s">
        <v>1776</v>
      </c>
      <c r="P185" t="s">
        <v>778</v>
      </c>
      <c r="Q185" t="s">
        <v>1777</v>
      </c>
      <c r="R185" t="s">
        <v>1027</v>
      </c>
      <c r="V185" t="s">
        <v>1718</v>
      </c>
      <c r="W185" t="s">
        <v>780</v>
      </c>
      <c r="X185" t="s">
        <v>857</v>
      </c>
      <c r="Z185" s="31"/>
      <c r="AC185">
        <v>26</v>
      </c>
      <c r="AD185" t="s">
        <v>44</v>
      </c>
      <c r="AE185" s="31">
        <v>45813</v>
      </c>
      <c r="AF185" s="61">
        <v>0.45299768518518518</v>
      </c>
      <c r="AH185" t="s">
        <v>795</v>
      </c>
      <c r="AI185" s="31">
        <v>45839</v>
      </c>
      <c r="AJ185" s="61">
        <v>0.41417824074074072</v>
      </c>
      <c r="AK185" t="s">
        <v>796</v>
      </c>
      <c r="AL185" t="s">
        <v>1694</v>
      </c>
      <c r="AR185" s="31"/>
      <c r="AX185">
        <v>1</v>
      </c>
    </row>
    <row r="186" spans="1:50" x14ac:dyDescent="0.3">
      <c r="A186" t="s">
        <v>44</v>
      </c>
      <c r="B186">
        <v>426</v>
      </c>
      <c r="D186">
        <v>2186</v>
      </c>
      <c r="G186" t="s">
        <v>1778</v>
      </c>
      <c r="H186">
        <v>480542000290</v>
      </c>
      <c r="J186" t="s">
        <v>1779</v>
      </c>
      <c r="K186" t="s">
        <v>1780</v>
      </c>
      <c r="M186" t="s">
        <v>1781</v>
      </c>
      <c r="P186" t="s">
        <v>778</v>
      </c>
      <c r="Q186" t="s">
        <v>1782</v>
      </c>
      <c r="R186" t="s">
        <v>790</v>
      </c>
      <c r="W186" t="s">
        <v>780</v>
      </c>
      <c r="X186" t="s">
        <v>781</v>
      </c>
      <c r="Z186" s="31"/>
      <c r="AC186">
        <v>26</v>
      </c>
      <c r="AD186" t="s">
        <v>44</v>
      </c>
      <c r="AE186" s="31">
        <v>45813</v>
      </c>
      <c r="AF186" s="61">
        <v>0.46081018518518518</v>
      </c>
      <c r="AH186" t="s">
        <v>795</v>
      </c>
      <c r="AI186" s="31">
        <v>45839</v>
      </c>
      <c r="AJ186" s="61">
        <v>0.40780092592592587</v>
      </c>
      <c r="AK186" t="s">
        <v>796</v>
      </c>
      <c r="AL186" t="s">
        <v>1694</v>
      </c>
      <c r="AR186" s="31"/>
      <c r="AX186">
        <v>1</v>
      </c>
    </row>
    <row r="187" spans="1:50" x14ac:dyDescent="0.3">
      <c r="A187" t="s">
        <v>44</v>
      </c>
      <c r="B187">
        <v>428</v>
      </c>
      <c r="D187">
        <v>2189</v>
      </c>
      <c r="G187" t="s">
        <v>1783</v>
      </c>
      <c r="H187">
        <v>10509268000107</v>
      </c>
      <c r="J187" t="s">
        <v>1784</v>
      </c>
      <c r="K187" t="s">
        <v>1785</v>
      </c>
      <c r="M187" t="s">
        <v>1786</v>
      </c>
      <c r="P187" t="s">
        <v>778</v>
      </c>
      <c r="Q187" t="s">
        <v>1787</v>
      </c>
      <c r="R187" t="s">
        <v>790</v>
      </c>
      <c r="V187" t="s">
        <v>1718</v>
      </c>
      <c r="W187" t="s">
        <v>780</v>
      </c>
      <c r="X187" t="s">
        <v>857</v>
      </c>
      <c r="Z187" s="31"/>
      <c r="AA187">
        <v>73430</v>
      </c>
      <c r="AB187">
        <v>37382</v>
      </c>
      <c r="AC187">
        <v>24</v>
      </c>
      <c r="AD187" t="s">
        <v>44</v>
      </c>
      <c r="AE187" s="31">
        <v>45814</v>
      </c>
      <c r="AF187" s="61">
        <v>0.42849537037037039</v>
      </c>
      <c r="AH187" t="s">
        <v>795</v>
      </c>
      <c r="AI187" s="31">
        <v>45838</v>
      </c>
      <c r="AJ187" s="61">
        <v>0.62945601851851851</v>
      </c>
      <c r="AK187" t="s">
        <v>796</v>
      </c>
      <c r="AL187" t="s">
        <v>1788</v>
      </c>
      <c r="AN187" t="s">
        <v>1789</v>
      </c>
      <c r="AP187" t="s">
        <v>1790</v>
      </c>
      <c r="AQ187" t="s">
        <v>1769</v>
      </c>
      <c r="AR187" s="31"/>
      <c r="AX187">
        <v>1</v>
      </c>
    </row>
    <row r="188" spans="1:50" x14ac:dyDescent="0.3">
      <c r="A188" t="s">
        <v>44</v>
      </c>
      <c r="B188">
        <v>431</v>
      </c>
      <c r="D188">
        <v>2194</v>
      </c>
      <c r="G188" t="s">
        <v>386</v>
      </c>
      <c r="H188">
        <v>28646036000166</v>
      </c>
      <c r="J188" t="s">
        <v>1791</v>
      </c>
      <c r="K188" t="s">
        <v>1792</v>
      </c>
      <c r="M188" t="s">
        <v>1793</v>
      </c>
      <c r="P188" t="s">
        <v>778</v>
      </c>
      <c r="Q188" t="s">
        <v>1794</v>
      </c>
      <c r="R188" t="s">
        <v>790</v>
      </c>
      <c r="V188" t="s">
        <v>1718</v>
      </c>
      <c r="W188" t="s">
        <v>780</v>
      </c>
      <c r="X188" t="s">
        <v>807</v>
      </c>
      <c r="Z188" s="31"/>
      <c r="AA188">
        <v>16960</v>
      </c>
      <c r="AB188">
        <v>70432</v>
      </c>
      <c r="AC188">
        <v>80</v>
      </c>
      <c r="AD188" t="s">
        <v>44</v>
      </c>
      <c r="AE188" s="31">
        <v>45817</v>
      </c>
      <c r="AF188" s="61">
        <v>0.47589120370370369</v>
      </c>
      <c r="AH188" t="s">
        <v>795</v>
      </c>
      <c r="AI188" s="31">
        <v>45897</v>
      </c>
      <c r="AJ188" s="61">
        <v>0.64936342592592589</v>
      </c>
      <c r="AK188" t="s">
        <v>796</v>
      </c>
      <c r="AL188" t="s">
        <v>797</v>
      </c>
      <c r="AN188" t="s">
        <v>1771</v>
      </c>
      <c r="AP188" t="s">
        <v>1771</v>
      </c>
      <c r="AR188" s="31"/>
      <c r="AX188">
        <v>1</v>
      </c>
    </row>
    <row r="189" spans="1:50" x14ac:dyDescent="0.3">
      <c r="A189" t="s">
        <v>44</v>
      </c>
      <c r="B189">
        <v>433</v>
      </c>
      <c r="D189">
        <v>2197</v>
      </c>
      <c r="G189" t="s">
        <v>1795</v>
      </c>
      <c r="J189" t="s">
        <v>1796</v>
      </c>
      <c r="K189" t="s">
        <v>1797</v>
      </c>
      <c r="M189" t="s">
        <v>1111</v>
      </c>
      <c r="P189" t="s">
        <v>778</v>
      </c>
      <c r="W189" t="s">
        <v>780</v>
      </c>
      <c r="X189" t="s">
        <v>857</v>
      </c>
      <c r="Z189" s="31"/>
      <c r="AA189">
        <v>16960</v>
      </c>
      <c r="AB189">
        <v>998</v>
      </c>
      <c r="AC189">
        <v>20</v>
      </c>
      <c r="AD189" t="s">
        <v>44</v>
      </c>
      <c r="AE189" s="31">
        <v>45819</v>
      </c>
      <c r="AF189" s="61">
        <v>0.3787962962962963</v>
      </c>
      <c r="AH189" t="s">
        <v>795</v>
      </c>
      <c r="AI189" s="31">
        <v>45839</v>
      </c>
      <c r="AJ189" s="61">
        <v>0.41629629629629628</v>
      </c>
      <c r="AK189" t="s">
        <v>796</v>
      </c>
      <c r="AL189" t="s">
        <v>1798</v>
      </c>
      <c r="AN189" t="s">
        <v>1799</v>
      </c>
      <c r="AP189" t="s">
        <v>1799</v>
      </c>
      <c r="AR189" s="31"/>
      <c r="AX189">
        <v>1</v>
      </c>
    </row>
    <row r="190" spans="1:50" x14ac:dyDescent="0.3">
      <c r="A190" t="s">
        <v>22</v>
      </c>
      <c r="B190">
        <v>434</v>
      </c>
      <c r="D190">
        <v>2198</v>
      </c>
      <c r="G190" t="s">
        <v>1800</v>
      </c>
      <c r="J190" t="s">
        <v>1243</v>
      </c>
      <c r="K190" t="s">
        <v>1801</v>
      </c>
      <c r="M190" t="s">
        <v>1802</v>
      </c>
      <c r="P190" t="s">
        <v>778</v>
      </c>
      <c r="S190" t="s">
        <v>933</v>
      </c>
      <c r="V190" t="s">
        <v>1718</v>
      </c>
      <c r="W190" t="s">
        <v>780</v>
      </c>
      <c r="X190" t="s">
        <v>857</v>
      </c>
      <c r="Y190" t="s">
        <v>817</v>
      </c>
      <c r="Z190" s="31"/>
      <c r="AC190">
        <v>90</v>
      </c>
      <c r="AD190" t="s">
        <v>22</v>
      </c>
      <c r="AE190" s="31">
        <v>45820</v>
      </c>
      <c r="AF190" s="61">
        <v>0.6342592592592593</v>
      </c>
      <c r="AH190" t="s">
        <v>795</v>
      </c>
      <c r="AI190" s="31">
        <v>45910</v>
      </c>
      <c r="AJ190" s="61">
        <v>0.67572916666666671</v>
      </c>
      <c r="AK190" t="s">
        <v>796</v>
      </c>
      <c r="AO190" t="s">
        <v>22</v>
      </c>
      <c r="AR190" s="31"/>
      <c r="AX190">
        <v>1</v>
      </c>
    </row>
    <row r="191" spans="1:50" x14ac:dyDescent="0.3">
      <c r="A191" t="s">
        <v>22</v>
      </c>
      <c r="B191">
        <v>435</v>
      </c>
      <c r="D191">
        <v>2200</v>
      </c>
      <c r="G191" t="s">
        <v>1803</v>
      </c>
      <c r="J191" t="s">
        <v>1804</v>
      </c>
      <c r="K191" t="s">
        <v>1805</v>
      </c>
      <c r="M191" t="s">
        <v>1111</v>
      </c>
      <c r="P191" t="s">
        <v>778</v>
      </c>
      <c r="S191" t="s">
        <v>933</v>
      </c>
      <c r="V191" t="s">
        <v>1419</v>
      </c>
      <c r="W191" t="s">
        <v>780</v>
      </c>
      <c r="X191" t="s">
        <v>816</v>
      </c>
      <c r="Z191" s="31"/>
      <c r="AA191">
        <v>28800</v>
      </c>
      <c r="AB191">
        <v>201012</v>
      </c>
      <c r="AC191">
        <v>56</v>
      </c>
      <c r="AD191" t="s">
        <v>22</v>
      </c>
      <c r="AE191" s="31">
        <v>45820</v>
      </c>
      <c r="AF191" s="61">
        <v>0.68391203703703707</v>
      </c>
      <c r="AH191" t="s">
        <v>818</v>
      </c>
      <c r="AI191" s="31">
        <v>45876</v>
      </c>
      <c r="AJ191" s="61">
        <v>0.50437500000000002</v>
      </c>
      <c r="AO191" t="s">
        <v>22</v>
      </c>
      <c r="AR191" s="31"/>
      <c r="AX191">
        <v>1</v>
      </c>
    </row>
    <row r="192" spans="1:50" x14ac:dyDescent="0.3">
      <c r="A192" t="s">
        <v>22</v>
      </c>
      <c r="B192">
        <v>441</v>
      </c>
      <c r="D192">
        <v>2206</v>
      </c>
      <c r="G192" t="s">
        <v>1806</v>
      </c>
      <c r="H192">
        <v>8505162000355</v>
      </c>
      <c r="J192" t="s">
        <v>1807</v>
      </c>
      <c r="K192" t="s">
        <v>1808</v>
      </c>
      <c r="M192" t="s">
        <v>1809</v>
      </c>
      <c r="P192" t="s">
        <v>778</v>
      </c>
      <c r="S192" t="s">
        <v>933</v>
      </c>
      <c r="V192" t="s">
        <v>1419</v>
      </c>
      <c r="W192" t="s">
        <v>780</v>
      </c>
      <c r="X192" t="s">
        <v>793</v>
      </c>
      <c r="Z192" s="31"/>
      <c r="AC192">
        <v>55</v>
      </c>
      <c r="AD192" t="s">
        <v>22</v>
      </c>
      <c r="AE192" s="31">
        <v>45821</v>
      </c>
      <c r="AF192" s="61">
        <v>0.72303240740740737</v>
      </c>
      <c r="AH192" t="s">
        <v>795</v>
      </c>
      <c r="AI192" s="31">
        <v>45876</v>
      </c>
      <c r="AJ192" s="61">
        <v>0.59842592592592592</v>
      </c>
      <c r="AK192" t="s">
        <v>1119</v>
      </c>
      <c r="AN192" t="s">
        <v>1771</v>
      </c>
      <c r="AO192" t="s">
        <v>22</v>
      </c>
      <c r="AP192" t="s">
        <v>1771</v>
      </c>
      <c r="AR192" s="31"/>
      <c r="AX192">
        <v>1</v>
      </c>
    </row>
    <row r="193" spans="1:50" x14ac:dyDescent="0.3">
      <c r="A193" t="s">
        <v>44</v>
      </c>
      <c r="B193">
        <v>447</v>
      </c>
      <c r="D193">
        <v>2213</v>
      </c>
      <c r="G193" t="s">
        <v>1810</v>
      </c>
      <c r="J193" t="s">
        <v>1811</v>
      </c>
      <c r="K193" t="s">
        <v>1812</v>
      </c>
      <c r="M193" t="s">
        <v>1813</v>
      </c>
      <c r="P193" t="s">
        <v>778</v>
      </c>
      <c r="W193" t="s">
        <v>780</v>
      </c>
      <c r="X193" t="s">
        <v>816</v>
      </c>
      <c r="Z193" s="31"/>
      <c r="AA193">
        <v>1782</v>
      </c>
      <c r="AB193">
        <v>3564</v>
      </c>
      <c r="AC193">
        <v>2</v>
      </c>
      <c r="AD193" t="s">
        <v>44</v>
      </c>
      <c r="AE193" s="31">
        <v>45824</v>
      </c>
      <c r="AF193" s="61">
        <v>0.6651273148148148</v>
      </c>
      <c r="AH193" t="s">
        <v>818</v>
      </c>
      <c r="AI193" s="31">
        <v>45826</v>
      </c>
      <c r="AJ193" s="61">
        <v>0.61760416666666662</v>
      </c>
      <c r="AN193" t="s">
        <v>1771</v>
      </c>
      <c r="AP193" t="s">
        <v>1771</v>
      </c>
      <c r="AR193" s="31"/>
      <c r="AX193">
        <v>1</v>
      </c>
    </row>
    <row r="194" spans="1:50" x14ac:dyDescent="0.3">
      <c r="A194" t="s">
        <v>44</v>
      </c>
      <c r="B194">
        <v>451</v>
      </c>
      <c r="D194">
        <v>2217</v>
      </c>
      <c r="G194" t="s">
        <v>1814</v>
      </c>
      <c r="H194">
        <v>27898532000144</v>
      </c>
      <c r="J194" t="s">
        <v>1815</v>
      </c>
      <c r="K194" t="s">
        <v>1816</v>
      </c>
      <c r="M194" t="s">
        <v>1764</v>
      </c>
      <c r="P194" t="s">
        <v>778</v>
      </c>
      <c r="Q194" t="s">
        <v>1817</v>
      </c>
      <c r="R194" t="s">
        <v>790</v>
      </c>
      <c r="W194" t="s">
        <v>780</v>
      </c>
      <c r="X194" t="s">
        <v>857</v>
      </c>
      <c r="Z194" s="31"/>
      <c r="AA194">
        <v>1600</v>
      </c>
      <c r="AB194">
        <v>26507</v>
      </c>
      <c r="AC194">
        <v>26</v>
      </c>
      <c r="AD194" t="s">
        <v>44</v>
      </c>
      <c r="AE194" s="31">
        <v>45826</v>
      </c>
      <c r="AF194" s="61">
        <v>0.60541666666666671</v>
      </c>
      <c r="AH194" t="s">
        <v>795</v>
      </c>
      <c r="AI194" s="31">
        <v>45852</v>
      </c>
      <c r="AJ194" s="61">
        <v>0.44032407407407409</v>
      </c>
      <c r="AK194" t="s">
        <v>796</v>
      </c>
      <c r="AL194" t="s">
        <v>1767</v>
      </c>
      <c r="AN194" t="s">
        <v>1769</v>
      </c>
      <c r="AP194" t="s">
        <v>1771</v>
      </c>
      <c r="AR194" s="31"/>
      <c r="AX194">
        <v>1</v>
      </c>
    </row>
    <row r="195" spans="1:50" x14ac:dyDescent="0.3">
      <c r="A195" t="s">
        <v>44</v>
      </c>
      <c r="B195">
        <v>453</v>
      </c>
      <c r="D195">
        <v>2219</v>
      </c>
      <c r="G195" t="s">
        <v>1818</v>
      </c>
      <c r="J195" t="s">
        <v>1819</v>
      </c>
      <c r="K195" t="s">
        <v>1579</v>
      </c>
      <c r="M195" t="s">
        <v>1580</v>
      </c>
      <c r="P195" t="s">
        <v>778</v>
      </c>
      <c r="V195" t="s">
        <v>1718</v>
      </c>
      <c r="W195" t="s">
        <v>780</v>
      </c>
      <c r="X195" t="s">
        <v>807</v>
      </c>
      <c r="Z195" s="31"/>
      <c r="AA195">
        <v>29680</v>
      </c>
      <c r="AB195">
        <v>0</v>
      </c>
      <c r="AC195">
        <v>7</v>
      </c>
      <c r="AD195" t="s">
        <v>44</v>
      </c>
      <c r="AE195" s="31">
        <v>45831</v>
      </c>
      <c r="AF195" s="61">
        <v>0.38500000000000001</v>
      </c>
      <c r="AH195" t="s">
        <v>795</v>
      </c>
      <c r="AI195" s="31">
        <v>45838</v>
      </c>
      <c r="AJ195" s="61">
        <v>0.63365740740740739</v>
      </c>
      <c r="AK195" t="s">
        <v>934</v>
      </c>
      <c r="AL195" t="s">
        <v>1820</v>
      </c>
      <c r="AN195" t="s">
        <v>1789</v>
      </c>
      <c r="AP195" t="s">
        <v>1789</v>
      </c>
      <c r="AR195" s="31"/>
      <c r="AX195">
        <v>1</v>
      </c>
    </row>
    <row r="196" spans="1:50" x14ac:dyDescent="0.3">
      <c r="A196" t="s">
        <v>44</v>
      </c>
      <c r="B196">
        <v>455</v>
      </c>
      <c r="D196">
        <v>2221</v>
      </c>
      <c r="G196" t="s">
        <v>1821</v>
      </c>
      <c r="H196">
        <v>1537246000160</v>
      </c>
      <c r="J196" t="s">
        <v>1822</v>
      </c>
      <c r="K196" t="s">
        <v>1823</v>
      </c>
      <c r="M196" t="s">
        <v>1824</v>
      </c>
      <c r="P196" t="s">
        <v>778</v>
      </c>
      <c r="Q196" t="s">
        <v>1825</v>
      </c>
      <c r="R196" t="s">
        <v>790</v>
      </c>
      <c r="W196" t="s">
        <v>780</v>
      </c>
      <c r="X196" t="s">
        <v>781</v>
      </c>
      <c r="Z196" s="31"/>
      <c r="AC196">
        <v>7</v>
      </c>
      <c r="AD196" t="s">
        <v>44</v>
      </c>
      <c r="AE196" s="31">
        <v>45832</v>
      </c>
      <c r="AF196" s="61">
        <v>0.46826388888888892</v>
      </c>
      <c r="AH196" t="s">
        <v>795</v>
      </c>
      <c r="AI196" s="31">
        <v>45839</v>
      </c>
      <c r="AJ196" s="61">
        <v>0.40962962962962962</v>
      </c>
      <c r="AK196" t="s">
        <v>796</v>
      </c>
      <c r="AL196" t="s">
        <v>1694</v>
      </c>
      <c r="AR196" s="31"/>
      <c r="AX196">
        <v>1</v>
      </c>
    </row>
    <row r="197" spans="1:50" x14ac:dyDescent="0.3">
      <c r="A197" t="s">
        <v>44</v>
      </c>
      <c r="B197">
        <v>456</v>
      </c>
      <c r="D197">
        <v>2226</v>
      </c>
      <c r="G197" t="s">
        <v>1826</v>
      </c>
      <c r="H197">
        <v>1684187000152</v>
      </c>
      <c r="J197" t="s">
        <v>1827</v>
      </c>
      <c r="K197" t="s">
        <v>1828</v>
      </c>
      <c r="P197" t="s">
        <v>778</v>
      </c>
      <c r="Q197" t="s">
        <v>1094</v>
      </c>
      <c r="R197" t="s">
        <v>790</v>
      </c>
      <c r="W197" t="s">
        <v>780</v>
      </c>
      <c r="X197" t="s">
        <v>781</v>
      </c>
      <c r="Z197" s="31"/>
      <c r="AC197">
        <v>7</v>
      </c>
      <c r="AD197" t="s">
        <v>44</v>
      </c>
      <c r="AE197" s="31">
        <v>45832</v>
      </c>
      <c r="AF197" s="61">
        <v>0.47282407407407412</v>
      </c>
      <c r="AH197" t="s">
        <v>795</v>
      </c>
      <c r="AI197" s="31">
        <v>45839</v>
      </c>
      <c r="AJ197" s="61">
        <v>0.4099652777777778</v>
      </c>
      <c r="AK197" t="s">
        <v>796</v>
      </c>
      <c r="AL197" t="s">
        <v>1694</v>
      </c>
      <c r="AR197" s="31"/>
      <c r="AX197">
        <v>1</v>
      </c>
    </row>
    <row r="198" spans="1:50" x14ac:dyDescent="0.3">
      <c r="A198" t="s">
        <v>44</v>
      </c>
      <c r="B198">
        <v>457</v>
      </c>
      <c r="D198">
        <v>2230</v>
      </c>
      <c r="G198" t="s">
        <v>1829</v>
      </c>
      <c r="H198">
        <v>28895260000191</v>
      </c>
      <c r="J198" t="s">
        <v>1830</v>
      </c>
      <c r="K198" t="s">
        <v>1831</v>
      </c>
      <c r="M198" t="s">
        <v>1832</v>
      </c>
      <c r="P198" t="s">
        <v>778</v>
      </c>
      <c r="Q198" t="s">
        <v>1833</v>
      </c>
      <c r="R198" t="s">
        <v>790</v>
      </c>
      <c r="W198" t="s">
        <v>780</v>
      </c>
      <c r="X198" t="s">
        <v>781</v>
      </c>
      <c r="Z198" s="31"/>
      <c r="AC198">
        <v>7</v>
      </c>
      <c r="AD198" t="s">
        <v>44</v>
      </c>
      <c r="AE198" s="31">
        <v>45832</v>
      </c>
      <c r="AF198" s="61">
        <v>0.47787037037037039</v>
      </c>
      <c r="AH198" t="s">
        <v>795</v>
      </c>
      <c r="AI198" s="31">
        <v>45839</v>
      </c>
      <c r="AJ198" s="61">
        <v>0.41031250000000002</v>
      </c>
      <c r="AK198" t="s">
        <v>796</v>
      </c>
      <c r="AL198" t="s">
        <v>1694</v>
      </c>
      <c r="AR198" s="31"/>
      <c r="AX198">
        <v>1</v>
      </c>
    </row>
    <row r="199" spans="1:50" x14ac:dyDescent="0.3">
      <c r="A199" t="s">
        <v>44</v>
      </c>
      <c r="B199">
        <v>462</v>
      </c>
      <c r="D199">
        <v>2237</v>
      </c>
      <c r="G199" t="s">
        <v>1834</v>
      </c>
      <c r="H199">
        <v>61630786000115</v>
      </c>
      <c r="J199" t="s">
        <v>1835</v>
      </c>
      <c r="K199" t="s">
        <v>1836</v>
      </c>
      <c r="P199" t="s">
        <v>778</v>
      </c>
      <c r="Q199" t="s">
        <v>1837</v>
      </c>
      <c r="R199" t="s">
        <v>790</v>
      </c>
      <c r="W199" t="s">
        <v>780</v>
      </c>
      <c r="X199" t="s">
        <v>857</v>
      </c>
      <c r="Z199" s="31"/>
      <c r="AA199">
        <v>80560</v>
      </c>
      <c r="AB199">
        <v>249008</v>
      </c>
      <c r="AC199">
        <v>1</v>
      </c>
      <c r="AD199" t="s">
        <v>44</v>
      </c>
      <c r="AE199" s="31">
        <v>45833</v>
      </c>
      <c r="AF199" s="61">
        <v>0.43809027777777781</v>
      </c>
      <c r="AH199" t="s">
        <v>795</v>
      </c>
      <c r="AI199" s="31">
        <v>45834</v>
      </c>
      <c r="AJ199" s="61">
        <v>0.44855324074074082</v>
      </c>
      <c r="AK199" t="s">
        <v>796</v>
      </c>
      <c r="AL199" t="s">
        <v>1838</v>
      </c>
      <c r="AN199" t="s">
        <v>1771</v>
      </c>
      <c r="AP199" t="s">
        <v>1839</v>
      </c>
      <c r="AR199" s="31"/>
      <c r="AX199">
        <v>1</v>
      </c>
    </row>
    <row r="200" spans="1:50" x14ac:dyDescent="0.3">
      <c r="A200" t="s">
        <v>44</v>
      </c>
      <c r="B200">
        <v>463</v>
      </c>
      <c r="D200">
        <v>2239</v>
      </c>
      <c r="G200" t="s">
        <v>1840</v>
      </c>
      <c r="H200">
        <v>61630786000115</v>
      </c>
      <c r="J200" t="s">
        <v>1841</v>
      </c>
      <c r="K200" t="s">
        <v>1836</v>
      </c>
      <c r="P200" t="s">
        <v>778</v>
      </c>
      <c r="Q200" t="s">
        <v>1837</v>
      </c>
      <c r="R200" t="s">
        <v>790</v>
      </c>
      <c r="W200" t="s">
        <v>780</v>
      </c>
      <c r="X200" t="s">
        <v>857</v>
      </c>
      <c r="Z200" s="31"/>
      <c r="AA200">
        <v>1600</v>
      </c>
      <c r="AB200">
        <v>278556</v>
      </c>
      <c r="AC200">
        <v>1</v>
      </c>
      <c r="AD200" t="s">
        <v>44</v>
      </c>
      <c r="AE200" s="31">
        <v>45833</v>
      </c>
      <c r="AF200" s="61">
        <v>0.44237268518518519</v>
      </c>
      <c r="AH200" t="s">
        <v>795</v>
      </c>
      <c r="AI200" s="31">
        <v>45834</v>
      </c>
      <c r="AJ200" s="61">
        <v>0.44890046296296299</v>
      </c>
      <c r="AK200" t="s">
        <v>796</v>
      </c>
      <c r="AL200" t="s">
        <v>1838</v>
      </c>
      <c r="AN200" t="s">
        <v>1771</v>
      </c>
      <c r="AP200" t="s">
        <v>1839</v>
      </c>
      <c r="AR200" s="31"/>
      <c r="AX200">
        <v>1</v>
      </c>
    </row>
    <row r="201" spans="1:50" x14ac:dyDescent="0.3">
      <c r="A201" t="s">
        <v>44</v>
      </c>
      <c r="B201">
        <v>466</v>
      </c>
      <c r="D201">
        <v>2243</v>
      </c>
      <c r="G201" t="s">
        <v>1842</v>
      </c>
      <c r="J201" t="s">
        <v>1843</v>
      </c>
      <c r="K201" t="s">
        <v>1844</v>
      </c>
      <c r="M201" t="s">
        <v>1845</v>
      </c>
      <c r="P201" t="s">
        <v>778</v>
      </c>
      <c r="W201" t="s">
        <v>780</v>
      </c>
      <c r="X201" t="s">
        <v>816</v>
      </c>
      <c r="Z201" s="31"/>
      <c r="AA201">
        <v>0</v>
      </c>
      <c r="AB201">
        <v>54887</v>
      </c>
      <c r="AC201">
        <v>5</v>
      </c>
      <c r="AD201" t="s">
        <v>44</v>
      </c>
      <c r="AE201" s="31">
        <v>45833</v>
      </c>
      <c r="AF201" s="61">
        <v>0.60601851851851851</v>
      </c>
      <c r="AH201" t="s">
        <v>818</v>
      </c>
      <c r="AI201" s="31">
        <v>45838</v>
      </c>
      <c r="AJ201" s="61">
        <v>0.35708333333333331</v>
      </c>
      <c r="AN201" t="s">
        <v>1846</v>
      </c>
      <c r="AP201" t="s">
        <v>1846</v>
      </c>
      <c r="AR201" s="31"/>
      <c r="AX201">
        <v>1</v>
      </c>
    </row>
    <row r="202" spans="1:50" x14ac:dyDescent="0.3">
      <c r="A202" t="s">
        <v>44</v>
      </c>
      <c r="B202">
        <v>467</v>
      </c>
      <c r="D202">
        <v>2244</v>
      </c>
      <c r="G202" t="s">
        <v>1847</v>
      </c>
      <c r="J202" t="s">
        <v>1848</v>
      </c>
      <c r="K202" t="s">
        <v>1785</v>
      </c>
      <c r="M202" t="s">
        <v>1786</v>
      </c>
      <c r="P202" t="s">
        <v>778</v>
      </c>
      <c r="W202" t="s">
        <v>780</v>
      </c>
      <c r="X202" t="s">
        <v>857</v>
      </c>
      <c r="Z202" s="31"/>
      <c r="AA202">
        <v>1600</v>
      </c>
      <c r="AB202">
        <v>309656</v>
      </c>
      <c r="AC202">
        <v>5</v>
      </c>
      <c r="AD202" t="s">
        <v>44</v>
      </c>
      <c r="AE202" s="31">
        <v>45833</v>
      </c>
      <c r="AF202" s="61">
        <v>0.66252314814814817</v>
      </c>
      <c r="AH202" t="s">
        <v>795</v>
      </c>
      <c r="AI202" s="31">
        <v>45838</v>
      </c>
      <c r="AJ202" s="61">
        <v>0.62982638888888887</v>
      </c>
      <c r="AK202" t="s">
        <v>796</v>
      </c>
      <c r="AL202" t="s">
        <v>1788</v>
      </c>
      <c r="AN202" t="s">
        <v>1789</v>
      </c>
      <c r="AP202" t="s">
        <v>1769</v>
      </c>
      <c r="AR202" s="31"/>
      <c r="AX202">
        <v>1</v>
      </c>
    </row>
    <row r="203" spans="1:50" x14ac:dyDescent="0.3">
      <c r="A203" t="s">
        <v>44</v>
      </c>
      <c r="B203">
        <v>468</v>
      </c>
      <c r="D203">
        <v>2245</v>
      </c>
      <c r="G203" t="s">
        <v>1849</v>
      </c>
      <c r="H203">
        <v>9509581000166</v>
      </c>
      <c r="J203" t="s">
        <v>1850</v>
      </c>
      <c r="K203" t="s">
        <v>1851</v>
      </c>
      <c r="M203" t="s">
        <v>1852</v>
      </c>
      <c r="P203" t="s">
        <v>778</v>
      </c>
      <c r="Q203" t="s">
        <v>1094</v>
      </c>
      <c r="R203" t="s">
        <v>790</v>
      </c>
      <c r="W203" t="s">
        <v>780</v>
      </c>
      <c r="X203" t="s">
        <v>793</v>
      </c>
      <c r="Z203" s="31"/>
      <c r="AA203">
        <v>10800</v>
      </c>
      <c r="AB203">
        <v>450</v>
      </c>
      <c r="AC203">
        <v>5</v>
      </c>
      <c r="AD203" t="s">
        <v>44</v>
      </c>
      <c r="AE203" s="31">
        <v>45833</v>
      </c>
      <c r="AF203" s="61">
        <v>0.6728587962962963</v>
      </c>
      <c r="AH203" t="s">
        <v>795</v>
      </c>
      <c r="AI203" s="31">
        <v>45838</v>
      </c>
      <c r="AJ203" s="61">
        <v>0.62880787037037034</v>
      </c>
      <c r="AK203" t="s">
        <v>796</v>
      </c>
      <c r="AL203" t="s">
        <v>1853</v>
      </c>
      <c r="AN203" t="s">
        <v>1854</v>
      </c>
      <c r="AP203" t="s">
        <v>1790</v>
      </c>
      <c r="AR203" s="31"/>
      <c r="AX203">
        <v>1</v>
      </c>
    </row>
    <row r="204" spans="1:50" x14ac:dyDescent="0.3">
      <c r="A204" t="s">
        <v>44</v>
      </c>
      <c r="B204">
        <v>469</v>
      </c>
      <c r="D204">
        <v>2250</v>
      </c>
      <c r="G204" t="s">
        <v>1855</v>
      </c>
      <c r="J204" t="s">
        <v>1856</v>
      </c>
      <c r="K204" t="s">
        <v>1857</v>
      </c>
      <c r="M204" t="s">
        <v>1858</v>
      </c>
      <c r="P204" t="s">
        <v>778</v>
      </c>
      <c r="W204" t="s">
        <v>780</v>
      </c>
      <c r="X204" t="s">
        <v>816</v>
      </c>
      <c r="Z204" s="31"/>
      <c r="AA204">
        <v>607121</v>
      </c>
      <c r="AB204">
        <v>0</v>
      </c>
      <c r="AC204">
        <v>25</v>
      </c>
      <c r="AD204" t="s">
        <v>44</v>
      </c>
      <c r="AE204" s="31">
        <v>45834</v>
      </c>
      <c r="AF204" s="61">
        <v>0.49910879629629629</v>
      </c>
      <c r="AH204" t="s">
        <v>818</v>
      </c>
      <c r="AI204" s="31">
        <v>45859</v>
      </c>
      <c r="AJ204" s="61">
        <v>0.38678240740740738</v>
      </c>
      <c r="AN204" t="s">
        <v>1859</v>
      </c>
      <c r="AP204" t="s">
        <v>1859</v>
      </c>
      <c r="AR204" s="31"/>
      <c r="AX204">
        <v>1</v>
      </c>
    </row>
    <row r="205" spans="1:50" x14ac:dyDescent="0.3">
      <c r="A205" t="s">
        <v>44</v>
      </c>
      <c r="B205">
        <v>470</v>
      </c>
      <c r="D205">
        <v>2272</v>
      </c>
      <c r="G205" t="s">
        <v>1860</v>
      </c>
      <c r="H205">
        <v>912882000161</v>
      </c>
      <c r="J205" t="s">
        <v>1861</v>
      </c>
      <c r="K205" t="s">
        <v>1862</v>
      </c>
      <c r="M205" t="s">
        <v>1863</v>
      </c>
      <c r="P205" t="s">
        <v>778</v>
      </c>
      <c r="Q205" t="s">
        <v>1864</v>
      </c>
      <c r="R205" t="s">
        <v>1027</v>
      </c>
      <c r="V205" t="s">
        <v>1718</v>
      </c>
      <c r="W205" t="s">
        <v>780</v>
      </c>
      <c r="X205" t="s">
        <v>807</v>
      </c>
      <c r="Z205" s="31"/>
      <c r="AA205">
        <v>16960</v>
      </c>
      <c r="AB205">
        <v>14034</v>
      </c>
      <c r="AC205">
        <v>84</v>
      </c>
      <c r="AD205" t="s">
        <v>44</v>
      </c>
      <c r="AE205" s="31">
        <v>45838</v>
      </c>
      <c r="AF205" s="61">
        <v>0.49502314814814807</v>
      </c>
      <c r="AH205" t="s">
        <v>795</v>
      </c>
      <c r="AI205" s="31">
        <v>45922</v>
      </c>
      <c r="AJ205" s="61">
        <v>0.4777777777777778</v>
      </c>
      <c r="AK205" t="s">
        <v>796</v>
      </c>
      <c r="AL205" t="s">
        <v>1865</v>
      </c>
      <c r="AN205" t="s">
        <v>1866</v>
      </c>
      <c r="AP205" t="s">
        <v>1866</v>
      </c>
      <c r="AR205" s="31"/>
      <c r="AX205">
        <v>1</v>
      </c>
    </row>
    <row r="206" spans="1:50" x14ac:dyDescent="0.3">
      <c r="A206" t="s">
        <v>31</v>
      </c>
      <c r="B206">
        <v>475</v>
      </c>
      <c r="D206">
        <v>2299</v>
      </c>
      <c r="G206" t="s">
        <v>1867</v>
      </c>
      <c r="H206">
        <v>3436772000169</v>
      </c>
      <c r="J206" t="s">
        <v>1868</v>
      </c>
      <c r="K206" t="s">
        <v>1869</v>
      </c>
      <c r="M206" t="s">
        <v>1870</v>
      </c>
      <c r="P206" t="s">
        <v>778</v>
      </c>
      <c r="Q206" t="s">
        <v>1094</v>
      </c>
      <c r="R206" t="s">
        <v>790</v>
      </c>
      <c r="W206" t="s">
        <v>780</v>
      </c>
      <c r="X206" t="s">
        <v>793</v>
      </c>
      <c r="Z206" s="31"/>
      <c r="AC206">
        <v>60</v>
      </c>
      <c r="AD206" t="s">
        <v>31</v>
      </c>
      <c r="AE206" s="31">
        <v>45842</v>
      </c>
      <c r="AF206" s="61">
        <v>0.39122685185185191</v>
      </c>
      <c r="AH206" t="s">
        <v>795</v>
      </c>
      <c r="AI206" s="31">
        <v>45902</v>
      </c>
      <c r="AJ206" s="61">
        <v>0.41572916666666659</v>
      </c>
      <c r="AK206" t="s">
        <v>796</v>
      </c>
      <c r="AN206" t="s">
        <v>1871</v>
      </c>
      <c r="AP206" t="s">
        <v>1872</v>
      </c>
      <c r="AR206" s="31"/>
      <c r="AX206">
        <v>1</v>
      </c>
    </row>
    <row r="207" spans="1:50" x14ac:dyDescent="0.3">
      <c r="A207" t="s">
        <v>44</v>
      </c>
      <c r="B207">
        <v>485</v>
      </c>
      <c r="D207">
        <v>2341</v>
      </c>
      <c r="G207" t="s">
        <v>1873</v>
      </c>
      <c r="H207">
        <v>20750928000109</v>
      </c>
      <c r="J207" t="s">
        <v>1874</v>
      </c>
      <c r="K207" t="s">
        <v>1875</v>
      </c>
      <c r="M207" t="s">
        <v>1876</v>
      </c>
      <c r="P207" t="s">
        <v>778</v>
      </c>
      <c r="Q207" t="s">
        <v>1877</v>
      </c>
      <c r="R207" t="s">
        <v>932</v>
      </c>
      <c r="V207" t="s">
        <v>1419</v>
      </c>
      <c r="W207" t="s">
        <v>780</v>
      </c>
      <c r="X207" t="s">
        <v>816</v>
      </c>
      <c r="Z207" s="31"/>
      <c r="AA207">
        <v>6429976</v>
      </c>
      <c r="AB207">
        <v>399322</v>
      </c>
      <c r="AC207">
        <v>73</v>
      </c>
      <c r="AD207" t="s">
        <v>44</v>
      </c>
      <c r="AE207" s="31">
        <v>45852</v>
      </c>
      <c r="AF207" s="61">
        <v>0.42383101851851851</v>
      </c>
      <c r="AH207" t="s">
        <v>818</v>
      </c>
      <c r="AI207" s="31">
        <v>45925</v>
      </c>
      <c r="AJ207" s="61">
        <v>0.63105324074074076</v>
      </c>
      <c r="AN207" t="s">
        <v>1878</v>
      </c>
      <c r="AP207" t="s">
        <v>1879</v>
      </c>
      <c r="AR207" s="31"/>
      <c r="AX207">
        <v>1</v>
      </c>
    </row>
    <row r="208" spans="1:50" x14ac:dyDescent="0.3">
      <c r="A208" t="s">
        <v>44</v>
      </c>
      <c r="B208">
        <v>486</v>
      </c>
      <c r="D208">
        <v>2343</v>
      </c>
      <c r="G208" t="s">
        <v>1880</v>
      </c>
      <c r="H208">
        <v>20750928000109</v>
      </c>
      <c r="J208" t="s">
        <v>1881</v>
      </c>
      <c r="K208" t="s">
        <v>1875</v>
      </c>
      <c r="M208" t="s">
        <v>1876</v>
      </c>
      <c r="P208" t="s">
        <v>778</v>
      </c>
      <c r="Q208" t="s">
        <v>1877</v>
      </c>
      <c r="R208" t="s">
        <v>932</v>
      </c>
      <c r="W208" t="s">
        <v>780</v>
      </c>
      <c r="X208" t="s">
        <v>816</v>
      </c>
      <c r="Z208" s="31"/>
      <c r="AA208">
        <v>1600</v>
      </c>
      <c r="AB208">
        <v>2325</v>
      </c>
      <c r="AC208">
        <v>73</v>
      </c>
      <c r="AD208" t="s">
        <v>44</v>
      </c>
      <c r="AE208" s="31">
        <v>45852</v>
      </c>
      <c r="AF208" s="61">
        <v>0.4576736111111111</v>
      </c>
      <c r="AH208" t="s">
        <v>795</v>
      </c>
      <c r="AI208" s="31">
        <v>45925</v>
      </c>
      <c r="AJ208" s="61">
        <v>0.62450231481481477</v>
      </c>
      <c r="AK208" t="s">
        <v>858</v>
      </c>
      <c r="AL208" t="s">
        <v>1882</v>
      </c>
      <c r="AN208" t="s">
        <v>1878</v>
      </c>
      <c r="AP208" t="s">
        <v>1879</v>
      </c>
      <c r="AR208" s="31"/>
      <c r="AX208">
        <v>1</v>
      </c>
    </row>
    <row r="209" spans="1:50" x14ac:dyDescent="0.3">
      <c r="A209" t="s">
        <v>44</v>
      </c>
      <c r="B209">
        <v>487</v>
      </c>
      <c r="D209">
        <v>2345</v>
      </c>
      <c r="G209" t="s">
        <v>1883</v>
      </c>
      <c r="J209" t="s">
        <v>1884</v>
      </c>
      <c r="K209" t="s">
        <v>1042</v>
      </c>
      <c r="M209" t="s">
        <v>1043</v>
      </c>
      <c r="P209" t="s">
        <v>778</v>
      </c>
      <c r="W209" t="s">
        <v>780</v>
      </c>
      <c r="X209" t="s">
        <v>816</v>
      </c>
      <c r="Z209" s="31"/>
      <c r="AA209">
        <v>0</v>
      </c>
      <c r="AB209">
        <v>14256</v>
      </c>
      <c r="AC209">
        <v>7</v>
      </c>
      <c r="AD209" t="s">
        <v>44</v>
      </c>
      <c r="AE209" s="31">
        <v>45852</v>
      </c>
      <c r="AF209" s="61">
        <v>0.61031250000000004</v>
      </c>
      <c r="AH209" t="s">
        <v>818</v>
      </c>
      <c r="AI209" s="31">
        <v>45859</v>
      </c>
      <c r="AJ209" s="61">
        <v>0.39141203703703698</v>
      </c>
      <c r="AN209" t="s">
        <v>1885</v>
      </c>
      <c r="AP209" t="s">
        <v>1885</v>
      </c>
      <c r="AR209" s="31"/>
      <c r="AX209">
        <v>1</v>
      </c>
    </row>
    <row r="210" spans="1:50" x14ac:dyDescent="0.3">
      <c r="A210" t="s">
        <v>44</v>
      </c>
      <c r="B210">
        <v>488</v>
      </c>
      <c r="D210">
        <v>2346</v>
      </c>
      <c r="E210" t="s">
        <v>1886</v>
      </c>
      <c r="G210" t="s">
        <v>1887</v>
      </c>
      <c r="H210">
        <v>20750928000109</v>
      </c>
      <c r="J210" t="s">
        <v>1888</v>
      </c>
      <c r="K210" t="s">
        <v>1889</v>
      </c>
      <c r="M210" t="s">
        <v>1876</v>
      </c>
      <c r="P210" t="s">
        <v>778</v>
      </c>
      <c r="V210" t="s">
        <v>1704</v>
      </c>
      <c r="W210" t="s">
        <v>780</v>
      </c>
      <c r="X210" t="s">
        <v>816</v>
      </c>
      <c r="Z210" s="31">
        <v>46055</v>
      </c>
      <c r="AA210">
        <v>26200</v>
      </c>
      <c r="AB210">
        <v>3400</v>
      </c>
      <c r="AC210">
        <v>206</v>
      </c>
      <c r="AD210" t="s">
        <v>44</v>
      </c>
      <c r="AE210" s="31">
        <v>45853</v>
      </c>
      <c r="AF210" s="61">
        <v>0.72690972222222228</v>
      </c>
      <c r="AH210" t="s">
        <v>818</v>
      </c>
      <c r="AI210" s="31">
        <v>46059</v>
      </c>
      <c r="AJ210" s="61">
        <v>0.50700231481481484</v>
      </c>
      <c r="AN210" t="s">
        <v>1878</v>
      </c>
      <c r="AO210" t="s">
        <v>44</v>
      </c>
      <c r="AP210" t="s">
        <v>1879</v>
      </c>
      <c r="AR210" s="31">
        <v>46001</v>
      </c>
      <c r="AX210">
        <v>1</v>
      </c>
    </row>
    <row r="211" spans="1:50" x14ac:dyDescent="0.3">
      <c r="A211" t="s">
        <v>44</v>
      </c>
      <c r="B211">
        <v>493</v>
      </c>
      <c r="D211">
        <v>2352</v>
      </c>
      <c r="G211" t="s">
        <v>1890</v>
      </c>
      <c r="H211">
        <v>39750889000160</v>
      </c>
      <c r="J211" t="s">
        <v>1891</v>
      </c>
      <c r="K211" t="s">
        <v>1892</v>
      </c>
      <c r="M211" t="s">
        <v>1580</v>
      </c>
      <c r="P211" t="s">
        <v>778</v>
      </c>
      <c r="Q211" t="s">
        <v>1794</v>
      </c>
      <c r="R211" t="s">
        <v>790</v>
      </c>
      <c r="W211" t="s">
        <v>780</v>
      </c>
      <c r="X211" t="s">
        <v>816</v>
      </c>
      <c r="Y211" t="s">
        <v>995</v>
      </c>
      <c r="Z211" s="31"/>
      <c r="AA211">
        <v>4327344</v>
      </c>
      <c r="AB211">
        <v>37442</v>
      </c>
      <c r="AC211">
        <v>42</v>
      </c>
      <c r="AD211" t="s">
        <v>44</v>
      </c>
      <c r="AE211" s="31">
        <v>45855</v>
      </c>
      <c r="AF211" s="61">
        <v>0.5997569444444445</v>
      </c>
      <c r="AH211" t="s">
        <v>818</v>
      </c>
      <c r="AI211" s="31">
        <v>45897</v>
      </c>
      <c r="AJ211" s="61">
        <v>0.63119212962962967</v>
      </c>
      <c r="AN211" t="s">
        <v>1893</v>
      </c>
      <c r="AP211" t="s">
        <v>1893</v>
      </c>
      <c r="AR211" s="31"/>
      <c r="AX211">
        <v>1</v>
      </c>
    </row>
    <row r="212" spans="1:50" x14ac:dyDescent="0.3">
      <c r="A212" t="s">
        <v>44</v>
      </c>
      <c r="B212">
        <v>494</v>
      </c>
      <c r="D212">
        <v>2354</v>
      </c>
      <c r="G212" t="s">
        <v>1894</v>
      </c>
      <c r="J212" t="s">
        <v>1895</v>
      </c>
      <c r="K212" t="s">
        <v>1579</v>
      </c>
      <c r="M212" t="s">
        <v>1580</v>
      </c>
      <c r="P212" t="s">
        <v>778</v>
      </c>
      <c r="W212" t="s">
        <v>780</v>
      </c>
      <c r="X212" t="s">
        <v>816</v>
      </c>
      <c r="Y212" t="s">
        <v>995</v>
      </c>
      <c r="Z212" s="31"/>
      <c r="AA212">
        <v>1167696</v>
      </c>
      <c r="AB212">
        <v>0</v>
      </c>
      <c r="AC212">
        <v>42</v>
      </c>
      <c r="AD212" t="s">
        <v>44</v>
      </c>
      <c r="AE212" s="31">
        <v>45855</v>
      </c>
      <c r="AF212" s="61">
        <v>0.60982638888888885</v>
      </c>
      <c r="AH212" t="s">
        <v>818</v>
      </c>
      <c r="AI212" s="31">
        <v>45897</v>
      </c>
      <c r="AJ212" s="61">
        <v>0.63295138888888891</v>
      </c>
      <c r="AN212" t="s">
        <v>1893</v>
      </c>
      <c r="AP212" t="s">
        <v>1893</v>
      </c>
      <c r="AR212" s="31"/>
      <c r="AX212">
        <v>1</v>
      </c>
    </row>
    <row r="213" spans="1:50" x14ac:dyDescent="0.3">
      <c r="A213" t="s">
        <v>44</v>
      </c>
      <c r="B213">
        <v>495</v>
      </c>
      <c r="D213">
        <v>2356</v>
      </c>
      <c r="G213" t="s">
        <v>1896</v>
      </c>
      <c r="J213" t="s">
        <v>1897</v>
      </c>
      <c r="K213" t="s">
        <v>1898</v>
      </c>
      <c r="M213" t="s">
        <v>1899</v>
      </c>
      <c r="P213" t="s">
        <v>778</v>
      </c>
      <c r="V213" t="s">
        <v>1718</v>
      </c>
      <c r="W213" t="s">
        <v>780</v>
      </c>
      <c r="X213" t="s">
        <v>807</v>
      </c>
      <c r="Z213" s="31"/>
      <c r="AA213">
        <v>16960</v>
      </c>
      <c r="AB213">
        <v>10748</v>
      </c>
      <c r="AC213">
        <v>67</v>
      </c>
      <c r="AD213" t="s">
        <v>44</v>
      </c>
      <c r="AE213" s="31">
        <v>45855</v>
      </c>
      <c r="AF213" s="61">
        <v>0.66787037037037034</v>
      </c>
      <c r="AH213" t="s">
        <v>795</v>
      </c>
      <c r="AI213" s="31">
        <v>45922</v>
      </c>
      <c r="AJ213" s="61">
        <v>0.48292824074074081</v>
      </c>
      <c r="AK213" t="s">
        <v>858</v>
      </c>
      <c r="AL213" t="s">
        <v>1900</v>
      </c>
      <c r="AN213" t="s">
        <v>1885</v>
      </c>
      <c r="AP213" t="s">
        <v>1885</v>
      </c>
      <c r="AQ213" t="s">
        <v>1901</v>
      </c>
      <c r="AR213" s="31"/>
      <c r="AX213">
        <v>1</v>
      </c>
    </row>
    <row r="214" spans="1:50" x14ac:dyDescent="0.3">
      <c r="A214" t="s">
        <v>44</v>
      </c>
      <c r="B214">
        <v>496</v>
      </c>
      <c r="D214">
        <v>2361</v>
      </c>
      <c r="E214" t="s">
        <v>1902</v>
      </c>
      <c r="F214" t="s">
        <v>1903</v>
      </c>
      <c r="G214" t="s">
        <v>1904</v>
      </c>
      <c r="H214">
        <v>60444098000521</v>
      </c>
      <c r="J214" t="s">
        <v>1903</v>
      </c>
      <c r="K214" t="s">
        <v>1905</v>
      </c>
      <c r="M214" t="s">
        <v>1906</v>
      </c>
      <c r="P214" t="s">
        <v>778</v>
      </c>
      <c r="Q214" t="s">
        <v>1907</v>
      </c>
      <c r="R214" t="s">
        <v>790</v>
      </c>
      <c r="S214" t="s">
        <v>805</v>
      </c>
      <c r="V214" t="s">
        <v>1581</v>
      </c>
      <c r="W214" t="s">
        <v>780</v>
      </c>
      <c r="X214" t="s">
        <v>816</v>
      </c>
      <c r="Y214" t="s">
        <v>1537</v>
      </c>
      <c r="Z214" s="31">
        <v>46052</v>
      </c>
      <c r="AA214">
        <v>16960</v>
      </c>
      <c r="AB214">
        <v>37395</v>
      </c>
      <c r="AC214">
        <v>166</v>
      </c>
      <c r="AD214" t="s">
        <v>44</v>
      </c>
      <c r="AE214" s="31">
        <v>45861</v>
      </c>
      <c r="AF214" s="61">
        <v>0.49577546296296299</v>
      </c>
      <c r="AH214" t="s">
        <v>818</v>
      </c>
      <c r="AI214" s="31">
        <v>46027</v>
      </c>
      <c r="AJ214" s="61">
        <v>0.61862268518518515</v>
      </c>
      <c r="AN214" t="s">
        <v>1885</v>
      </c>
      <c r="AO214" t="s">
        <v>44</v>
      </c>
      <c r="AP214" t="s">
        <v>1908</v>
      </c>
      <c r="AQ214" t="s">
        <v>1885</v>
      </c>
      <c r="AR214" s="31">
        <v>46003</v>
      </c>
      <c r="AX214">
        <v>1</v>
      </c>
    </row>
    <row r="215" spans="1:50" x14ac:dyDescent="0.3">
      <c r="A215" t="s">
        <v>44</v>
      </c>
      <c r="B215">
        <v>497</v>
      </c>
      <c r="D215">
        <v>2363</v>
      </c>
      <c r="F215" t="s">
        <v>1909</v>
      </c>
      <c r="G215" t="s">
        <v>1910</v>
      </c>
      <c r="H215">
        <v>8306975000154</v>
      </c>
      <c r="J215" t="s">
        <v>1909</v>
      </c>
      <c r="K215" t="s">
        <v>1911</v>
      </c>
      <c r="P215" t="s">
        <v>778</v>
      </c>
      <c r="Q215" t="s">
        <v>1912</v>
      </c>
      <c r="R215" t="s">
        <v>1027</v>
      </c>
      <c r="S215" t="s">
        <v>805</v>
      </c>
      <c r="W215" t="s">
        <v>780</v>
      </c>
      <c r="X215" t="s">
        <v>816</v>
      </c>
      <c r="Z215" s="31"/>
      <c r="AA215">
        <v>16960</v>
      </c>
      <c r="AB215">
        <v>2455</v>
      </c>
      <c r="AC215">
        <v>64</v>
      </c>
      <c r="AD215" t="s">
        <v>44</v>
      </c>
      <c r="AE215" s="31">
        <v>45861</v>
      </c>
      <c r="AF215" s="61">
        <v>0.50347222222222221</v>
      </c>
      <c r="AH215" t="s">
        <v>818</v>
      </c>
      <c r="AI215" s="31">
        <v>45925</v>
      </c>
      <c r="AJ215" s="61">
        <v>0.62386574074074075</v>
      </c>
      <c r="AN215" t="s">
        <v>1913</v>
      </c>
      <c r="AP215" t="s">
        <v>1908</v>
      </c>
      <c r="AQ215" t="s">
        <v>1913</v>
      </c>
      <c r="AR215" s="31"/>
      <c r="AX215">
        <v>1</v>
      </c>
    </row>
    <row r="216" spans="1:50" x14ac:dyDescent="0.3">
      <c r="A216" t="s">
        <v>44</v>
      </c>
      <c r="B216">
        <v>503</v>
      </c>
      <c r="D216">
        <v>2433</v>
      </c>
      <c r="G216" t="s">
        <v>1914</v>
      </c>
      <c r="H216">
        <v>46083438000181</v>
      </c>
      <c r="J216" t="s">
        <v>1915</v>
      </c>
      <c r="K216" t="s">
        <v>1916</v>
      </c>
      <c r="M216" t="s">
        <v>1917</v>
      </c>
      <c r="P216" t="s">
        <v>778</v>
      </c>
      <c r="S216" t="s">
        <v>805</v>
      </c>
      <c r="W216" t="s">
        <v>780</v>
      </c>
      <c r="X216" t="s">
        <v>857</v>
      </c>
      <c r="Z216" s="31"/>
      <c r="AA216">
        <v>16960</v>
      </c>
      <c r="AB216">
        <v>998</v>
      </c>
      <c r="AC216">
        <v>29</v>
      </c>
      <c r="AD216" t="s">
        <v>44</v>
      </c>
      <c r="AE216" s="31">
        <v>45868</v>
      </c>
      <c r="AF216" s="61">
        <v>0.49329861111111112</v>
      </c>
      <c r="AH216" t="s">
        <v>795</v>
      </c>
      <c r="AI216" s="31">
        <v>45897</v>
      </c>
      <c r="AJ216" s="61">
        <v>0.69715277777777773</v>
      </c>
      <c r="AK216" t="s">
        <v>796</v>
      </c>
      <c r="AL216" t="s">
        <v>1918</v>
      </c>
      <c r="AN216" t="s">
        <v>1919</v>
      </c>
      <c r="AP216" t="s">
        <v>1919</v>
      </c>
      <c r="AR216" s="31"/>
      <c r="AX216">
        <v>1</v>
      </c>
    </row>
    <row r="217" spans="1:50" x14ac:dyDescent="0.3">
      <c r="A217" t="s">
        <v>44</v>
      </c>
      <c r="B217">
        <v>504</v>
      </c>
      <c r="D217">
        <v>2434</v>
      </c>
      <c r="G217" t="s">
        <v>1920</v>
      </c>
      <c r="H217">
        <v>8306975000154</v>
      </c>
      <c r="J217" t="s">
        <v>1921</v>
      </c>
      <c r="K217" t="s">
        <v>1922</v>
      </c>
      <c r="P217" t="s">
        <v>778</v>
      </c>
      <c r="Q217" t="s">
        <v>1912</v>
      </c>
      <c r="R217" t="s">
        <v>1027</v>
      </c>
      <c r="V217" t="s">
        <v>1419</v>
      </c>
      <c r="W217" t="s">
        <v>780</v>
      </c>
      <c r="X217" t="s">
        <v>807</v>
      </c>
      <c r="Z217" s="31"/>
      <c r="AA217">
        <v>87344</v>
      </c>
      <c r="AB217">
        <v>514788</v>
      </c>
      <c r="AC217">
        <v>41</v>
      </c>
      <c r="AD217" t="s">
        <v>44</v>
      </c>
      <c r="AE217" s="31">
        <v>45868</v>
      </c>
      <c r="AF217" s="61">
        <v>0.63407407407407412</v>
      </c>
      <c r="AH217" t="s">
        <v>795</v>
      </c>
      <c r="AI217" s="31">
        <v>45909</v>
      </c>
      <c r="AJ217" s="61">
        <v>0.64981481481481485</v>
      </c>
      <c r="AK217" t="s">
        <v>858</v>
      </c>
      <c r="AL217" t="s">
        <v>1923</v>
      </c>
      <c r="AN217" t="s">
        <v>1924</v>
      </c>
      <c r="AR217" s="31"/>
      <c r="AX217">
        <v>1</v>
      </c>
    </row>
    <row r="218" spans="1:50" x14ac:dyDescent="0.3">
      <c r="A218" t="s">
        <v>44</v>
      </c>
      <c r="B218">
        <v>505</v>
      </c>
      <c r="D218">
        <v>2436</v>
      </c>
      <c r="G218" t="s">
        <v>1925</v>
      </c>
      <c r="H218">
        <v>8306975000154</v>
      </c>
      <c r="J218" t="s">
        <v>1926</v>
      </c>
      <c r="K218" t="s">
        <v>1922</v>
      </c>
      <c r="P218" t="s">
        <v>778</v>
      </c>
      <c r="Q218" t="s">
        <v>1912</v>
      </c>
      <c r="R218" t="s">
        <v>1027</v>
      </c>
      <c r="W218" t="s">
        <v>780</v>
      </c>
      <c r="X218" t="s">
        <v>857</v>
      </c>
      <c r="Z218" s="31"/>
      <c r="AA218">
        <v>1600</v>
      </c>
      <c r="AB218">
        <v>334556</v>
      </c>
      <c r="AC218">
        <v>30</v>
      </c>
      <c r="AD218" t="s">
        <v>44</v>
      </c>
      <c r="AE218" s="31">
        <v>45868</v>
      </c>
      <c r="AF218" s="61">
        <v>0.67164351851851856</v>
      </c>
      <c r="AH218" t="s">
        <v>795</v>
      </c>
      <c r="AI218" s="31">
        <v>45898</v>
      </c>
      <c r="AJ218" s="61">
        <v>0.65936342592592589</v>
      </c>
      <c r="AK218" t="s">
        <v>858</v>
      </c>
      <c r="AL218" t="s">
        <v>1927</v>
      </c>
      <c r="AN218" t="s">
        <v>1919</v>
      </c>
      <c r="AR218" s="31"/>
      <c r="AX218">
        <v>1</v>
      </c>
    </row>
    <row r="219" spans="1:50" x14ac:dyDescent="0.3">
      <c r="A219" t="s">
        <v>44</v>
      </c>
      <c r="B219">
        <v>506</v>
      </c>
      <c r="D219">
        <v>2439</v>
      </c>
      <c r="G219" t="s">
        <v>1928</v>
      </c>
      <c r="H219">
        <v>30924882000142</v>
      </c>
      <c r="J219" t="s">
        <v>1929</v>
      </c>
      <c r="M219" t="s">
        <v>1760</v>
      </c>
      <c r="P219" t="s">
        <v>778</v>
      </c>
      <c r="S219" t="s">
        <v>805</v>
      </c>
      <c r="V219" t="s">
        <v>1704</v>
      </c>
      <c r="W219" t="s">
        <v>780</v>
      </c>
      <c r="X219" t="s">
        <v>816</v>
      </c>
      <c r="Z219" s="31"/>
      <c r="AA219">
        <v>72240</v>
      </c>
      <c r="AB219">
        <v>2167539</v>
      </c>
      <c r="AC219">
        <v>56</v>
      </c>
      <c r="AD219" t="s">
        <v>44</v>
      </c>
      <c r="AE219" s="31">
        <v>45868</v>
      </c>
      <c r="AF219" s="61">
        <v>0.68521990740740746</v>
      </c>
      <c r="AH219" t="s">
        <v>795</v>
      </c>
      <c r="AI219" s="31">
        <v>45924</v>
      </c>
      <c r="AJ219" s="61">
        <v>0.3992013888888889</v>
      </c>
      <c r="AK219" t="s">
        <v>858</v>
      </c>
      <c r="AL219" t="s">
        <v>1930</v>
      </c>
      <c r="AN219" t="s">
        <v>1919</v>
      </c>
      <c r="AR219" s="31"/>
      <c r="AX219">
        <v>1</v>
      </c>
    </row>
    <row r="220" spans="1:50" x14ac:dyDescent="0.3">
      <c r="A220" t="s">
        <v>44</v>
      </c>
      <c r="B220">
        <v>507</v>
      </c>
      <c r="D220">
        <v>2440</v>
      </c>
      <c r="G220" t="s">
        <v>1931</v>
      </c>
      <c r="H220">
        <v>30924882000142</v>
      </c>
      <c r="J220" t="s">
        <v>1932</v>
      </c>
      <c r="K220" t="s">
        <v>1759</v>
      </c>
      <c r="M220" t="s">
        <v>1933</v>
      </c>
      <c r="P220" t="s">
        <v>778</v>
      </c>
      <c r="Q220" t="s">
        <v>1633</v>
      </c>
      <c r="R220" t="s">
        <v>848</v>
      </c>
      <c r="V220" t="s">
        <v>1581</v>
      </c>
      <c r="W220" t="s">
        <v>780</v>
      </c>
      <c r="X220" t="s">
        <v>816</v>
      </c>
      <c r="Z220" s="31"/>
      <c r="AA220">
        <v>1620001</v>
      </c>
      <c r="AB220">
        <v>2900</v>
      </c>
      <c r="AC220">
        <v>56</v>
      </c>
      <c r="AD220" t="s">
        <v>44</v>
      </c>
      <c r="AE220" s="31">
        <v>45868</v>
      </c>
      <c r="AF220" s="61">
        <v>0.72228009259259263</v>
      </c>
      <c r="AH220" t="s">
        <v>795</v>
      </c>
      <c r="AI220" s="31">
        <v>45924</v>
      </c>
      <c r="AJ220" s="61">
        <v>0.38725694444444442</v>
      </c>
      <c r="AK220" t="s">
        <v>858</v>
      </c>
      <c r="AL220" t="s">
        <v>1934</v>
      </c>
      <c r="AN220" t="s">
        <v>1919</v>
      </c>
      <c r="AR220" s="31"/>
      <c r="AX220">
        <v>1</v>
      </c>
    </row>
    <row r="221" spans="1:50" x14ac:dyDescent="0.3">
      <c r="A221" t="s">
        <v>44</v>
      </c>
      <c r="B221">
        <v>508</v>
      </c>
      <c r="D221">
        <v>2442</v>
      </c>
      <c r="G221" t="s">
        <v>1935</v>
      </c>
      <c r="J221" t="s">
        <v>1811</v>
      </c>
      <c r="K221" t="s">
        <v>1936</v>
      </c>
      <c r="M221" t="s">
        <v>1813</v>
      </c>
      <c r="P221" t="s">
        <v>778</v>
      </c>
      <c r="W221" t="s">
        <v>780</v>
      </c>
      <c r="X221" t="s">
        <v>816</v>
      </c>
      <c r="Z221" s="31"/>
      <c r="AA221">
        <v>62169</v>
      </c>
      <c r="AB221">
        <v>0</v>
      </c>
      <c r="AC221">
        <v>53</v>
      </c>
      <c r="AD221" t="s">
        <v>44</v>
      </c>
      <c r="AE221" s="31">
        <v>45869</v>
      </c>
      <c r="AF221" s="61">
        <v>0.38049768518518517</v>
      </c>
      <c r="AH221" t="s">
        <v>818</v>
      </c>
      <c r="AI221" s="31">
        <v>45922</v>
      </c>
      <c r="AJ221" s="61">
        <v>0.44719907407407411</v>
      </c>
      <c r="AN221" t="s">
        <v>1937</v>
      </c>
      <c r="AP221" t="s">
        <v>1937</v>
      </c>
      <c r="AR221" s="31"/>
      <c r="AX221">
        <v>1</v>
      </c>
    </row>
    <row r="222" spans="1:50" x14ac:dyDescent="0.3">
      <c r="A222" t="s">
        <v>44</v>
      </c>
      <c r="B222">
        <v>509</v>
      </c>
      <c r="D222">
        <v>2443</v>
      </c>
      <c r="F222" t="s">
        <v>1938</v>
      </c>
      <c r="G222" t="s">
        <v>1939</v>
      </c>
      <c r="H222">
        <v>6346005000157</v>
      </c>
      <c r="J222" t="s">
        <v>1938</v>
      </c>
      <c r="K222" t="s">
        <v>1940</v>
      </c>
      <c r="M222" t="s">
        <v>1941</v>
      </c>
      <c r="P222" t="s">
        <v>778</v>
      </c>
      <c r="Q222" t="s">
        <v>1942</v>
      </c>
      <c r="R222" t="s">
        <v>790</v>
      </c>
      <c r="S222" t="s">
        <v>805</v>
      </c>
      <c r="W222" t="s">
        <v>780</v>
      </c>
      <c r="X222" t="s">
        <v>857</v>
      </c>
      <c r="Z222" s="31"/>
      <c r="AA222">
        <v>16960</v>
      </c>
      <c r="AB222">
        <v>67275</v>
      </c>
      <c r="AC222">
        <v>28</v>
      </c>
      <c r="AD222" t="s">
        <v>44</v>
      </c>
      <c r="AE222" s="31">
        <v>45869</v>
      </c>
      <c r="AF222" s="61">
        <v>0.49811342592592589</v>
      </c>
      <c r="AH222" t="s">
        <v>795</v>
      </c>
      <c r="AI222" s="31">
        <v>45897</v>
      </c>
      <c r="AJ222" s="61">
        <v>0.68432870370370369</v>
      </c>
      <c r="AK222" t="s">
        <v>867</v>
      </c>
      <c r="AL222" t="s">
        <v>1943</v>
      </c>
      <c r="AN222" t="s">
        <v>1944</v>
      </c>
      <c r="AP222" t="s">
        <v>1944</v>
      </c>
      <c r="AQ222" t="s">
        <v>1945</v>
      </c>
      <c r="AR222" s="31"/>
      <c r="AX222">
        <v>1</v>
      </c>
    </row>
    <row r="223" spans="1:50" x14ac:dyDescent="0.3">
      <c r="A223" t="s">
        <v>44</v>
      </c>
      <c r="B223">
        <v>510</v>
      </c>
      <c r="D223">
        <v>2446</v>
      </c>
      <c r="F223" t="s">
        <v>1946</v>
      </c>
      <c r="G223" t="s">
        <v>1947</v>
      </c>
      <c r="H223">
        <v>60315995000101</v>
      </c>
      <c r="J223" t="s">
        <v>1946</v>
      </c>
      <c r="K223" t="s">
        <v>1948</v>
      </c>
      <c r="M223" t="s">
        <v>1949</v>
      </c>
      <c r="P223" t="s">
        <v>778</v>
      </c>
      <c r="Q223" t="s">
        <v>1950</v>
      </c>
      <c r="R223" t="s">
        <v>790</v>
      </c>
      <c r="S223" t="s">
        <v>805</v>
      </c>
      <c r="W223" t="s">
        <v>780</v>
      </c>
      <c r="X223" t="s">
        <v>857</v>
      </c>
      <c r="Z223" s="31"/>
      <c r="AA223">
        <v>94976</v>
      </c>
      <c r="AB223">
        <v>566152</v>
      </c>
      <c r="AC223">
        <v>29</v>
      </c>
      <c r="AD223" t="s">
        <v>44</v>
      </c>
      <c r="AE223" s="31">
        <v>45869</v>
      </c>
      <c r="AF223" s="61">
        <v>0.71494212962962966</v>
      </c>
      <c r="AH223" t="s">
        <v>795</v>
      </c>
      <c r="AI223" s="31">
        <v>45898</v>
      </c>
      <c r="AJ223" s="61">
        <v>0.46232638888888888</v>
      </c>
      <c r="AK223" t="s">
        <v>796</v>
      </c>
      <c r="AL223" t="s">
        <v>1951</v>
      </c>
      <c r="AN223" t="s">
        <v>1952</v>
      </c>
      <c r="AP223" t="s">
        <v>1952</v>
      </c>
      <c r="AQ223" t="s">
        <v>1953</v>
      </c>
      <c r="AR223" s="31"/>
      <c r="AX223">
        <v>1</v>
      </c>
    </row>
    <row r="224" spans="1:50" x14ac:dyDescent="0.3">
      <c r="A224" t="s">
        <v>22</v>
      </c>
      <c r="B224">
        <v>516</v>
      </c>
      <c r="D224">
        <v>2454</v>
      </c>
      <c r="G224" t="s">
        <v>1954</v>
      </c>
      <c r="H224">
        <v>72677693000162</v>
      </c>
      <c r="J224" t="s">
        <v>1955</v>
      </c>
      <c r="K224" t="s">
        <v>1956</v>
      </c>
      <c r="M224" t="s">
        <v>1957</v>
      </c>
      <c r="P224" t="s">
        <v>778</v>
      </c>
      <c r="Q224" t="s">
        <v>1958</v>
      </c>
      <c r="S224" t="s">
        <v>814</v>
      </c>
      <c r="V224" t="s">
        <v>1186</v>
      </c>
      <c r="W224" t="s">
        <v>780</v>
      </c>
      <c r="X224" t="s">
        <v>807</v>
      </c>
      <c r="Z224" s="31"/>
      <c r="AC224">
        <v>53</v>
      </c>
      <c r="AD224" t="s">
        <v>22</v>
      </c>
      <c r="AE224" s="31">
        <v>45876</v>
      </c>
      <c r="AF224" s="61">
        <v>0.50568287037037041</v>
      </c>
      <c r="AH224" t="s">
        <v>795</v>
      </c>
      <c r="AI224" s="31">
        <v>45929</v>
      </c>
      <c r="AJ224" s="61">
        <v>0.69144675925925925</v>
      </c>
      <c r="AK224" t="s">
        <v>796</v>
      </c>
      <c r="AO224" t="s">
        <v>22</v>
      </c>
      <c r="AP224" t="s">
        <v>1959</v>
      </c>
      <c r="AR224" s="31"/>
      <c r="AX224">
        <v>1</v>
      </c>
    </row>
    <row r="225" spans="1:50" x14ac:dyDescent="0.3">
      <c r="A225" t="s">
        <v>22</v>
      </c>
      <c r="B225">
        <v>517</v>
      </c>
      <c r="D225">
        <v>2453</v>
      </c>
      <c r="G225" t="s">
        <v>1960</v>
      </c>
      <c r="H225">
        <v>38470026000176</v>
      </c>
      <c r="J225" t="s">
        <v>1961</v>
      </c>
      <c r="K225" t="s">
        <v>1962</v>
      </c>
      <c r="M225" t="s">
        <v>1963</v>
      </c>
      <c r="P225" t="s">
        <v>778</v>
      </c>
      <c r="Q225" t="s">
        <v>923</v>
      </c>
      <c r="S225" t="s">
        <v>814</v>
      </c>
      <c r="W225" t="s">
        <v>780</v>
      </c>
      <c r="X225" t="s">
        <v>897</v>
      </c>
      <c r="Z225" s="31"/>
      <c r="AC225">
        <v>53</v>
      </c>
      <c r="AD225" t="s">
        <v>22</v>
      </c>
      <c r="AE225" s="31">
        <v>45876</v>
      </c>
      <c r="AF225" s="61">
        <v>0.50621527777777775</v>
      </c>
      <c r="AH225" t="s">
        <v>795</v>
      </c>
      <c r="AI225" s="31">
        <v>45929</v>
      </c>
      <c r="AJ225" s="61">
        <v>0.69302083333333331</v>
      </c>
      <c r="AK225" t="s">
        <v>796</v>
      </c>
      <c r="AO225" t="s">
        <v>22</v>
      </c>
      <c r="AR225" s="31"/>
      <c r="AX225">
        <v>1</v>
      </c>
    </row>
    <row r="226" spans="1:50" x14ac:dyDescent="0.3">
      <c r="A226" t="s">
        <v>22</v>
      </c>
      <c r="B226">
        <v>518</v>
      </c>
      <c r="D226">
        <v>2456</v>
      </c>
      <c r="E226" t="s">
        <v>1964</v>
      </c>
      <c r="G226" t="s">
        <v>1965</v>
      </c>
      <c r="H226">
        <v>30340720000167</v>
      </c>
      <c r="J226" t="s">
        <v>1966</v>
      </c>
      <c r="K226" t="s">
        <v>1967</v>
      </c>
      <c r="M226" t="s">
        <v>1968</v>
      </c>
      <c r="P226" t="s">
        <v>778</v>
      </c>
      <c r="S226" t="s">
        <v>791</v>
      </c>
      <c r="V226" t="s">
        <v>1704</v>
      </c>
      <c r="W226" t="s">
        <v>780</v>
      </c>
      <c r="X226" t="s">
        <v>816</v>
      </c>
      <c r="Z226" s="31">
        <v>46053</v>
      </c>
      <c r="AA226">
        <v>16000</v>
      </c>
      <c r="AB226">
        <v>1558</v>
      </c>
      <c r="AC226">
        <v>154</v>
      </c>
      <c r="AD226" t="s">
        <v>22</v>
      </c>
      <c r="AE226" s="31">
        <v>45876</v>
      </c>
      <c r="AF226" s="61">
        <v>0.58170138888888889</v>
      </c>
      <c r="AH226" t="s">
        <v>782</v>
      </c>
      <c r="AI226" s="31">
        <v>46030</v>
      </c>
      <c r="AJ226" s="61">
        <v>0.64719907407407407</v>
      </c>
      <c r="AL226" t="s">
        <v>1058</v>
      </c>
      <c r="AO226" t="s">
        <v>22</v>
      </c>
      <c r="AP226" t="s">
        <v>1969</v>
      </c>
      <c r="AR226" s="31">
        <v>46044</v>
      </c>
      <c r="AS226" t="s">
        <v>1970</v>
      </c>
      <c r="AT226" t="s">
        <v>1012</v>
      </c>
      <c r="AU226" t="s">
        <v>63</v>
      </c>
      <c r="AV226" t="s">
        <v>1971</v>
      </c>
      <c r="AW226" t="s">
        <v>1972</v>
      </c>
      <c r="AX226">
        <v>1</v>
      </c>
    </row>
    <row r="227" spans="1:50" x14ac:dyDescent="0.3">
      <c r="A227" t="s">
        <v>22</v>
      </c>
      <c r="B227">
        <v>519</v>
      </c>
      <c r="D227">
        <v>2457</v>
      </c>
      <c r="G227" t="s">
        <v>1973</v>
      </c>
      <c r="J227" t="s">
        <v>1974</v>
      </c>
      <c r="K227" t="s">
        <v>1975</v>
      </c>
      <c r="M227" t="s">
        <v>1976</v>
      </c>
      <c r="P227" t="s">
        <v>778</v>
      </c>
      <c r="W227" t="s">
        <v>780</v>
      </c>
      <c r="X227" t="s">
        <v>807</v>
      </c>
      <c r="Z227" s="31"/>
      <c r="AC227">
        <v>34</v>
      </c>
      <c r="AD227" t="s">
        <v>22</v>
      </c>
      <c r="AE227" s="31">
        <v>45876</v>
      </c>
      <c r="AF227" s="61">
        <v>0.58745370370370376</v>
      </c>
      <c r="AH227" t="s">
        <v>795</v>
      </c>
      <c r="AI227" s="31">
        <v>45910</v>
      </c>
      <c r="AJ227" s="61">
        <v>0.67646990740740742</v>
      </c>
      <c r="AK227" t="s">
        <v>867</v>
      </c>
      <c r="AN227" t="s">
        <v>1944</v>
      </c>
      <c r="AO227" t="s">
        <v>22</v>
      </c>
      <c r="AP227" t="s">
        <v>1959</v>
      </c>
      <c r="AR227" s="31"/>
      <c r="AX227">
        <v>1</v>
      </c>
    </row>
    <row r="228" spans="1:50" x14ac:dyDescent="0.3">
      <c r="A228" t="s">
        <v>22</v>
      </c>
      <c r="B228">
        <v>521</v>
      </c>
      <c r="D228">
        <v>2459</v>
      </c>
      <c r="G228" t="s">
        <v>1977</v>
      </c>
      <c r="H228">
        <v>7380599000428</v>
      </c>
      <c r="J228" t="s">
        <v>1978</v>
      </c>
      <c r="K228" t="s">
        <v>1979</v>
      </c>
      <c r="M228" t="s">
        <v>1980</v>
      </c>
      <c r="P228" t="s">
        <v>778</v>
      </c>
      <c r="W228" t="s">
        <v>780</v>
      </c>
      <c r="X228" t="s">
        <v>816</v>
      </c>
      <c r="Z228" s="31"/>
      <c r="AA228">
        <v>55500</v>
      </c>
      <c r="AB228">
        <v>53662</v>
      </c>
      <c r="AC228">
        <v>17</v>
      </c>
      <c r="AD228" t="s">
        <v>22</v>
      </c>
      <c r="AE228" s="31">
        <v>45877</v>
      </c>
      <c r="AF228" s="61">
        <v>0.49023148148148149</v>
      </c>
      <c r="AH228" t="s">
        <v>818</v>
      </c>
      <c r="AI228" s="31">
        <v>45894</v>
      </c>
      <c r="AJ228" s="61">
        <v>0.60188657407407409</v>
      </c>
      <c r="AN228" t="s">
        <v>1981</v>
      </c>
      <c r="AO228" t="s">
        <v>22</v>
      </c>
      <c r="AP228" t="s">
        <v>1981</v>
      </c>
      <c r="AR228" s="31"/>
      <c r="AX228">
        <v>1</v>
      </c>
    </row>
    <row r="229" spans="1:50" x14ac:dyDescent="0.3">
      <c r="A229" t="s">
        <v>31</v>
      </c>
      <c r="B229">
        <v>531</v>
      </c>
      <c r="D229">
        <v>2475</v>
      </c>
      <c r="G229" t="s">
        <v>1982</v>
      </c>
      <c r="H229">
        <v>19733550000148</v>
      </c>
      <c r="J229" t="s">
        <v>1983</v>
      </c>
      <c r="K229" t="s">
        <v>1984</v>
      </c>
      <c r="M229" t="s">
        <v>1985</v>
      </c>
      <c r="P229" t="s">
        <v>778</v>
      </c>
      <c r="Q229" t="s">
        <v>1986</v>
      </c>
      <c r="R229" t="s">
        <v>790</v>
      </c>
      <c r="W229" t="s">
        <v>780</v>
      </c>
      <c r="X229" t="s">
        <v>807</v>
      </c>
      <c r="Z229" s="31"/>
      <c r="AA229">
        <v>84420</v>
      </c>
      <c r="AB229">
        <v>4137</v>
      </c>
      <c r="AC229">
        <v>34</v>
      </c>
      <c r="AD229" t="s">
        <v>31</v>
      </c>
      <c r="AE229" s="31">
        <v>45889</v>
      </c>
      <c r="AF229" s="61">
        <v>0.38679398148148147</v>
      </c>
      <c r="AH229" t="s">
        <v>795</v>
      </c>
      <c r="AI229" s="31">
        <v>45923</v>
      </c>
      <c r="AJ229" s="61">
        <v>0.46545138888888887</v>
      </c>
      <c r="AK229" t="s">
        <v>867</v>
      </c>
      <c r="AN229" t="s">
        <v>1987</v>
      </c>
      <c r="AP229" t="s">
        <v>1913</v>
      </c>
      <c r="AR229" s="31"/>
      <c r="AX229">
        <v>1</v>
      </c>
    </row>
    <row r="230" spans="1:50" x14ac:dyDescent="0.3">
      <c r="A230" t="s">
        <v>44</v>
      </c>
      <c r="B230">
        <v>532</v>
      </c>
      <c r="D230">
        <v>2478</v>
      </c>
      <c r="F230" t="s">
        <v>1988</v>
      </c>
      <c r="G230" t="s">
        <v>1989</v>
      </c>
      <c r="H230">
        <v>12902777000120</v>
      </c>
      <c r="J230" t="s">
        <v>1988</v>
      </c>
      <c r="K230" t="s">
        <v>1990</v>
      </c>
      <c r="M230" t="s">
        <v>1991</v>
      </c>
      <c r="P230" t="s">
        <v>778</v>
      </c>
      <c r="Q230" t="s">
        <v>1950</v>
      </c>
      <c r="R230" t="s">
        <v>790</v>
      </c>
      <c r="S230" t="s">
        <v>805</v>
      </c>
      <c r="W230" t="s">
        <v>780</v>
      </c>
      <c r="X230" t="s">
        <v>857</v>
      </c>
      <c r="Z230" s="31"/>
      <c r="AA230">
        <v>16960</v>
      </c>
      <c r="AB230">
        <v>4910</v>
      </c>
      <c r="AC230">
        <v>69</v>
      </c>
      <c r="AD230" t="s">
        <v>44</v>
      </c>
      <c r="AE230" s="31">
        <v>45889</v>
      </c>
      <c r="AF230" s="61">
        <v>0.41239583333333341</v>
      </c>
      <c r="AH230" t="s">
        <v>795</v>
      </c>
      <c r="AI230" s="31">
        <v>45958</v>
      </c>
      <c r="AJ230" s="61">
        <v>0.43328703703703703</v>
      </c>
      <c r="AK230" t="s">
        <v>796</v>
      </c>
      <c r="AL230" t="s">
        <v>1992</v>
      </c>
      <c r="AN230" t="s">
        <v>1913</v>
      </c>
      <c r="AP230" t="s">
        <v>1993</v>
      </c>
      <c r="AR230" s="31"/>
      <c r="AX230">
        <v>1</v>
      </c>
    </row>
    <row r="231" spans="1:50" x14ac:dyDescent="0.3">
      <c r="A231" t="s">
        <v>44</v>
      </c>
      <c r="B231">
        <v>534</v>
      </c>
      <c r="D231">
        <v>2481</v>
      </c>
      <c r="F231" t="s">
        <v>1994</v>
      </c>
      <c r="G231" t="s">
        <v>1995</v>
      </c>
      <c r="H231">
        <v>12589391000291</v>
      </c>
      <c r="J231" t="s">
        <v>1994</v>
      </c>
      <c r="K231" t="s">
        <v>1996</v>
      </c>
      <c r="M231" t="s">
        <v>1997</v>
      </c>
      <c r="P231" t="s">
        <v>778</v>
      </c>
      <c r="Q231" t="s">
        <v>1998</v>
      </c>
      <c r="R231" t="s">
        <v>790</v>
      </c>
      <c r="S231" t="s">
        <v>805</v>
      </c>
      <c r="V231" t="s">
        <v>1999</v>
      </c>
      <c r="W231" t="s">
        <v>780</v>
      </c>
      <c r="X231" t="s">
        <v>857</v>
      </c>
      <c r="Z231" s="31"/>
      <c r="AA231">
        <v>16960</v>
      </c>
      <c r="AB231">
        <v>56568</v>
      </c>
      <c r="AC231">
        <v>20</v>
      </c>
      <c r="AD231" t="s">
        <v>44</v>
      </c>
      <c r="AE231" s="31">
        <v>45889</v>
      </c>
      <c r="AF231" s="61">
        <v>0.41663194444444451</v>
      </c>
      <c r="AH231" t="s">
        <v>795</v>
      </c>
      <c r="AI231" s="31">
        <v>45909</v>
      </c>
      <c r="AJ231" s="61">
        <v>0.6489583333333333</v>
      </c>
      <c r="AK231" t="s">
        <v>858</v>
      </c>
      <c r="AL231" t="s">
        <v>2000</v>
      </c>
      <c r="AN231" t="s">
        <v>2001</v>
      </c>
      <c r="AP231" t="s">
        <v>2002</v>
      </c>
      <c r="AR231" s="31"/>
      <c r="AX231">
        <v>1</v>
      </c>
    </row>
    <row r="232" spans="1:50" x14ac:dyDescent="0.3">
      <c r="A232" t="s">
        <v>44</v>
      </c>
      <c r="B232">
        <v>537</v>
      </c>
      <c r="D232">
        <v>2486</v>
      </c>
      <c r="E232" t="s">
        <v>2003</v>
      </c>
      <c r="G232" t="s">
        <v>2004</v>
      </c>
      <c r="H232">
        <v>4049280000183</v>
      </c>
      <c r="J232" t="s">
        <v>2005</v>
      </c>
      <c r="K232" t="s">
        <v>2006</v>
      </c>
      <c r="M232" t="s">
        <v>2007</v>
      </c>
      <c r="P232" t="s">
        <v>778</v>
      </c>
      <c r="Q232" t="s">
        <v>1596</v>
      </c>
      <c r="R232" t="s">
        <v>790</v>
      </c>
      <c r="V232" t="s">
        <v>1704</v>
      </c>
      <c r="W232" t="s">
        <v>780</v>
      </c>
      <c r="X232" t="s">
        <v>816</v>
      </c>
      <c r="Z232" s="31">
        <v>46038</v>
      </c>
      <c r="AA232">
        <v>51300</v>
      </c>
      <c r="AB232">
        <v>17345</v>
      </c>
      <c r="AC232">
        <v>160</v>
      </c>
      <c r="AD232" t="s">
        <v>44</v>
      </c>
      <c r="AE232" s="31">
        <v>45889</v>
      </c>
      <c r="AF232" s="61">
        <v>0.44634259259259262</v>
      </c>
      <c r="AH232" t="s">
        <v>818</v>
      </c>
      <c r="AI232" s="31">
        <v>46049</v>
      </c>
      <c r="AJ232" s="61">
        <v>0.70980324074074075</v>
      </c>
      <c r="AM232" t="s">
        <v>2008</v>
      </c>
      <c r="AN232" t="s">
        <v>2008</v>
      </c>
      <c r="AO232" t="s">
        <v>44</v>
      </c>
      <c r="AP232" t="s">
        <v>2009</v>
      </c>
      <c r="AR232" s="31">
        <v>46028</v>
      </c>
      <c r="AX232">
        <v>1</v>
      </c>
    </row>
    <row r="233" spans="1:50" x14ac:dyDescent="0.3">
      <c r="A233" t="s">
        <v>44</v>
      </c>
      <c r="B233">
        <v>539</v>
      </c>
      <c r="D233">
        <v>2490</v>
      </c>
      <c r="F233" t="s">
        <v>2010</v>
      </c>
      <c r="G233" t="s">
        <v>2011</v>
      </c>
      <c r="H233">
        <v>39679781000128</v>
      </c>
      <c r="J233" t="s">
        <v>2010</v>
      </c>
      <c r="K233" t="s">
        <v>2012</v>
      </c>
      <c r="M233" t="s">
        <v>2013</v>
      </c>
      <c r="P233" t="s">
        <v>778</v>
      </c>
      <c r="Q233" t="s">
        <v>1094</v>
      </c>
      <c r="R233" t="s">
        <v>790</v>
      </c>
      <c r="S233" t="s">
        <v>805</v>
      </c>
      <c r="W233" t="s">
        <v>780</v>
      </c>
      <c r="X233" t="s">
        <v>857</v>
      </c>
      <c r="Z233" s="31"/>
      <c r="AA233">
        <v>67840</v>
      </c>
      <c r="AB233">
        <v>13781</v>
      </c>
      <c r="AC233">
        <v>69</v>
      </c>
      <c r="AD233" t="s">
        <v>44</v>
      </c>
      <c r="AE233" s="31">
        <v>45889</v>
      </c>
      <c r="AF233" s="61">
        <v>0.46962962962962962</v>
      </c>
      <c r="AH233" t="s">
        <v>795</v>
      </c>
      <c r="AI233" s="31">
        <v>45958</v>
      </c>
      <c r="AJ233" s="61">
        <v>0.43357638888888889</v>
      </c>
      <c r="AK233" t="s">
        <v>858</v>
      </c>
      <c r="AL233" t="s">
        <v>967</v>
      </c>
      <c r="AN233" t="s">
        <v>2002</v>
      </c>
      <c r="AR233" s="31"/>
      <c r="AX233">
        <v>1</v>
      </c>
    </row>
    <row r="234" spans="1:50" x14ac:dyDescent="0.3">
      <c r="A234" t="s">
        <v>44</v>
      </c>
      <c r="B234">
        <v>540</v>
      </c>
      <c r="D234">
        <v>2493</v>
      </c>
      <c r="F234" t="s">
        <v>2014</v>
      </c>
      <c r="G234" t="s">
        <v>2015</v>
      </c>
      <c r="H234">
        <v>43066372000204</v>
      </c>
      <c r="J234" t="s">
        <v>2014</v>
      </c>
      <c r="K234" t="s">
        <v>2016</v>
      </c>
      <c r="M234" t="s">
        <v>2017</v>
      </c>
      <c r="P234" t="s">
        <v>778</v>
      </c>
      <c r="Q234" t="s">
        <v>2018</v>
      </c>
      <c r="R234" t="s">
        <v>790</v>
      </c>
      <c r="S234" t="s">
        <v>805</v>
      </c>
      <c r="W234" t="s">
        <v>780</v>
      </c>
      <c r="X234" t="s">
        <v>857</v>
      </c>
      <c r="Z234" s="31"/>
      <c r="AA234">
        <v>16960</v>
      </c>
      <c r="AB234">
        <v>37712</v>
      </c>
      <c r="AC234">
        <v>71</v>
      </c>
      <c r="AD234" t="s">
        <v>44</v>
      </c>
      <c r="AE234" s="31">
        <v>45889</v>
      </c>
      <c r="AF234" s="61">
        <v>0.4788310185185185</v>
      </c>
      <c r="AH234" t="s">
        <v>795</v>
      </c>
      <c r="AI234" s="31">
        <v>45960</v>
      </c>
      <c r="AJ234" s="61">
        <v>0.42280092592592589</v>
      </c>
      <c r="AK234" t="s">
        <v>796</v>
      </c>
      <c r="AL234" t="s">
        <v>2019</v>
      </c>
      <c r="AN234" t="s">
        <v>2020</v>
      </c>
      <c r="AP234" t="s">
        <v>2021</v>
      </c>
      <c r="AR234" s="31"/>
      <c r="AX234">
        <v>1</v>
      </c>
    </row>
    <row r="235" spans="1:50" x14ac:dyDescent="0.3">
      <c r="A235" t="s">
        <v>44</v>
      </c>
      <c r="B235">
        <v>542</v>
      </c>
      <c r="D235">
        <v>2496</v>
      </c>
      <c r="G235" t="s">
        <v>2022</v>
      </c>
      <c r="H235">
        <v>1715468000125</v>
      </c>
      <c r="J235" t="s">
        <v>2023</v>
      </c>
      <c r="K235" t="s">
        <v>2024</v>
      </c>
      <c r="M235" t="s">
        <v>2025</v>
      </c>
      <c r="P235" t="s">
        <v>778</v>
      </c>
      <c r="Q235" t="s">
        <v>2026</v>
      </c>
      <c r="R235" t="s">
        <v>1105</v>
      </c>
      <c r="V235" t="s">
        <v>1718</v>
      </c>
      <c r="W235" t="s">
        <v>780</v>
      </c>
      <c r="X235" t="s">
        <v>793</v>
      </c>
      <c r="Z235" s="31"/>
      <c r="AA235">
        <v>212</v>
      </c>
      <c r="AB235">
        <v>69045</v>
      </c>
      <c r="AC235">
        <v>41</v>
      </c>
      <c r="AD235" t="s">
        <v>44</v>
      </c>
      <c r="AE235" s="31">
        <v>45890</v>
      </c>
      <c r="AF235" s="61">
        <v>0.39834490740740741</v>
      </c>
      <c r="AH235" t="s">
        <v>795</v>
      </c>
      <c r="AI235" s="31">
        <v>45931</v>
      </c>
      <c r="AJ235" s="61">
        <v>0.66620370370370374</v>
      </c>
      <c r="AK235" t="s">
        <v>974</v>
      </c>
      <c r="AL235" t="s">
        <v>2027</v>
      </c>
      <c r="AN235" t="s">
        <v>2002</v>
      </c>
      <c r="AP235" t="s">
        <v>2002</v>
      </c>
      <c r="AQ235" t="s">
        <v>2028</v>
      </c>
      <c r="AR235" s="31"/>
      <c r="AX235">
        <v>1</v>
      </c>
    </row>
    <row r="236" spans="1:50" x14ac:dyDescent="0.3">
      <c r="A236" t="s">
        <v>22</v>
      </c>
      <c r="B236">
        <v>545</v>
      </c>
      <c r="D236">
        <v>2464</v>
      </c>
      <c r="G236" t="s">
        <v>2029</v>
      </c>
      <c r="J236" t="s">
        <v>914</v>
      </c>
      <c r="K236" t="s">
        <v>2030</v>
      </c>
      <c r="M236" t="s">
        <v>2031</v>
      </c>
      <c r="P236" t="s">
        <v>778</v>
      </c>
      <c r="Q236" t="s">
        <v>923</v>
      </c>
      <c r="S236" t="s">
        <v>814</v>
      </c>
      <c r="W236" t="s">
        <v>780</v>
      </c>
      <c r="X236" t="s">
        <v>793</v>
      </c>
      <c r="Z236" s="31"/>
      <c r="AA236">
        <v>47500</v>
      </c>
      <c r="AB236">
        <v>28571</v>
      </c>
      <c r="AC236">
        <v>3</v>
      </c>
      <c r="AD236" t="s">
        <v>22</v>
      </c>
      <c r="AE236" s="31">
        <v>45891</v>
      </c>
      <c r="AF236" s="61">
        <v>0.68766203703703699</v>
      </c>
      <c r="AH236" t="s">
        <v>795</v>
      </c>
      <c r="AI236" s="31">
        <v>45894</v>
      </c>
      <c r="AJ236" s="61">
        <v>0.61422453703703705</v>
      </c>
      <c r="AK236" t="s">
        <v>867</v>
      </c>
      <c r="AN236" t="s">
        <v>1944</v>
      </c>
      <c r="AO236" t="s">
        <v>22</v>
      </c>
      <c r="AP236" t="s">
        <v>1913</v>
      </c>
      <c r="AR236" s="31"/>
      <c r="AX236">
        <v>1</v>
      </c>
    </row>
    <row r="237" spans="1:50" x14ac:dyDescent="0.3">
      <c r="A237" t="s">
        <v>22</v>
      </c>
      <c r="B237">
        <v>546</v>
      </c>
      <c r="D237">
        <v>2463</v>
      </c>
      <c r="G237" t="s">
        <v>2032</v>
      </c>
      <c r="H237">
        <v>27616615000101</v>
      </c>
      <c r="J237" t="s">
        <v>2033</v>
      </c>
      <c r="K237" t="s">
        <v>2034</v>
      </c>
      <c r="M237" t="s">
        <v>2035</v>
      </c>
      <c r="P237" t="s">
        <v>778</v>
      </c>
      <c r="Q237" t="s">
        <v>2036</v>
      </c>
      <c r="S237" t="s">
        <v>814</v>
      </c>
      <c r="V237" t="s">
        <v>1198</v>
      </c>
      <c r="W237" t="s">
        <v>780</v>
      </c>
      <c r="X237" t="s">
        <v>807</v>
      </c>
      <c r="Z237" s="31"/>
      <c r="AA237">
        <v>56000</v>
      </c>
      <c r="AB237">
        <v>340834</v>
      </c>
      <c r="AC237">
        <v>38</v>
      </c>
      <c r="AD237" t="s">
        <v>22</v>
      </c>
      <c r="AE237" s="31">
        <v>45891</v>
      </c>
      <c r="AF237" s="61">
        <v>0.68803240740740745</v>
      </c>
      <c r="AH237" t="s">
        <v>795</v>
      </c>
      <c r="AI237" s="31">
        <v>45929</v>
      </c>
      <c r="AJ237" s="61">
        <v>0.69619212962962962</v>
      </c>
      <c r="AK237" t="s">
        <v>796</v>
      </c>
      <c r="AN237" t="s">
        <v>2037</v>
      </c>
      <c r="AO237" t="s">
        <v>22</v>
      </c>
      <c r="AP237" t="s">
        <v>2037</v>
      </c>
      <c r="AR237" s="31"/>
      <c r="AX237">
        <v>1</v>
      </c>
    </row>
    <row r="238" spans="1:50" x14ac:dyDescent="0.3">
      <c r="A238" t="s">
        <v>22</v>
      </c>
      <c r="B238">
        <v>550</v>
      </c>
      <c r="D238">
        <v>2506</v>
      </c>
      <c r="G238" t="s">
        <v>2038</v>
      </c>
      <c r="H238">
        <v>7225431000103</v>
      </c>
      <c r="J238" t="s">
        <v>2039</v>
      </c>
      <c r="K238" t="s">
        <v>2040</v>
      </c>
      <c r="M238" t="s">
        <v>2041</v>
      </c>
      <c r="P238" t="s">
        <v>778</v>
      </c>
      <c r="W238" t="s">
        <v>780</v>
      </c>
      <c r="X238" t="s">
        <v>807</v>
      </c>
      <c r="Z238" s="31"/>
      <c r="AA238">
        <v>519984</v>
      </c>
      <c r="AB238">
        <v>15378</v>
      </c>
      <c r="AC238">
        <v>0</v>
      </c>
      <c r="AD238" t="s">
        <v>22</v>
      </c>
      <c r="AE238" s="31">
        <v>45894</v>
      </c>
      <c r="AF238" s="61">
        <v>0.60456018518518517</v>
      </c>
      <c r="AH238" t="s">
        <v>795</v>
      </c>
      <c r="AI238" s="31">
        <v>45894</v>
      </c>
      <c r="AJ238" s="61">
        <v>0.60668981481481477</v>
      </c>
      <c r="AK238" t="s">
        <v>867</v>
      </c>
      <c r="AN238" t="s">
        <v>2042</v>
      </c>
      <c r="AO238" t="s">
        <v>22</v>
      </c>
      <c r="AP238" t="s">
        <v>2042</v>
      </c>
      <c r="AR238" s="31"/>
      <c r="AX238">
        <v>1</v>
      </c>
    </row>
    <row r="239" spans="1:50" x14ac:dyDescent="0.3">
      <c r="A239" t="s">
        <v>22</v>
      </c>
      <c r="B239">
        <v>552</v>
      </c>
      <c r="D239">
        <v>2508</v>
      </c>
      <c r="E239" t="s">
        <v>2043</v>
      </c>
      <c r="G239" t="s">
        <v>2044</v>
      </c>
      <c r="H239">
        <v>17739326000138</v>
      </c>
      <c r="J239" t="s">
        <v>2045</v>
      </c>
      <c r="K239" t="s">
        <v>2046</v>
      </c>
      <c r="M239" t="s">
        <v>2047</v>
      </c>
      <c r="P239" t="s">
        <v>778</v>
      </c>
      <c r="V239" t="s">
        <v>1718</v>
      </c>
      <c r="W239" t="s">
        <v>780</v>
      </c>
      <c r="X239" t="s">
        <v>807</v>
      </c>
      <c r="Z239" s="31">
        <v>46044</v>
      </c>
      <c r="AA239">
        <v>15359994</v>
      </c>
      <c r="AB239">
        <v>924744</v>
      </c>
      <c r="AC239">
        <v>151</v>
      </c>
      <c r="AD239" t="s">
        <v>22</v>
      </c>
      <c r="AE239" s="31">
        <v>45894</v>
      </c>
      <c r="AF239" s="61">
        <v>0.61782407407407403</v>
      </c>
      <c r="AH239" t="s">
        <v>795</v>
      </c>
      <c r="AI239" s="31">
        <v>46045</v>
      </c>
      <c r="AJ239" s="61">
        <v>0.46665509259259258</v>
      </c>
      <c r="AK239" t="s">
        <v>858</v>
      </c>
      <c r="AN239" t="s">
        <v>2048</v>
      </c>
      <c r="AO239" t="s">
        <v>22</v>
      </c>
      <c r="AP239" t="s">
        <v>2048</v>
      </c>
      <c r="AR239" s="31">
        <v>46044</v>
      </c>
      <c r="AX239">
        <v>1</v>
      </c>
    </row>
    <row r="240" spans="1:50" x14ac:dyDescent="0.3">
      <c r="A240" t="s">
        <v>22</v>
      </c>
      <c r="B240">
        <v>553</v>
      </c>
      <c r="D240">
        <v>2509</v>
      </c>
      <c r="G240" t="s">
        <v>2049</v>
      </c>
      <c r="J240" t="s">
        <v>2050</v>
      </c>
      <c r="K240" t="s">
        <v>2051</v>
      </c>
      <c r="M240" t="s">
        <v>1111</v>
      </c>
      <c r="P240" t="s">
        <v>778</v>
      </c>
      <c r="W240" t="s">
        <v>780</v>
      </c>
      <c r="X240" t="s">
        <v>816</v>
      </c>
      <c r="Z240" s="31"/>
      <c r="AA240">
        <v>9600</v>
      </c>
      <c r="AB240">
        <v>412064</v>
      </c>
      <c r="AC240">
        <v>84</v>
      </c>
      <c r="AD240" t="s">
        <v>22</v>
      </c>
      <c r="AE240" s="31">
        <v>45894</v>
      </c>
      <c r="AF240" s="61">
        <v>0.62391203703703701</v>
      </c>
      <c r="AH240" t="s">
        <v>818</v>
      </c>
      <c r="AI240" s="31">
        <v>45978</v>
      </c>
      <c r="AJ240" s="61">
        <v>0.64375000000000004</v>
      </c>
      <c r="AN240" t="s">
        <v>2048</v>
      </c>
      <c r="AO240" t="s">
        <v>22</v>
      </c>
      <c r="AP240" t="s">
        <v>2048</v>
      </c>
      <c r="AR240" s="31"/>
      <c r="AX240">
        <v>1</v>
      </c>
    </row>
    <row r="241" spans="1:50" x14ac:dyDescent="0.3">
      <c r="A241" t="s">
        <v>44</v>
      </c>
      <c r="B241">
        <v>557</v>
      </c>
      <c r="D241">
        <v>2516</v>
      </c>
      <c r="G241" t="s">
        <v>2052</v>
      </c>
      <c r="H241">
        <v>59716480000134</v>
      </c>
      <c r="J241" t="s">
        <v>2053</v>
      </c>
      <c r="K241" t="s">
        <v>2054</v>
      </c>
      <c r="M241" t="s">
        <v>2055</v>
      </c>
      <c r="P241" t="s">
        <v>778</v>
      </c>
      <c r="Q241" t="s">
        <v>2056</v>
      </c>
      <c r="R241" t="s">
        <v>790</v>
      </c>
      <c r="W241" t="s">
        <v>780</v>
      </c>
      <c r="X241" t="s">
        <v>793</v>
      </c>
      <c r="Z241" s="31"/>
      <c r="AC241">
        <v>0</v>
      </c>
      <c r="AD241" t="s">
        <v>44</v>
      </c>
      <c r="AE241" s="31">
        <v>45897</v>
      </c>
      <c r="AF241" s="61">
        <v>0.70465277777777779</v>
      </c>
      <c r="AH241" t="s">
        <v>795</v>
      </c>
      <c r="AI241" s="31">
        <v>45897</v>
      </c>
      <c r="AJ241" s="61">
        <v>0.70849537037037036</v>
      </c>
      <c r="AK241" t="s">
        <v>867</v>
      </c>
      <c r="AL241" t="s">
        <v>2057</v>
      </c>
      <c r="AN241" t="s">
        <v>2058</v>
      </c>
      <c r="AP241" t="s">
        <v>2058</v>
      </c>
      <c r="AR241" s="31"/>
      <c r="AX241">
        <v>1</v>
      </c>
    </row>
    <row r="242" spans="1:50" x14ac:dyDescent="0.3">
      <c r="A242" t="s">
        <v>44</v>
      </c>
      <c r="B242">
        <v>558</v>
      </c>
      <c r="D242">
        <v>2518</v>
      </c>
      <c r="G242" t="s">
        <v>2059</v>
      </c>
      <c r="H242">
        <v>60315995000101</v>
      </c>
      <c r="J242" t="s">
        <v>2060</v>
      </c>
      <c r="K242" t="s">
        <v>2061</v>
      </c>
      <c r="M242" t="s">
        <v>2062</v>
      </c>
      <c r="P242" t="s">
        <v>778</v>
      </c>
      <c r="Q242" t="s">
        <v>1950</v>
      </c>
      <c r="R242" t="s">
        <v>790</v>
      </c>
      <c r="W242" t="s">
        <v>780</v>
      </c>
      <c r="X242" t="s">
        <v>857</v>
      </c>
      <c r="Z242" s="31"/>
      <c r="AA242">
        <v>1600</v>
      </c>
      <c r="AB242">
        <v>323356</v>
      </c>
      <c r="AC242">
        <v>0</v>
      </c>
      <c r="AD242" t="s">
        <v>44</v>
      </c>
      <c r="AE242" s="31">
        <v>45898</v>
      </c>
      <c r="AF242" s="61">
        <v>0.44675925925925919</v>
      </c>
      <c r="AH242" t="s">
        <v>795</v>
      </c>
      <c r="AI242" s="31">
        <v>45898</v>
      </c>
      <c r="AJ242" s="61">
        <v>0.4629050925925926</v>
      </c>
      <c r="AK242" t="s">
        <v>796</v>
      </c>
      <c r="AL242" t="s">
        <v>1951</v>
      </c>
      <c r="AN242" t="s">
        <v>1953</v>
      </c>
      <c r="AP242" t="s">
        <v>1952</v>
      </c>
      <c r="AR242" s="31"/>
      <c r="AX242">
        <v>1</v>
      </c>
    </row>
    <row r="243" spans="1:50" x14ac:dyDescent="0.3">
      <c r="A243" t="s">
        <v>44</v>
      </c>
      <c r="B243">
        <v>559</v>
      </c>
      <c r="C243">
        <v>155</v>
      </c>
      <c r="G243" t="s">
        <v>2063</v>
      </c>
      <c r="H243">
        <v>13609763000186</v>
      </c>
      <c r="I243" t="s">
        <v>870</v>
      </c>
      <c r="M243" t="s">
        <v>872</v>
      </c>
      <c r="P243" t="s">
        <v>778</v>
      </c>
      <c r="Q243" t="s">
        <v>873</v>
      </c>
      <c r="R243" t="s">
        <v>874</v>
      </c>
      <c r="W243" t="s">
        <v>780</v>
      </c>
      <c r="X243" t="s">
        <v>857</v>
      </c>
      <c r="Z243" s="31"/>
      <c r="AA243">
        <v>16960</v>
      </c>
      <c r="AB243">
        <v>14256</v>
      </c>
      <c r="AC243">
        <v>32</v>
      </c>
      <c r="AD243" t="s">
        <v>44</v>
      </c>
      <c r="AE243" s="31">
        <v>45898</v>
      </c>
      <c r="AF243" s="61">
        <v>0.66320601851851857</v>
      </c>
      <c r="AH243" t="s">
        <v>795</v>
      </c>
      <c r="AI243" s="31">
        <v>45930</v>
      </c>
      <c r="AJ243" s="61">
        <v>0.68521990740740746</v>
      </c>
      <c r="AK243" t="s">
        <v>796</v>
      </c>
      <c r="AL243" t="s">
        <v>2064</v>
      </c>
      <c r="AN243" t="s">
        <v>2065</v>
      </c>
      <c r="AR243" s="31"/>
      <c r="AX243">
        <v>1</v>
      </c>
    </row>
    <row r="244" spans="1:50" x14ac:dyDescent="0.3">
      <c r="A244" t="s">
        <v>44</v>
      </c>
      <c r="B244">
        <v>561</v>
      </c>
      <c r="D244">
        <v>2523</v>
      </c>
      <c r="G244" t="s">
        <v>2066</v>
      </c>
      <c r="H244">
        <v>4049280000183</v>
      </c>
      <c r="J244" t="s">
        <v>2067</v>
      </c>
      <c r="K244" t="s">
        <v>2006</v>
      </c>
      <c r="M244" t="s">
        <v>2007</v>
      </c>
      <c r="P244" t="s">
        <v>778</v>
      </c>
      <c r="Q244" t="s">
        <v>1596</v>
      </c>
      <c r="R244" t="s">
        <v>790</v>
      </c>
      <c r="W244" t="s">
        <v>780</v>
      </c>
      <c r="X244" t="s">
        <v>816</v>
      </c>
      <c r="Z244" s="31"/>
      <c r="AA244">
        <v>1600</v>
      </c>
      <c r="AB244">
        <v>390556</v>
      </c>
      <c r="AC244">
        <v>61</v>
      </c>
      <c r="AD244" t="s">
        <v>44</v>
      </c>
      <c r="AE244" s="31">
        <v>45898</v>
      </c>
      <c r="AF244" s="61">
        <v>0.69483796296296296</v>
      </c>
      <c r="AH244" t="s">
        <v>795</v>
      </c>
      <c r="AI244" s="31">
        <v>45959</v>
      </c>
      <c r="AJ244" s="61">
        <v>0.44239583333333332</v>
      </c>
      <c r="AK244" t="s">
        <v>858</v>
      </c>
      <c r="AL244" t="s">
        <v>2068</v>
      </c>
      <c r="AM244" t="s">
        <v>2008</v>
      </c>
      <c r="AN244" t="s">
        <v>2008</v>
      </c>
      <c r="AP244" t="s">
        <v>2009</v>
      </c>
      <c r="AR244" s="31"/>
      <c r="AX244">
        <v>1</v>
      </c>
    </row>
    <row r="245" spans="1:50" x14ac:dyDescent="0.3">
      <c r="A245" t="s">
        <v>44</v>
      </c>
      <c r="B245">
        <v>562</v>
      </c>
      <c r="D245">
        <v>2526</v>
      </c>
      <c r="G245" t="s">
        <v>2069</v>
      </c>
      <c r="H245">
        <v>1715468000125</v>
      </c>
      <c r="J245" t="s">
        <v>2070</v>
      </c>
      <c r="K245" t="s">
        <v>2024</v>
      </c>
      <c r="M245" t="s">
        <v>2025</v>
      </c>
      <c r="P245" t="s">
        <v>778</v>
      </c>
      <c r="Q245" t="s">
        <v>2026</v>
      </c>
      <c r="R245" t="s">
        <v>1105</v>
      </c>
      <c r="W245" t="s">
        <v>780</v>
      </c>
      <c r="X245" t="s">
        <v>857</v>
      </c>
      <c r="Z245" s="31"/>
      <c r="AA245">
        <v>1600</v>
      </c>
      <c r="AB245">
        <v>480156</v>
      </c>
      <c r="AC245">
        <v>33</v>
      </c>
      <c r="AD245" t="s">
        <v>44</v>
      </c>
      <c r="AE245" s="31">
        <v>45898</v>
      </c>
      <c r="AF245" s="61">
        <v>0.70328703703703699</v>
      </c>
      <c r="AH245" t="s">
        <v>795</v>
      </c>
      <c r="AI245" s="31">
        <v>45931</v>
      </c>
      <c r="AJ245" s="61">
        <v>0.66589120370370369</v>
      </c>
      <c r="AK245" t="s">
        <v>974</v>
      </c>
      <c r="AL245" t="s">
        <v>2027</v>
      </c>
      <c r="AN245" t="s">
        <v>2002</v>
      </c>
      <c r="AR245" s="31"/>
      <c r="AX245">
        <v>1</v>
      </c>
    </row>
    <row r="246" spans="1:50" x14ac:dyDescent="0.3">
      <c r="A246" t="s">
        <v>44</v>
      </c>
      <c r="B246">
        <v>563</v>
      </c>
      <c r="D246">
        <v>2530</v>
      </c>
      <c r="G246" t="s">
        <v>2071</v>
      </c>
      <c r="H246">
        <v>1715468000125</v>
      </c>
      <c r="J246" t="s">
        <v>2072</v>
      </c>
      <c r="K246" t="s">
        <v>2024</v>
      </c>
      <c r="M246" t="s">
        <v>2025</v>
      </c>
      <c r="P246" t="s">
        <v>778</v>
      </c>
      <c r="Q246" t="s">
        <v>2026</v>
      </c>
      <c r="R246" t="s">
        <v>1105</v>
      </c>
      <c r="W246" t="s">
        <v>780</v>
      </c>
      <c r="X246" t="s">
        <v>857</v>
      </c>
      <c r="Z246" s="31"/>
      <c r="AA246">
        <v>93280</v>
      </c>
      <c r="AB246">
        <v>1163416</v>
      </c>
      <c r="AC246">
        <v>33</v>
      </c>
      <c r="AD246" t="s">
        <v>44</v>
      </c>
      <c r="AE246" s="31">
        <v>45898</v>
      </c>
      <c r="AF246" s="61">
        <v>0.70486111111111116</v>
      </c>
      <c r="AH246" t="s">
        <v>795</v>
      </c>
      <c r="AI246" s="31">
        <v>45931</v>
      </c>
      <c r="AJ246" s="61">
        <v>0.66553240740740738</v>
      </c>
      <c r="AK246" t="s">
        <v>974</v>
      </c>
      <c r="AL246" t="s">
        <v>2027</v>
      </c>
      <c r="AN246" t="s">
        <v>2002</v>
      </c>
      <c r="AR246" s="31"/>
      <c r="AX246">
        <v>1</v>
      </c>
    </row>
    <row r="247" spans="1:50" x14ac:dyDescent="0.3">
      <c r="A247" t="s">
        <v>44</v>
      </c>
      <c r="B247">
        <v>564</v>
      </c>
      <c r="D247">
        <v>2534</v>
      </c>
      <c r="G247" t="s">
        <v>2073</v>
      </c>
      <c r="J247" t="s">
        <v>2074</v>
      </c>
      <c r="K247" t="s">
        <v>2075</v>
      </c>
      <c r="M247" t="s">
        <v>1997</v>
      </c>
      <c r="P247" t="s">
        <v>778</v>
      </c>
      <c r="W247" t="s">
        <v>780</v>
      </c>
      <c r="X247" t="s">
        <v>857</v>
      </c>
      <c r="Z247" s="31"/>
      <c r="AA247">
        <v>16200</v>
      </c>
      <c r="AB247">
        <v>2160</v>
      </c>
      <c r="AC247">
        <v>11</v>
      </c>
      <c r="AD247" t="s">
        <v>44</v>
      </c>
      <c r="AE247" s="31">
        <v>45898</v>
      </c>
      <c r="AF247" s="61">
        <v>0.73826388888888894</v>
      </c>
      <c r="AH247" t="s">
        <v>795</v>
      </c>
      <c r="AI247" s="31">
        <v>45909</v>
      </c>
      <c r="AJ247" s="61">
        <v>0.6477546296296296</v>
      </c>
      <c r="AK247" t="s">
        <v>858</v>
      </c>
      <c r="AL247" t="s">
        <v>2000</v>
      </c>
      <c r="AN247" t="s">
        <v>2001</v>
      </c>
      <c r="AR247" s="31"/>
      <c r="AX247">
        <v>1</v>
      </c>
    </row>
    <row r="248" spans="1:50" x14ac:dyDescent="0.3">
      <c r="A248" t="s">
        <v>31</v>
      </c>
      <c r="B248">
        <v>566</v>
      </c>
      <c r="D248">
        <v>2538</v>
      </c>
      <c r="F248" t="s">
        <v>2076</v>
      </c>
      <c r="G248" t="s">
        <v>2077</v>
      </c>
      <c r="H248">
        <v>46964028000140</v>
      </c>
      <c r="J248" t="s">
        <v>2076</v>
      </c>
      <c r="K248" t="s">
        <v>2078</v>
      </c>
      <c r="M248" t="s">
        <v>2079</v>
      </c>
      <c r="P248" t="s">
        <v>778</v>
      </c>
      <c r="Q248" t="s">
        <v>2080</v>
      </c>
      <c r="R248" t="s">
        <v>956</v>
      </c>
      <c r="S248" t="s">
        <v>805</v>
      </c>
      <c r="W248" t="s">
        <v>780</v>
      </c>
      <c r="X248" t="s">
        <v>857</v>
      </c>
      <c r="Z248" s="31"/>
      <c r="AC248">
        <v>28</v>
      </c>
      <c r="AD248" t="s">
        <v>31</v>
      </c>
      <c r="AE248" s="31">
        <v>45902</v>
      </c>
      <c r="AF248" s="61">
        <v>0.39876157407407409</v>
      </c>
      <c r="AH248" t="s">
        <v>795</v>
      </c>
      <c r="AI248" s="31">
        <v>45930</v>
      </c>
      <c r="AJ248" s="61">
        <v>0.40609953703703711</v>
      </c>
      <c r="AK248" t="s">
        <v>867</v>
      </c>
      <c r="AR248" s="31"/>
      <c r="AX248">
        <v>1</v>
      </c>
    </row>
    <row r="249" spans="1:50" x14ac:dyDescent="0.3">
      <c r="A249" t="s">
        <v>31</v>
      </c>
      <c r="B249">
        <v>567</v>
      </c>
      <c r="D249">
        <v>2541</v>
      </c>
      <c r="F249" t="s">
        <v>2081</v>
      </c>
      <c r="G249" t="s">
        <v>2082</v>
      </c>
      <c r="H249">
        <v>13039863000203</v>
      </c>
      <c r="J249" t="s">
        <v>2081</v>
      </c>
      <c r="K249" t="s">
        <v>2083</v>
      </c>
      <c r="M249" t="s">
        <v>2084</v>
      </c>
      <c r="P249" t="s">
        <v>778</v>
      </c>
      <c r="Q249" t="s">
        <v>1094</v>
      </c>
      <c r="R249" t="s">
        <v>790</v>
      </c>
      <c r="S249" t="s">
        <v>805</v>
      </c>
      <c r="V249" t="s">
        <v>2085</v>
      </c>
      <c r="W249" t="s">
        <v>780</v>
      </c>
      <c r="X249" t="s">
        <v>781</v>
      </c>
      <c r="Z249" s="31"/>
      <c r="AC249">
        <v>98</v>
      </c>
      <c r="AD249" t="s">
        <v>31</v>
      </c>
      <c r="AE249" s="31">
        <v>45902</v>
      </c>
      <c r="AF249" s="61">
        <v>0.45640046296296288</v>
      </c>
      <c r="AH249" t="s">
        <v>795</v>
      </c>
      <c r="AI249" s="31">
        <v>46000</v>
      </c>
      <c r="AJ249" s="61">
        <v>0.49209490740740741</v>
      </c>
      <c r="AK249" t="s">
        <v>796</v>
      </c>
      <c r="AR249" s="31"/>
      <c r="AX249">
        <v>1</v>
      </c>
    </row>
    <row r="250" spans="1:50" x14ac:dyDescent="0.3">
      <c r="A250" t="s">
        <v>22</v>
      </c>
      <c r="B250">
        <v>575</v>
      </c>
      <c r="D250">
        <v>2547</v>
      </c>
      <c r="G250" t="s">
        <v>2086</v>
      </c>
      <c r="J250" t="s">
        <v>2087</v>
      </c>
      <c r="K250" t="s">
        <v>2088</v>
      </c>
      <c r="M250" t="s">
        <v>2089</v>
      </c>
      <c r="P250" t="s">
        <v>778</v>
      </c>
      <c r="Q250" t="s">
        <v>923</v>
      </c>
      <c r="S250" t="s">
        <v>814</v>
      </c>
      <c r="V250" t="s">
        <v>1198</v>
      </c>
      <c r="W250" t="s">
        <v>780</v>
      </c>
      <c r="X250" t="s">
        <v>793</v>
      </c>
      <c r="Z250" s="31"/>
      <c r="AC250">
        <v>19</v>
      </c>
      <c r="AD250" t="s">
        <v>22</v>
      </c>
      <c r="AE250" s="31">
        <v>45910</v>
      </c>
      <c r="AF250" s="61">
        <v>0.65240740740740744</v>
      </c>
      <c r="AH250" t="s">
        <v>795</v>
      </c>
      <c r="AI250" s="31">
        <v>45929</v>
      </c>
      <c r="AJ250" s="61">
        <v>0.69554398148148144</v>
      </c>
      <c r="AK250" t="s">
        <v>1226</v>
      </c>
      <c r="AN250" t="s">
        <v>2037</v>
      </c>
      <c r="AO250" t="s">
        <v>22</v>
      </c>
      <c r="AP250" t="s">
        <v>2037</v>
      </c>
      <c r="AR250" s="31"/>
      <c r="AX250">
        <v>1</v>
      </c>
    </row>
    <row r="251" spans="1:50" x14ac:dyDescent="0.3">
      <c r="A251" t="s">
        <v>44</v>
      </c>
      <c r="B251">
        <v>576</v>
      </c>
      <c r="D251">
        <v>2551</v>
      </c>
      <c r="F251" t="s">
        <v>2090</v>
      </c>
      <c r="G251" t="s">
        <v>2091</v>
      </c>
      <c r="H251">
        <v>36621794000158</v>
      </c>
      <c r="J251" t="s">
        <v>2090</v>
      </c>
      <c r="K251" t="s">
        <v>2092</v>
      </c>
      <c r="M251" t="s">
        <v>2093</v>
      </c>
      <c r="P251" t="s">
        <v>778</v>
      </c>
      <c r="Q251" t="s">
        <v>2094</v>
      </c>
      <c r="R251" t="s">
        <v>790</v>
      </c>
      <c r="S251" t="s">
        <v>805</v>
      </c>
      <c r="W251" t="s">
        <v>780</v>
      </c>
      <c r="X251" t="s">
        <v>857</v>
      </c>
      <c r="Z251" s="31"/>
      <c r="AA251">
        <v>10176</v>
      </c>
      <c r="AB251">
        <v>2060</v>
      </c>
      <c r="AC251">
        <v>23</v>
      </c>
      <c r="AD251" t="s">
        <v>44</v>
      </c>
      <c r="AE251" s="31">
        <v>45910</v>
      </c>
      <c r="AF251" s="61">
        <v>0.66196759259259264</v>
      </c>
      <c r="AH251" t="s">
        <v>795</v>
      </c>
      <c r="AI251" s="31">
        <v>45933</v>
      </c>
      <c r="AJ251" s="61">
        <v>0.41651620370370368</v>
      </c>
      <c r="AK251" t="s">
        <v>934</v>
      </c>
      <c r="AL251" t="s">
        <v>2095</v>
      </c>
      <c r="AN251" t="s">
        <v>2096</v>
      </c>
      <c r="AP251" t="s">
        <v>2097</v>
      </c>
      <c r="AR251" s="31"/>
      <c r="AX251">
        <v>1</v>
      </c>
    </row>
    <row r="252" spans="1:50" x14ac:dyDescent="0.3">
      <c r="A252" t="s">
        <v>22</v>
      </c>
      <c r="B252">
        <v>577</v>
      </c>
      <c r="D252">
        <v>2502</v>
      </c>
      <c r="G252" t="s">
        <v>2098</v>
      </c>
      <c r="J252" t="s">
        <v>2099</v>
      </c>
      <c r="K252" t="s">
        <v>2100</v>
      </c>
      <c r="M252" t="s">
        <v>2101</v>
      </c>
      <c r="P252" t="s">
        <v>778</v>
      </c>
      <c r="Q252" t="s">
        <v>943</v>
      </c>
      <c r="S252" t="s">
        <v>814</v>
      </c>
      <c r="V252" t="s">
        <v>1198</v>
      </c>
      <c r="W252" t="s">
        <v>780</v>
      </c>
      <c r="X252" t="s">
        <v>807</v>
      </c>
      <c r="Z252" s="31"/>
      <c r="AC252">
        <v>0</v>
      </c>
      <c r="AD252" t="s">
        <v>22</v>
      </c>
      <c r="AE252" s="31">
        <v>45910</v>
      </c>
      <c r="AF252" s="61">
        <v>0.66309027777777774</v>
      </c>
      <c r="AH252" t="s">
        <v>795</v>
      </c>
      <c r="AI252" s="31">
        <v>45910</v>
      </c>
      <c r="AJ252" s="61">
        <v>0.66420138888888891</v>
      </c>
      <c r="AK252" t="s">
        <v>867</v>
      </c>
      <c r="AN252" t="s">
        <v>2102</v>
      </c>
      <c r="AO252" t="s">
        <v>22</v>
      </c>
      <c r="AP252" t="s">
        <v>2102</v>
      </c>
      <c r="AR252" s="31"/>
      <c r="AX252">
        <v>1</v>
      </c>
    </row>
    <row r="253" spans="1:50" x14ac:dyDescent="0.3">
      <c r="A253" t="s">
        <v>22</v>
      </c>
      <c r="B253">
        <v>578</v>
      </c>
      <c r="D253">
        <v>2515</v>
      </c>
      <c r="G253" t="s">
        <v>2103</v>
      </c>
      <c r="J253" t="s">
        <v>2104</v>
      </c>
      <c r="K253" t="s">
        <v>2105</v>
      </c>
      <c r="M253" t="s">
        <v>2106</v>
      </c>
      <c r="P253" t="s">
        <v>778</v>
      </c>
      <c r="Q253" t="s">
        <v>923</v>
      </c>
      <c r="S253" t="s">
        <v>814</v>
      </c>
      <c r="V253" t="s">
        <v>1186</v>
      </c>
      <c r="W253" t="s">
        <v>780</v>
      </c>
      <c r="X253" t="s">
        <v>793</v>
      </c>
      <c r="Z253" s="31"/>
      <c r="AC253">
        <v>0</v>
      </c>
      <c r="AD253" t="s">
        <v>22</v>
      </c>
      <c r="AE253" s="31">
        <v>45911</v>
      </c>
      <c r="AF253" s="61">
        <v>0.35787037037037039</v>
      </c>
      <c r="AH253" t="s">
        <v>795</v>
      </c>
      <c r="AI253" s="31">
        <v>45911</v>
      </c>
      <c r="AJ253" s="61">
        <v>0.35978009259259258</v>
      </c>
      <c r="AK253" t="s">
        <v>867</v>
      </c>
      <c r="AN253" t="s">
        <v>2107</v>
      </c>
      <c r="AP253" t="s">
        <v>2107</v>
      </c>
      <c r="AR253" s="31"/>
      <c r="AX253">
        <v>1</v>
      </c>
    </row>
    <row r="254" spans="1:50" x14ac:dyDescent="0.3">
      <c r="A254" t="s">
        <v>44</v>
      </c>
      <c r="B254">
        <v>582</v>
      </c>
      <c r="D254">
        <v>2555</v>
      </c>
      <c r="E254" t="s">
        <v>2108</v>
      </c>
      <c r="G254" t="s">
        <v>2109</v>
      </c>
      <c r="H254">
        <v>32921219000110</v>
      </c>
      <c r="J254" t="s">
        <v>2110</v>
      </c>
      <c r="K254" t="s">
        <v>2111</v>
      </c>
      <c r="M254" t="s">
        <v>1580</v>
      </c>
      <c r="P254" t="s">
        <v>778</v>
      </c>
      <c r="V254" t="s">
        <v>1581</v>
      </c>
      <c r="W254" t="s">
        <v>780</v>
      </c>
      <c r="X254" t="s">
        <v>816</v>
      </c>
      <c r="Z254" s="31">
        <v>46055</v>
      </c>
      <c r="AA254">
        <v>1600</v>
      </c>
      <c r="AB254">
        <v>256856</v>
      </c>
      <c r="AC254">
        <v>161</v>
      </c>
      <c r="AD254" t="s">
        <v>44</v>
      </c>
      <c r="AE254" s="31">
        <v>45911</v>
      </c>
      <c r="AF254" s="61">
        <v>0.54175925925925927</v>
      </c>
      <c r="AH254" t="s">
        <v>782</v>
      </c>
      <c r="AI254" s="31"/>
      <c r="AJ254" s="61"/>
      <c r="AN254" t="s">
        <v>2112</v>
      </c>
      <c r="AO254" t="s">
        <v>44</v>
      </c>
      <c r="AP254" t="s">
        <v>2112</v>
      </c>
      <c r="AR254" s="31">
        <v>46003</v>
      </c>
      <c r="AS254" t="s">
        <v>1012</v>
      </c>
      <c r="AX254">
        <v>1</v>
      </c>
    </row>
    <row r="255" spans="1:50" x14ac:dyDescent="0.3">
      <c r="A255" t="s">
        <v>22</v>
      </c>
      <c r="B255">
        <v>583</v>
      </c>
      <c r="D255">
        <v>578</v>
      </c>
      <c r="E255" t="s">
        <v>2113</v>
      </c>
      <c r="F255" t="s">
        <v>2114</v>
      </c>
      <c r="G255" t="s">
        <v>383</v>
      </c>
      <c r="H255">
        <v>7664689000289</v>
      </c>
      <c r="J255" t="s">
        <v>2114</v>
      </c>
      <c r="K255" t="s">
        <v>2115</v>
      </c>
      <c r="M255" t="s">
        <v>2116</v>
      </c>
      <c r="P255" t="s">
        <v>778</v>
      </c>
      <c r="Q255" t="s">
        <v>2117</v>
      </c>
      <c r="R255" t="s">
        <v>1105</v>
      </c>
      <c r="S255" t="s">
        <v>805</v>
      </c>
      <c r="V255" t="s">
        <v>2118</v>
      </c>
      <c r="W255" t="s">
        <v>780</v>
      </c>
      <c r="X255" t="s">
        <v>807</v>
      </c>
      <c r="Z255" s="31">
        <v>46081</v>
      </c>
      <c r="AA255">
        <v>100800</v>
      </c>
      <c r="AB255">
        <v>5484</v>
      </c>
      <c r="AC255">
        <v>119</v>
      </c>
      <c r="AD255" t="s">
        <v>22</v>
      </c>
      <c r="AE255" s="31">
        <v>45911</v>
      </c>
      <c r="AF255" s="61">
        <v>0.66440972222222228</v>
      </c>
      <c r="AH255" t="s">
        <v>782</v>
      </c>
      <c r="AI255" s="31">
        <v>46030</v>
      </c>
      <c r="AJ255" s="61">
        <v>0.64569444444444446</v>
      </c>
      <c r="AL255" t="s">
        <v>1058</v>
      </c>
      <c r="AN255" t="s">
        <v>384</v>
      </c>
      <c r="AO255" t="s">
        <v>22</v>
      </c>
      <c r="AP255" t="s">
        <v>384</v>
      </c>
      <c r="AR255" s="31">
        <v>46059</v>
      </c>
      <c r="AS255" t="s">
        <v>2119</v>
      </c>
      <c r="AT255" t="s">
        <v>2120</v>
      </c>
      <c r="AU255" t="s">
        <v>2121</v>
      </c>
      <c r="AV255" t="s">
        <v>2122</v>
      </c>
      <c r="AW255" t="s">
        <v>2123</v>
      </c>
      <c r="AX255">
        <v>1</v>
      </c>
    </row>
    <row r="256" spans="1:50" x14ac:dyDescent="0.3">
      <c r="A256" t="s">
        <v>44</v>
      </c>
      <c r="B256">
        <v>585</v>
      </c>
      <c r="D256">
        <v>2557</v>
      </c>
      <c r="G256" t="s">
        <v>2124</v>
      </c>
      <c r="J256" t="s">
        <v>2125</v>
      </c>
      <c r="K256" t="s">
        <v>2126</v>
      </c>
      <c r="M256" t="s">
        <v>2127</v>
      </c>
      <c r="P256" t="s">
        <v>778</v>
      </c>
      <c r="W256" t="s">
        <v>780</v>
      </c>
      <c r="X256" t="s">
        <v>793</v>
      </c>
      <c r="Z256" s="31"/>
      <c r="AA256">
        <v>58088</v>
      </c>
      <c r="AB256">
        <v>645602</v>
      </c>
      <c r="AC256">
        <v>13</v>
      </c>
      <c r="AD256" t="s">
        <v>44</v>
      </c>
      <c r="AE256" s="31">
        <v>45912</v>
      </c>
      <c r="AF256" s="61">
        <v>0.61721064814814819</v>
      </c>
      <c r="AH256" t="s">
        <v>795</v>
      </c>
      <c r="AI256" s="31">
        <v>45925</v>
      </c>
      <c r="AJ256" s="61">
        <v>0.67640046296296297</v>
      </c>
      <c r="AK256" t="s">
        <v>934</v>
      </c>
      <c r="AL256" t="s">
        <v>2128</v>
      </c>
      <c r="AN256" t="s">
        <v>2129</v>
      </c>
      <c r="AP256" t="s">
        <v>2129</v>
      </c>
      <c r="AR256" s="31"/>
      <c r="AX256">
        <v>1</v>
      </c>
    </row>
    <row r="257" spans="1:50" x14ac:dyDescent="0.3">
      <c r="A257" t="s">
        <v>31</v>
      </c>
      <c r="B257">
        <v>587</v>
      </c>
      <c r="D257">
        <v>2559</v>
      </c>
      <c r="G257" t="s">
        <v>2130</v>
      </c>
      <c r="J257" t="s">
        <v>2131</v>
      </c>
      <c r="K257" t="s">
        <v>2132</v>
      </c>
      <c r="M257" t="s">
        <v>1111</v>
      </c>
      <c r="P257" t="s">
        <v>778</v>
      </c>
      <c r="W257" t="s">
        <v>780</v>
      </c>
      <c r="X257" t="s">
        <v>816</v>
      </c>
      <c r="Z257" s="31"/>
      <c r="AA257">
        <v>64200</v>
      </c>
      <c r="AB257">
        <v>254344</v>
      </c>
      <c r="AC257">
        <v>78</v>
      </c>
      <c r="AD257" t="s">
        <v>31</v>
      </c>
      <c r="AE257" s="31">
        <v>45915</v>
      </c>
      <c r="AF257" s="61">
        <v>0.4500925925925926</v>
      </c>
      <c r="AH257" t="s">
        <v>818</v>
      </c>
      <c r="AI257" s="31">
        <v>45993</v>
      </c>
      <c r="AJ257" s="61">
        <v>0.47207175925925932</v>
      </c>
      <c r="AN257" t="s">
        <v>2133</v>
      </c>
      <c r="AP257" t="s">
        <v>2134</v>
      </c>
      <c r="AQ257" t="s">
        <v>2135</v>
      </c>
      <c r="AR257" s="31"/>
      <c r="AX257">
        <v>1</v>
      </c>
    </row>
    <row r="258" spans="1:50" x14ac:dyDescent="0.3">
      <c r="A258" t="s">
        <v>44</v>
      </c>
      <c r="B258">
        <v>589</v>
      </c>
      <c r="D258">
        <v>2561</v>
      </c>
      <c r="G258" t="s">
        <v>2136</v>
      </c>
      <c r="H258">
        <v>7548592000120</v>
      </c>
      <c r="J258" t="s">
        <v>2137</v>
      </c>
      <c r="K258" t="s">
        <v>2138</v>
      </c>
      <c r="M258" t="s">
        <v>2139</v>
      </c>
      <c r="P258" t="s">
        <v>778</v>
      </c>
      <c r="Q258" t="s">
        <v>2080</v>
      </c>
      <c r="R258" t="s">
        <v>956</v>
      </c>
      <c r="S258" t="s">
        <v>814</v>
      </c>
      <c r="V258" t="s">
        <v>1186</v>
      </c>
      <c r="W258" t="s">
        <v>780</v>
      </c>
      <c r="X258" t="s">
        <v>793</v>
      </c>
      <c r="Z258" s="31"/>
      <c r="AA258">
        <v>103032</v>
      </c>
      <c r="AB258">
        <v>696032</v>
      </c>
      <c r="AC258">
        <v>30</v>
      </c>
      <c r="AD258" t="s">
        <v>22</v>
      </c>
      <c r="AE258" s="31">
        <v>45916</v>
      </c>
      <c r="AF258" s="61">
        <v>0.40375</v>
      </c>
      <c r="AH258" t="s">
        <v>795</v>
      </c>
      <c r="AI258" s="31">
        <v>45946</v>
      </c>
      <c r="AJ258" s="61">
        <v>0.5009837962962963</v>
      </c>
      <c r="AK258" t="s">
        <v>796</v>
      </c>
      <c r="AL258" t="s">
        <v>2140</v>
      </c>
      <c r="AN258" t="s">
        <v>2141</v>
      </c>
      <c r="AO258" t="s">
        <v>44</v>
      </c>
      <c r="AP258" t="s">
        <v>2142</v>
      </c>
      <c r="AQ258" t="s">
        <v>2141</v>
      </c>
      <c r="AR258" s="31"/>
      <c r="AX258">
        <v>1</v>
      </c>
    </row>
    <row r="259" spans="1:50" x14ac:dyDescent="0.3">
      <c r="A259" t="s">
        <v>44</v>
      </c>
      <c r="B259">
        <v>590</v>
      </c>
      <c r="D259">
        <v>2561</v>
      </c>
      <c r="G259" t="s">
        <v>2143</v>
      </c>
      <c r="H259">
        <v>7548592000120</v>
      </c>
      <c r="J259" t="s">
        <v>2137</v>
      </c>
      <c r="K259" t="s">
        <v>2138</v>
      </c>
      <c r="M259" t="s">
        <v>2139</v>
      </c>
      <c r="P259" t="s">
        <v>778</v>
      </c>
      <c r="Q259" t="s">
        <v>2080</v>
      </c>
      <c r="R259" t="s">
        <v>956</v>
      </c>
      <c r="S259" t="s">
        <v>814</v>
      </c>
      <c r="V259" t="s">
        <v>1186</v>
      </c>
      <c r="W259" t="s">
        <v>780</v>
      </c>
      <c r="X259" t="s">
        <v>781</v>
      </c>
      <c r="Z259" s="31"/>
      <c r="AC259">
        <v>0</v>
      </c>
      <c r="AD259" t="s">
        <v>44</v>
      </c>
      <c r="AE259" s="31">
        <v>45916</v>
      </c>
      <c r="AF259" s="61">
        <v>0.4065509259259259</v>
      </c>
      <c r="AH259" t="s">
        <v>795</v>
      </c>
      <c r="AI259" s="31">
        <v>45916</v>
      </c>
      <c r="AJ259" s="61">
        <v>0.41540509259259262</v>
      </c>
      <c r="AK259" t="s">
        <v>1226</v>
      </c>
      <c r="AL259" t="s">
        <v>2144</v>
      </c>
      <c r="AR259" s="31"/>
      <c r="AX259">
        <v>1</v>
      </c>
    </row>
    <row r="260" spans="1:50" x14ac:dyDescent="0.3">
      <c r="A260" t="s">
        <v>44</v>
      </c>
      <c r="B260">
        <v>597</v>
      </c>
      <c r="D260">
        <v>2571</v>
      </c>
      <c r="F260" t="s">
        <v>2145</v>
      </c>
      <c r="G260" t="s">
        <v>2146</v>
      </c>
      <c r="H260">
        <v>49872306000127</v>
      </c>
      <c r="J260" t="s">
        <v>2145</v>
      </c>
      <c r="K260" t="s">
        <v>2147</v>
      </c>
      <c r="M260" t="s">
        <v>2148</v>
      </c>
      <c r="P260" t="s">
        <v>778</v>
      </c>
      <c r="Q260" t="s">
        <v>2149</v>
      </c>
      <c r="R260" t="s">
        <v>790</v>
      </c>
      <c r="S260" t="s">
        <v>805</v>
      </c>
      <c r="W260" t="s">
        <v>780</v>
      </c>
      <c r="X260" t="s">
        <v>793</v>
      </c>
      <c r="Z260" s="31"/>
      <c r="AA260">
        <v>7021439</v>
      </c>
      <c r="AB260">
        <v>37362</v>
      </c>
      <c r="AC260">
        <v>14</v>
      </c>
      <c r="AD260" t="s">
        <v>44</v>
      </c>
      <c r="AE260" s="31">
        <v>45919</v>
      </c>
      <c r="AF260" s="61">
        <v>0.65909722222222222</v>
      </c>
      <c r="AH260" t="s">
        <v>795</v>
      </c>
      <c r="AI260" s="31">
        <v>45933</v>
      </c>
      <c r="AJ260" s="61">
        <v>0.40391203703703699</v>
      </c>
      <c r="AK260" t="s">
        <v>858</v>
      </c>
      <c r="AL260" t="s">
        <v>2150</v>
      </c>
      <c r="AN260" t="s">
        <v>2096</v>
      </c>
      <c r="AP260" t="s">
        <v>2096</v>
      </c>
      <c r="AR260" s="31"/>
      <c r="AX260">
        <v>1</v>
      </c>
    </row>
    <row r="261" spans="1:50" x14ac:dyDescent="0.3">
      <c r="A261" t="s">
        <v>22</v>
      </c>
      <c r="B261">
        <v>600</v>
      </c>
      <c r="D261">
        <v>2477</v>
      </c>
      <c r="G261" t="s">
        <v>2151</v>
      </c>
      <c r="J261" t="s">
        <v>802</v>
      </c>
      <c r="K261" t="s">
        <v>2152</v>
      </c>
      <c r="M261" t="s">
        <v>2153</v>
      </c>
      <c r="P261" t="s">
        <v>778</v>
      </c>
      <c r="Q261" t="s">
        <v>923</v>
      </c>
      <c r="S261" t="s">
        <v>814</v>
      </c>
      <c r="V261" t="s">
        <v>1186</v>
      </c>
      <c r="W261" t="s">
        <v>780</v>
      </c>
      <c r="X261" t="s">
        <v>807</v>
      </c>
      <c r="Z261" s="31"/>
      <c r="AC261">
        <v>43</v>
      </c>
      <c r="AD261" t="s">
        <v>22</v>
      </c>
      <c r="AE261" s="31">
        <v>45923</v>
      </c>
      <c r="AF261" s="61">
        <v>0.7016782407407407</v>
      </c>
      <c r="AH261" t="s">
        <v>795</v>
      </c>
      <c r="AI261" s="31">
        <v>45966</v>
      </c>
      <c r="AJ261" s="61">
        <v>0.41437499999999999</v>
      </c>
      <c r="AK261" t="s">
        <v>1226</v>
      </c>
      <c r="AN261" t="s">
        <v>2037</v>
      </c>
      <c r="AO261" t="s">
        <v>22</v>
      </c>
      <c r="AP261" t="s">
        <v>2154</v>
      </c>
      <c r="AR261" s="31"/>
      <c r="AX261">
        <v>1</v>
      </c>
    </row>
    <row r="262" spans="1:50" x14ac:dyDescent="0.3">
      <c r="A262" t="s">
        <v>44</v>
      </c>
      <c r="B262">
        <v>601</v>
      </c>
      <c r="D262">
        <v>2579</v>
      </c>
      <c r="G262" t="s">
        <v>2155</v>
      </c>
      <c r="J262" t="s">
        <v>2156</v>
      </c>
      <c r="K262" t="s">
        <v>2126</v>
      </c>
      <c r="M262" t="s">
        <v>2127</v>
      </c>
      <c r="P262" t="s">
        <v>778</v>
      </c>
      <c r="W262" t="s">
        <v>780</v>
      </c>
      <c r="X262" t="s">
        <v>793</v>
      </c>
      <c r="Z262" s="31"/>
      <c r="AA262">
        <v>1600</v>
      </c>
      <c r="AB262">
        <v>2396</v>
      </c>
      <c r="AC262">
        <v>1</v>
      </c>
      <c r="AD262" t="s">
        <v>44</v>
      </c>
      <c r="AE262" s="31">
        <v>45924</v>
      </c>
      <c r="AF262" s="61">
        <v>0.40835648148148151</v>
      </c>
      <c r="AH262" t="s">
        <v>795</v>
      </c>
      <c r="AI262" s="31">
        <v>45925</v>
      </c>
      <c r="AJ262" s="61">
        <v>0.67701388888888892</v>
      </c>
      <c r="AK262" t="s">
        <v>934</v>
      </c>
      <c r="AL262" t="s">
        <v>2157</v>
      </c>
      <c r="AN262" t="s">
        <v>2129</v>
      </c>
      <c r="AP262" t="s">
        <v>2129</v>
      </c>
      <c r="AR262" s="31"/>
      <c r="AX262">
        <v>1</v>
      </c>
    </row>
    <row r="263" spans="1:50" x14ac:dyDescent="0.3">
      <c r="A263" t="s">
        <v>44</v>
      </c>
      <c r="B263">
        <v>602</v>
      </c>
      <c r="D263">
        <v>2582</v>
      </c>
      <c r="F263" t="s">
        <v>2158</v>
      </c>
      <c r="G263" t="s">
        <v>2159</v>
      </c>
      <c r="H263">
        <v>11392803000155</v>
      </c>
      <c r="J263" t="s">
        <v>2158</v>
      </c>
      <c r="K263" t="s">
        <v>2160</v>
      </c>
      <c r="M263" t="s">
        <v>2161</v>
      </c>
      <c r="P263" t="s">
        <v>778</v>
      </c>
      <c r="Q263" t="s">
        <v>2162</v>
      </c>
      <c r="R263" t="s">
        <v>932</v>
      </c>
      <c r="S263" t="s">
        <v>805</v>
      </c>
      <c r="W263" t="s">
        <v>780</v>
      </c>
      <c r="X263" t="s">
        <v>793</v>
      </c>
      <c r="Z263" s="31"/>
      <c r="AC263">
        <v>42</v>
      </c>
      <c r="AD263" t="s">
        <v>44</v>
      </c>
      <c r="AE263" s="31">
        <v>45924</v>
      </c>
      <c r="AF263" s="61">
        <v>0.59084490740740736</v>
      </c>
      <c r="AH263" t="s">
        <v>795</v>
      </c>
      <c r="AI263" s="31">
        <v>45966</v>
      </c>
      <c r="AJ263" s="61">
        <v>0.39526620370370369</v>
      </c>
      <c r="AK263" t="s">
        <v>796</v>
      </c>
      <c r="AL263" t="s">
        <v>2163</v>
      </c>
      <c r="AP263" t="s">
        <v>2037</v>
      </c>
      <c r="AR263" s="31"/>
      <c r="AX263">
        <v>1</v>
      </c>
    </row>
    <row r="264" spans="1:50" x14ac:dyDescent="0.3">
      <c r="A264" t="s">
        <v>44</v>
      </c>
      <c r="B264">
        <v>603</v>
      </c>
      <c r="D264">
        <v>2581</v>
      </c>
      <c r="G264" t="s">
        <v>2164</v>
      </c>
      <c r="H264">
        <v>8019257000105</v>
      </c>
      <c r="J264" t="s">
        <v>2165</v>
      </c>
      <c r="M264" t="s">
        <v>2166</v>
      </c>
      <c r="P264" t="s">
        <v>778</v>
      </c>
      <c r="Q264" t="s">
        <v>2167</v>
      </c>
      <c r="S264" t="s">
        <v>933</v>
      </c>
      <c r="W264" t="s">
        <v>780</v>
      </c>
      <c r="X264" t="s">
        <v>781</v>
      </c>
      <c r="Z264" s="31"/>
      <c r="AC264">
        <v>13</v>
      </c>
      <c r="AD264" t="s">
        <v>22</v>
      </c>
      <c r="AE264" s="31">
        <v>45924</v>
      </c>
      <c r="AF264" s="61">
        <v>0.66754629629629625</v>
      </c>
      <c r="AH264" t="s">
        <v>795</v>
      </c>
      <c r="AI264" s="31">
        <v>45937</v>
      </c>
      <c r="AJ264" s="61">
        <v>0.61364583333333333</v>
      </c>
      <c r="AK264" t="s">
        <v>858</v>
      </c>
      <c r="AL264" t="s">
        <v>2168</v>
      </c>
      <c r="AO264" t="s">
        <v>44</v>
      </c>
      <c r="AP264" t="s">
        <v>2169</v>
      </c>
      <c r="AR264" s="31"/>
      <c r="AX264">
        <v>1</v>
      </c>
    </row>
    <row r="265" spans="1:50" x14ac:dyDescent="0.3">
      <c r="A265" t="s">
        <v>44</v>
      </c>
      <c r="B265">
        <v>604</v>
      </c>
      <c r="D265">
        <v>2580</v>
      </c>
      <c r="E265" t="s">
        <v>2170</v>
      </c>
      <c r="G265" t="s">
        <v>2171</v>
      </c>
      <c r="J265" t="s">
        <v>2165</v>
      </c>
      <c r="K265" t="s">
        <v>2172</v>
      </c>
      <c r="M265" t="s">
        <v>2173</v>
      </c>
      <c r="P265" t="s">
        <v>778</v>
      </c>
      <c r="S265" t="s">
        <v>933</v>
      </c>
      <c r="W265" t="s">
        <v>780</v>
      </c>
      <c r="X265" t="s">
        <v>781</v>
      </c>
      <c r="Z265" s="31"/>
      <c r="AC265">
        <v>13</v>
      </c>
      <c r="AD265" t="s">
        <v>22</v>
      </c>
      <c r="AE265" s="31">
        <v>45924</v>
      </c>
      <c r="AF265" s="61">
        <v>0.66814814814814816</v>
      </c>
      <c r="AH265" t="s">
        <v>795</v>
      </c>
      <c r="AI265" s="31">
        <v>45937</v>
      </c>
      <c r="AJ265" s="61">
        <v>0.40031250000000002</v>
      </c>
      <c r="AK265" t="s">
        <v>858</v>
      </c>
      <c r="AL265" t="s">
        <v>2174</v>
      </c>
      <c r="AO265" t="s">
        <v>44</v>
      </c>
      <c r="AP265" t="s">
        <v>2169</v>
      </c>
      <c r="AR265" s="31"/>
      <c r="AX265">
        <v>1</v>
      </c>
    </row>
    <row r="266" spans="1:50" x14ac:dyDescent="0.3">
      <c r="A266" t="s">
        <v>44</v>
      </c>
      <c r="B266">
        <v>607</v>
      </c>
      <c r="D266">
        <v>2590</v>
      </c>
      <c r="G266" t="s">
        <v>2175</v>
      </c>
      <c r="H266">
        <v>1099426000107</v>
      </c>
      <c r="J266" t="s">
        <v>2176</v>
      </c>
      <c r="K266" t="s">
        <v>2177</v>
      </c>
      <c r="M266" t="s">
        <v>2178</v>
      </c>
      <c r="P266" t="s">
        <v>778</v>
      </c>
      <c r="W266" t="s">
        <v>780</v>
      </c>
      <c r="X266" t="s">
        <v>807</v>
      </c>
      <c r="Z266" s="31"/>
      <c r="AA266">
        <v>1600</v>
      </c>
      <c r="AB266">
        <v>3360</v>
      </c>
      <c r="AC266">
        <v>62</v>
      </c>
      <c r="AD266" t="s">
        <v>44</v>
      </c>
      <c r="AE266" s="31">
        <v>45925</v>
      </c>
      <c r="AF266" s="61">
        <v>0.66249999999999998</v>
      </c>
      <c r="AH266" t="s">
        <v>795</v>
      </c>
      <c r="AI266" s="31">
        <v>45987</v>
      </c>
      <c r="AJ266" s="61">
        <v>0.59446759259259263</v>
      </c>
      <c r="AK266" t="s">
        <v>796</v>
      </c>
      <c r="AL266" t="s">
        <v>2179</v>
      </c>
      <c r="AN266" t="s">
        <v>2180</v>
      </c>
      <c r="AP266" t="s">
        <v>2180</v>
      </c>
      <c r="AR266" s="31"/>
      <c r="AX266">
        <v>1</v>
      </c>
    </row>
    <row r="267" spans="1:50" x14ac:dyDescent="0.3">
      <c r="A267" t="s">
        <v>44</v>
      </c>
      <c r="B267">
        <v>608</v>
      </c>
      <c r="D267">
        <v>2591</v>
      </c>
      <c r="G267" t="s">
        <v>2181</v>
      </c>
      <c r="H267">
        <v>6302372000159</v>
      </c>
      <c r="J267" t="s">
        <v>2182</v>
      </c>
      <c r="K267" t="s">
        <v>2183</v>
      </c>
      <c r="M267" t="s">
        <v>2184</v>
      </c>
      <c r="P267" t="s">
        <v>778</v>
      </c>
      <c r="W267" t="s">
        <v>780</v>
      </c>
      <c r="X267" t="s">
        <v>816</v>
      </c>
      <c r="Z267" s="31"/>
      <c r="AA267">
        <v>260148</v>
      </c>
      <c r="AB267">
        <v>0</v>
      </c>
      <c r="AC267">
        <v>0</v>
      </c>
      <c r="AD267" t="s">
        <v>44</v>
      </c>
      <c r="AE267" s="31">
        <v>45925</v>
      </c>
      <c r="AF267" s="61">
        <v>0.66907407407407404</v>
      </c>
      <c r="AH267" t="s">
        <v>818</v>
      </c>
      <c r="AI267" s="31">
        <v>45925</v>
      </c>
      <c r="AJ267" s="61">
        <v>0.67554398148148154</v>
      </c>
      <c r="AN267" t="s">
        <v>2102</v>
      </c>
      <c r="AP267" t="s">
        <v>2102</v>
      </c>
      <c r="AR267" s="31"/>
      <c r="AX267">
        <v>1</v>
      </c>
    </row>
    <row r="268" spans="1:50" x14ac:dyDescent="0.3">
      <c r="A268" t="s">
        <v>44</v>
      </c>
      <c r="B268">
        <v>609</v>
      </c>
      <c r="D268">
        <v>2592</v>
      </c>
      <c r="G268" t="s">
        <v>2185</v>
      </c>
      <c r="H268">
        <v>7548592000120</v>
      </c>
      <c r="J268" t="s">
        <v>2186</v>
      </c>
      <c r="K268" t="s">
        <v>2187</v>
      </c>
      <c r="M268" t="s">
        <v>2139</v>
      </c>
      <c r="P268" t="s">
        <v>778</v>
      </c>
      <c r="Q268" t="s">
        <v>2080</v>
      </c>
      <c r="R268" t="s">
        <v>956</v>
      </c>
      <c r="W268" t="s">
        <v>780</v>
      </c>
      <c r="X268" t="s">
        <v>793</v>
      </c>
      <c r="Z268" s="31"/>
      <c r="AA268">
        <v>16200</v>
      </c>
      <c r="AB268">
        <v>2160</v>
      </c>
      <c r="AC268">
        <v>21</v>
      </c>
      <c r="AD268" t="s">
        <v>44</v>
      </c>
      <c r="AE268" s="31">
        <v>45925</v>
      </c>
      <c r="AF268" s="61">
        <v>0.6938657407407407</v>
      </c>
      <c r="AH268" t="s">
        <v>795</v>
      </c>
      <c r="AI268" s="31">
        <v>45946</v>
      </c>
      <c r="AJ268" s="61">
        <v>0.5020486111111111</v>
      </c>
      <c r="AK268" t="s">
        <v>796</v>
      </c>
      <c r="AL268" t="s">
        <v>2188</v>
      </c>
      <c r="AN268" t="s">
        <v>2141</v>
      </c>
      <c r="AP268" t="s">
        <v>2141</v>
      </c>
      <c r="AR268" s="31"/>
      <c r="AX268">
        <v>1</v>
      </c>
    </row>
    <row r="269" spans="1:50" x14ac:dyDescent="0.3">
      <c r="A269" t="s">
        <v>44</v>
      </c>
      <c r="B269">
        <v>610</v>
      </c>
      <c r="D269">
        <v>2595</v>
      </c>
      <c r="G269" t="s">
        <v>2189</v>
      </c>
      <c r="H269">
        <v>7548592000120</v>
      </c>
      <c r="J269" t="s">
        <v>2190</v>
      </c>
      <c r="K269" t="s">
        <v>2187</v>
      </c>
      <c r="M269" t="s">
        <v>2139</v>
      </c>
      <c r="P269" t="s">
        <v>778</v>
      </c>
      <c r="Q269" t="s">
        <v>2080</v>
      </c>
      <c r="R269" t="s">
        <v>956</v>
      </c>
      <c r="W269" t="s">
        <v>780</v>
      </c>
      <c r="X269" t="s">
        <v>793</v>
      </c>
      <c r="Z269" s="31"/>
      <c r="AA269">
        <v>1600</v>
      </c>
      <c r="AB269">
        <v>405552</v>
      </c>
      <c r="AC269">
        <v>21</v>
      </c>
      <c r="AD269" t="s">
        <v>44</v>
      </c>
      <c r="AE269" s="31">
        <v>45925</v>
      </c>
      <c r="AF269" s="61">
        <v>0.69575231481481481</v>
      </c>
      <c r="AH269" t="s">
        <v>795</v>
      </c>
      <c r="AI269" s="31">
        <v>45946</v>
      </c>
      <c r="AJ269" s="61">
        <v>0.50145833333333334</v>
      </c>
      <c r="AK269" t="s">
        <v>796</v>
      </c>
      <c r="AL269" t="s">
        <v>2188</v>
      </c>
      <c r="AN269" t="s">
        <v>2141</v>
      </c>
      <c r="AP269" t="s">
        <v>2141</v>
      </c>
      <c r="AR269" s="31"/>
      <c r="AX269">
        <v>1</v>
      </c>
    </row>
    <row r="270" spans="1:50" x14ac:dyDescent="0.3">
      <c r="A270" t="s">
        <v>31</v>
      </c>
      <c r="B270">
        <v>611</v>
      </c>
      <c r="D270">
        <v>2598</v>
      </c>
      <c r="G270" t="s">
        <v>2191</v>
      </c>
      <c r="H270">
        <v>11861121000306</v>
      </c>
      <c r="J270" t="s">
        <v>2192</v>
      </c>
      <c r="K270" t="s">
        <v>2193</v>
      </c>
      <c r="M270" t="s">
        <v>2194</v>
      </c>
      <c r="P270" t="s">
        <v>778</v>
      </c>
      <c r="Q270" t="s">
        <v>923</v>
      </c>
      <c r="S270" t="s">
        <v>814</v>
      </c>
      <c r="V270" t="s">
        <v>1186</v>
      </c>
      <c r="W270" t="s">
        <v>780</v>
      </c>
      <c r="X270" t="s">
        <v>793</v>
      </c>
      <c r="Z270" s="31"/>
      <c r="AC270">
        <v>28</v>
      </c>
      <c r="AD270" t="s">
        <v>22</v>
      </c>
      <c r="AE270" s="31">
        <v>45926</v>
      </c>
      <c r="AF270" s="61">
        <v>0.42531249999999998</v>
      </c>
      <c r="AH270" t="s">
        <v>795</v>
      </c>
      <c r="AI270" s="31">
        <v>45954</v>
      </c>
      <c r="AJ270" s="61">
        <v>0.50206018518518514</v>
      </c>
      <c r="AK270" t="s">
        <v>867</v>
      </c>
      <c r="AO270" t="s">
        <v>31</v>
      </c>
      <c r="AP270" t="s">
        <v>2195</v>
      </c>
      <c r="AR270" s="31"/>
      <c r="AX270">
        <v>1</v>
      </c>
    </row>
    <row r="271" spans="1:50" x14ac:dyDescent="0.3">
      <c r="A271" t="s">
        <v>44</v>
      </c>
      <c r="B271">
        <v>613</v>
      </c>
      <c r="D271">
        <v>2600</v>
      </c>
      <c r="E271" t="s">
        <v>2196</v>
      </c>
      <c r="G271" t="s">
        <v>2197</v>
      </c>
      <c r="H271">
        <v>221294000181</v>
      </c>
      <c r="J271" t="s">
        <v>2198</v>
      </c>
      <c r="K271" t="s">
        <v>2199</v>
      </c>
      <c r="M271" t="s">
        <v>2200</v>
      </c>
      <c r="P271" t="s">
        <v>778</v>
      </c>
      <c r="Q271" t="s">
        <v>2201</v>
      </c>
      <c r="R271" t="s">
        <v>790</v>
      </c>
      <c r="V271" t="s">
        <v>1419</v>
      </c>
      <c r="W271" t="s">
        <v>780</v>
      </c>
      <c r="X271" t="s">
        <v>807</v>
      </c>
      <c r="Z271" s="31">
        <v>46081</v>
      </c>
      <c r="AA271">
        <v>81786</v>
      </c>
      <c r="AB271">
        <v>79654</v>
      </c>
      <c r="AC271">
        <v>143</v>
      </c>
      <c r="AD271" t="s">
        <v>44</v>
      </c>
      <c r="AE271" s="31">
        <v>45929</v>
      </c>
      <c r="AF271" s="61">
        <v>0.48745370370370372</v>
      </c>
      <c r="AH271" t="s">
        <v>782</v>
      </c>
      <c r="AI271" s="31"/>
      <c r="AJ271" s="61"/>
      <c r="AM271" t="s">
        <v>2202</v>
      </c>
      <c r="AN271" t="s">
        <v>2203</v>
      </c>
      <c r="AO271" t="s">
        <v>44</v>
      </c>
      <c r="AP271" t="s">
        <v>2037</v>
      </c>
      <c r="AR271" s="31">
        <v>46049</v>
      </c>
      <c r="AS271" t="s">
        <v>1423</v>
      </c>
      <c r="AX271">
        <v>1</v>
      </c>
    </row>
    <row r="272" spans="1:50" x14ac:dyDescent="0.3">
      <c r="A272" t="s">
        <v>22</v>
      </c>
      <c r="B272">
        <v>614</v>
      </c>
      <c r="D272">
        <v>2603</v>
      </c>
      <c r="E272" t="s">
        <v>2204</v>
      </c>
      <c r="G272" t="s">
        <v>2205</v>
      </c>
      <c r="H272">
        <v>9517464000144</v>
      </c>
      <c r="J272" t="s">
        <v>2206</v>
      </c>
      <c r="M272" t="s">
        <v>2207</v>
      </c>
      <c r="P272" t="s">
        <v>778</v>
      </c>
      <c r="V272" t="s">
        <v>2118</v>
      </c>
      <c r="W272" t="s">
        <v>780</v>
      </c>
      <c r="X272" t="s">
        <v>807</v>
      </c>
      <c r="Z272" s="31">
        <v>46112</v>
      </c>
      <c r="AA272">
        <v>254760</v>
      </c>
      <c r="AB272">
        <v>1578632</v>
      </c>
      <c r="AC272">
        <v>131</v>
      </c>
      <c r="AD272" t="s">
        <v>22</v>
      </c>
      <c r="AE272" s="31">
        <v>45929</v>
      </c>
      <c r="AF272" s="61">
        <v>0.72163194444444445</v>
      </c>
      <c r="AH272" t="s">
        <v>795</v>
      </c>
      <c r="AI272" s="31">
        <v>46060</v>
      </c>
      <c r="AJ272" s="61">
        <v>0.36658564814814809</v>
      </c>
      <c r="AK272" t="s">
        <v>858</v>
      </c>
      <c r="AL272" t="s">
        <v>2208</v>
      </c>
      <c r="AN272" t="s">
        <v>2209</v>
      </c>
      <c r="AO272" t="s">
        <v>22</v>
      </c>
      <c r="AP272" t="s">
        <v>2209</v>
      </c>
      <c r="AR272" s="31">
        <v>46060</v>
      </c>
      <c r="AS272" t="s">
        <v>2119</v>
      </c>
      <c r="AX272">
        <v>1</v>
      </c>
    </row>
    <row r="273" spans="1:50" x14ac:dyDescent="0.3">
      <c r="A273" t="s">
        <v>22</v>
      </c>
      <c r="B273">
        <v>615</v>
      </c>
      <c r="D273">
        <v>2604</v>
      </c>
      <c r="G273" t="s">
        <v>2210</v>
      </c>
      <c r="H273">
        <v>73114894000114</v>
      </c>
      <c r="J273" t="s">
        <v>2211</v>
      </c>
      <c r="M273" t="s">
        <v>2212</v>
      </c>
      <c r="P273" t="s">
        <v>778</v>
      </c>
      <c r="W273" t="s">
        <v>780</v>
      </c>
      <c r="X273" t="s">
        <v>807</v>
      </c>
      <c r="Z273" s="31"/>
      <c r="AC273">
        <v>0</v>
      </c>
      <c r="AD273" t="s">
        <v>22</v>
      </c>
      <c r="AE273" s="31">
        <v>45929</v>
      </c>
      <c r="AF273" s="61">
        <v>0.72408564814814813</v>
      </c>
      <c r="AH273" t="s">
        <v>795</v>
      </c>
      <c r="AI273" s="31">
        <v>45929</v>
      </c>
      <c r="AJ273" s="61">
        <v>0.72424768518518523</v>
      </c>
      <c r="AK273" t="s">
        <v>867</v>
      </c>
      <c r="AN273" t="s">
        <v>2213</v>
      </c>
      <c r="AO273" t="s">
        <v>22</v>
      </c>
      <c r="AP273" t="s">
        <v>2213</v>
      </c>
      <c r="AR273" s="31"/>
      <c r="AX273">
        <v>1</v>
      </c>
    </row>
    <row r="274" spans="1:50" x14ac:dyDescent="0.3">
      <c r="A274" t="s">
        <v>22</v>
      </c>
      <c r="B274">
        <v>616</v>
      </c>
      <c r="D274">
        <v>2605</v>
      </c>
      <c r="G274" t="s">
        <v>2214</v>
      </c>
      <c r="H274">
        <v>18628799000120</v>
      </c>
      <c r="J274" t="s">
        <v>2215</v>
      </c>
      <c r="K274" t="s">
        <v>2216</v>
      </c>
      <c r="M274" t="s">
        <v>2217</v>
      </c>
      <c r="P274" t="s">
        <v>778</v>
      </c>
      <c r="Q274" t="s">
        <v>1094</v>
      </c>
      <c r="R274" t="s">
        <v>790</v>
      </c>
      <c r="W274" t="s">
        <v>780</v>
      </c>
      <c r="X274" t="s">
        <v>807</v>
      </c>
      <c r="Z274" s="31"/>
      <c r="AC274">
        <v>37</v>
      </c>
      <c r="AD274" t="s">
        <v>22</v>
      </c>
      <c r="AE274" s="31">
        <v>45929</v>
      </c>
      <c r="AF274" s="61">
        <v>0.72835648148148147</v>
      </c>
      <c r="AH274" t="s">
        <v>795</v>
      </c>
      <c r="AI274" s="31">
        <v>45966</v>
      </c>
      <c r="AJ274" s="61">
        <v>0.41305555555555562</v>
      </c>
      <c r="AK274" t="s">
        <v>1226</v>
      </c>
      <c r="AN274" t="s">
        <v>2142</v>
      </c>
      <c r="AO274" t="s">
        <v>22</v>
      </c>
      <c r="AP274" t="s">
        <v>2209</v>
      </c>
      <c r="AR274" s="31"/>
      <c r="AX274">
        <v>1</v>
      </c>
    </row>
    <row r="275" spans="1:50" x14ac:dyDescent="0.3">
      <c r="A275" t="s">
        <v>44</v>
      </c>
      <c r="B275">
        <v>618</v>
      </c>
      <c r="D275">
        <v>2609</v>
      </c>
      <c r="G275" t="s">
        <v>2218</v>
      </c>
      <c r="H275">
        <v>49872306000127</v>
      </c>
      <c r="J275" t="s">
        <v>2219</v>
      </c>
      <c r="K275" t="s">
        <v>2220</v>
      </c>
      <c r="M275" t="s">
        <v>2148</v>
      </c>
      <c r="P275" t="s">
        <v>778</v>
      </c>
      <c r="Q275" t="s">
        <v>2149</v>
      </c>
      <c r="R275" t="s">
        <v>790</v>
      </c>
      <c r="W275" t="s">
        <v>780</v>
      </c>
      <c r="X275" t="s">
        <v>793</v>
      </c>
      <c r="Z275" s="31"/>
      <c r="AA275">
        <v>1600</v>
      </c>
      <c r="AB275">
        <v>2468</v>
      </c>
      <c r="AC275">
        <v>3</v>
      </c>
      <c r="AD275" t="s">
        <v>44</v>
      </c>
      <c r="AE275" s="31">
        <v>45930</v>
      </c>
      <c r="AF275" s="61">
        <v>0.60990740740740745</v>
      </c>
      <c r="AH275" t="s">
        <v>795</v>
      </c>
      <c r="AI275" s="31">
        <v>45933</v>
      </c>
      <c r="AJ275" s="61">
        <v>0.40452546296296299</v>
      </c>
      <c r="AK275" t="s">
        <v>858</v>
      </c>
      <c r="AL275" t="s">
        <v>2150</v>
      </c>
      <c r="AN275" t="s">
        <v>2096</v>
      </c>
      <c r="AP275" t="s">
        <v>2096</v>
      </c>
      <c r="AR275" s="31"/>
      <c r="AX275">
        <v>1</v>
      </c>
    </row>
    <row r="276" spans="1:50" x14ac:dyDescent="0.3">
      <c r="A276" t="s">
        <v>44</v>
      </c>
      <c r="B276">
        <v>619</v>
      </c>
      <c r="D276">
        <v>2614</v>
      </c>
      <c r="G276" t="s">
        <v>2221</v>
      </c>
      <c r="H276">
        <v>1099426000107</v>
      </c>
      <c r="J276" t="s">
        <v>2222</v>
      </c>
      <c r="K276" t="s">
        <v>2177</v>
      </c>
      <c r="M276" t="s">
        <v>2178</v>
      </c>
      <c r="P276" t="s">
        <v>778</v>
      </c>
      <c r="W276" t="s">
        <v>780</v>
      </c>
      <c r="X276" t="s">
        <v>816</v>
      </c>
      <c r="Z276" s="31"/>
      <c r="AA276">
        <v>2527318</v>
      </c>
      <c r="AB276">
        <v>0</v>
      </c>
      <c r="AC276">
        <v>29</v>
      </c>
      <c r="AD276" t="s">
        <v>44</v>
      </c>
      <c r="AE276" s="31">
        <v>45930</v>
      </c>
      <c r="AF276" s="61">
        <v>0.66567129629629629</v>
      </c>
      <c r="AH276" t="s">
        <v>818</v>
      </c>
      <c r="AI276" s="31">
        <v>45959</v>
      </c>
      <c r="AJ276" s="61">
        <v>0.45207175925925919</v>
      </c>
      <c r="AN276" t="s">
        <v>2223</v>
      </c>
      <c r="AR276" s="31"/>
      <c r="AX276">
        <v>1</v>
      </c>
    </row>
    <row r="277" spans="1:50" x14ac:dyDescent="0.3">
      <c r="A277" t="s">
        <v>22</v>
      </c>
      <c r="B277">
        <v>620</v>
      </c>
      <c r="D277">
        <v>2615</v>
      </c>
      <c r="G277" t="s">
        <v>2224</v>
      </c>
      <c r="H277">
        <v>5856090000130</v>
      </c>
      <c r="J277" t="s">
        <v>2225</v>
      </c>
      <c r="M277" t="s">
        <v>2226</v>
      </c>
      <c r="P277" t="s">
        <v>778</v>
      </c>
      <c r="W277" t="s">
        <v>780</v>
      </c>
      <c r="X277" t="s">
        <v>807</v>
      </c>
      <c r="Z277" s="31"/>
      <c r="AC277">
        <v>36</v>
      </c>
      <c r="AD277" t="s">
        <v>22</v>
      </c>
      <c r="AE277" s="31">
        <v>45930</v>
      </c>
      <c r="AF277" s="61">
        <v>0.6699074074074074</v>
      </c>
      <c r="AH277" t="s">
        <v>795</v>
      </c>
      <c r="AI277" s="31">
        <v>45966</v>
      </c>
      <c r="AJ277" s="61">
        <v>0.41229166666666672</v>
      </c>
      <c r="AK277" t="s">
        <v>867</v>
      </c>
      <c r="AN277" t="s">
        <v>2227</v>
      </c>
      <c r="AO277" t="s">
        <v>22</v>
      </c>
      <c r="AP277" t="s">
        <v>2227</v>
      </c>
      <c r="AR277" s="31"/>
      <c r="AX277">
        <v>1</v>
      </c>
    </row>
    <row r="278" spans="1:50" x14ac:dyDescent="0.3">
      <c r="A278" t="s">
        <v>44</v>
      </c>
      <c r="B278">
        <v>621</v>
      </c>
      <c r="D278">
        <v>2616</v>
      </c>
      <c r="G278" t="s">
        <v>2228</v>
      </c>
      <c r="J278" t="s">
        <v>2229</v>
      </c>
      <c r="K278" t="s">
        <v>2230</v>
      </c>
      <c r="M278" t="s">
        <v>2231</v>
      </c>
      <c r="P278" t="s">
        <v>778</v>
      </c>
      <c r="W278" t="s">
        <v>780</v>
      </c>
      <c r="X278" t="s">
        <v>816</v>
      </c>
      <c r="Z278" s="31"/>
      <c r="AA278">
        <v>5406</v>
      </c>
      <c r="AB278">
        <v>0</v>
      </c>
      <c r="AC278">
        <v>0</v>
      </c>
      <c r="AD278" t="s">
        <v>44</v>
      </c>
      <c r="AE278" s="31">
        <v>45930</v>
      </c>
      <c r="AF278" s="61">
        <v>0.68820601851851848</v>
      </c>
      <c r="AH278" t="s">
        <v>818</v>
      </c>
      <c r="AI278" s="31">
        <v>45930</v>
      </c>
      <c r="AJ278" s="61">
        <v>0.68903935185185183</v>
      </c>
      <c r="AN278" t="s">
        <v>2141</v>
      </c>
      <c r="AR278" s="31"/>
      <c r="AX278">
        <v>1</v>
      </c>
    </row>
    <row r="279" spans="1:50" x14ac:dyDescent="0.3">
      <c r="A279" t="s">
        <v>44</v>
      </c>
      <c r="B279">
        <v>622</v>
      </c>
      <c r="D279">
        <v>2617</v>
      </c>
      <c r="G279" t="s">
        <v>2232</v>
      </c>
      <c r="J279" t="s">
        <v>2233</v>
      </c>
      <c r="K279" t="s">
        <v>2234</v>
      </c>
      <c r="M279" t="s">
        <v>2093</v>
      </c>
      <c r="P279" t="s">
        <v>778</v>
      </c>
      <c r="W279" t="s">
        <v>780</v>
      </c>
      <c r="X279" t="s">
        <v>857</v>
      </c>
      <c r="Z279" s="31"/>
      <c r="AA279">
        <v>1600</v>
      </c>
      <c r="AB279">
        <v>2468</v>
      </c>
      <c r="AC279">
        <v>3</v>
      </c>
      <c r="AD279" t="s">
        <v>44</v>
      </c>
      <c r="AE279" s="31">
        <v>45930</v>
      </c>
      <c r="AF279" s="61">
        <v>0.69144675925925925</v>
      </c>
      <c r="AH279" t="s">
        <v>795</v>
      </c>
      <c r="AI279" s="31">
        <v>45933</v>
      </c>
      <c r="AJ279" s="61">
        <v>0.41620370370370369</v>
      </c>
      <c r="AK279" t="s">
        <v>934</v>
      </c>
      <c r="AL279" t="s">
        <v>2095</v>
      </c>
      <c r="AN279" t="s">
        <v>2096</v>
      </c>
      <c r="AP279" t="s">
        <v>2097</v>
      </c>
      <c r="AR279" s="31"/>
      <c r="AX279">
        <v>1</v>
      </c>
    </row>
    <row r="280" spans="1:50" x14ac:dyDescent="0.3">
      <c r="A280" t="s">
        <v>44</v>
      </c>
      <c r="B280">
        <v>623</v>
      </c>
      <c r="D280">
        <v>2618</v>
      </c>
      <c r="G280" t="s">
        <v>2235</v>
      </c>
      <c r="J280" t="s">
        <v>2236</v>
      </c>
      <c r="K280" t="s">
        <v>2234</v>
      </c>
      <c r="M280" t="s">
        <v>2093</v>
      </c>
      <c r="P280" t="s">
        <v>778</v>
      </c>
      <c r="W280" t="s">
        <v>780</v>
      </c>
      <c r="X280" t="s">
        <v>857</v>
      </c>
      <c r="Z280" s="31"/>
      <c r="AA280">
        <v>59360</v>
      </c>
      <c r="AB280">
        <v>27562</v>
      </c>
      <c r="AC280">
        <v>3</v>
      </c>
      <c r="AD280" t="s">
        <v>44</v>
      </c>
      <c r="AE280" s="31">
        <v>45930</v>
      </c>
      <c r="AF280" s="61">
        <v>0.69359953703703703</v>
      </c>
      <c r="AH280" t="s">
        <v>795</v>
      </c>
      <c r="AI280" s="31">
        <v>45933</v>
      </c>
      <c r="AJ280" s="61">
        <v>0.41586805555555562</v>
      </c>
      <c r="AK280" t="s">
        <v>934</v>
      </c>
      <c r="AL280" t="s">
        <v>2095</v>
      </c>
      <c r="AN280" t="s">
        <v>2096</v>
      </c>
      <c r="AP280" t="s">
        <v>2097</v>
      </c>
      <c r="AR280" s="31"/>
      <c r="AX280">
        <v>1</v>
      </c>
    </row>
    <row r="281" spans="1:50" x14ac:dyDescent="0.3">
      <c r="A281" t="s">
        <v>22</v>
      </c>
      <c r="B281">
        <v>624</v>
      </c>
      <c r="D281">
        <v>2619</v>
      </c>
      <c r="G281" t="s">
        <v>2237</v>
      </c>
      <c r="J281" t="s">
        <v>2238</v>
      </c>
      <c r="K281" t="s">
        <v>2239</v>
      </c>
      <c r="M281" t="s">
        <v>1111</v>
      </c>
      <c r="P281" t="s">
        <v>778</v>
      </c>
      <c r="W281" t="s">
        <v>780</v>
      </c>
      <c r="X281" t="s">
        <v>807</v>
      </c>
      <c r="Z281" s="31"/>
      <c r="AC281">
        <v>36</v>
      </c>
      <c r="AD281" t="s">
        <v>22</v>
      </c>
      <c r="AE281" s="31">
        <v>45930</v>
      </c>
      <c r="AF281" s="61">
        <v>0.7330902777777778</v>
      </c>
      <c r="AH281" t="s">
        <v>795</v>
      </c>
      <c r="AI281" s="31">
        <v>45966</v>
      </c>
      <c r="AJ281" s="61">
        <v>0.41091435185185188</v>
      </c>
      <c r="AK281" t="s">
        <v>796</v>
      </c>
      <c r="AN281" t="s">
        <v>2227</v>
      </c>
      <c r="AO281" t="s">
        <v>22</v>
      </c>
      <c r="AP281" t="s">
        <v>2227</v>
      </c>
      <c r="AR281" s="31"/>
      <c r="AX281">
        <v>1</v>
      </c>
    </row>
    <row r="282" spans="1:50" x14ac:dyDescent="0.3">
      <c r="A282" t="s">
        <v>44</v>
      </c>
      <c r="B282">
        <v>628</v>
      </c>
      <c r="D282">
        <v>2622</v>
      </c>
      <c r="G282" t="s">
        <v>2240</v>
      </c>
      <c r="J282" t="s">
        <v>2241</v>
      </c>
      <c r="K282" t="s">
        <v>2242</v>
      </c>
      <c r="M282" t="s">
        <v>2243</v>
      </c>
      <c r="P282" t="s">
        <v>778</v>
      </c>
      <c r="Q282" t="s">
        <v>2244</v>
      </c>
      <c r="S282" t="s">
        <v>814</v>
      </c>
      <c r="V282" t="s">
        <v>1186</v>
      </c>
      <c r="W282" t="s">
        <v>780</v>
      </c>
      <c r="X282" t="s">
        <v>897</v>
      </c>
      <c r="Z282" s="31"/>
      <c r="AC282">
        <v>4</v>
      </c>
      <c r="AD282" t="s">
        <v>22</v>
      </c>
      <c r="AE282" s="31">
        <v>45933</v>
      </c>
      <c r="AF282" s="61">
        <v>0.46578703703703711</v>
      </c>
      <c r="AH282" t="s">
        <v>795</v>
      </c>
      <c r="AI282" s="31">
        <v>45937</v>
      </c>
      <c r="AJ282" s="61">
        <v>0.39880787037037041</v>
      </c>
      <c r="AK282" t="s">
        <v>1358</v>
      </c>
      <c r="AL282" t="s">
        <v>2245</v>
      </c>
      <c r="AO282" t="s">
        <v>44</v>
      </c>
      <c r="AR282" s="31"/>
      <c r="AX282">
        <v>1</v>
      </c>
    </row>
    <row r="283" spans="1:50" x14ac:dyDescent="0.3">
      <c r="A283" t="s">
        <v>44</v>
      </c>
      <c r="B283">
        <v>634</v>
      </c>
      <c r="D283">
        <v>2631</v>
      </c>
      <c r="F283" t="s">
        <v>2246</v>
      </c>
      <c r="G283" t="s">
        <v>2247</v>
      </c>
      <c r="H283">
        <v>43400571000126</v>
      </c>
      <c r="J283" t="s">
        <v>2246</v>
      </c>
      <c r="K283" t="s">
        <v>2248</v>
      </c>
      <c r="M283" t="s">
        <v>2249</v>
      </c>
      <c r="P283" t="s">
        <v>778</v>
      </c>
      <c r="Q283" t="s">
        <v>2250</v>
      </c>
      <c r="R283" t="s">
        <v>790</v>
      </c>
      <c r="S283" t="s">
        <v>805</v>
      </c>
      <c r="W283" t="s">
        <v>780</v>
      </c>
      <c r="X283" t="s">
        <v>793</v>
      </c>
      <c r="Z283" s="31"/>
      <c r="AA283">
        <v>7021439</v>
      </c>
      <c r="AB283">
        <v>417338</v>
      </c>
      <c r="AC283">
        <v>20</v>
      </c>
      <c r="AD283" t="s">
        <v>44</v>
      </c>
      <c r="AE283" s="31">
        <v>45939</v>
      </c>
      <c r="AF283" s="61">
        <v>0.65773148148148153</v>
      </c>
      <c r="AH283" t="s">
        <v>795</v>
      </c>
      <c r="AI283" s="31">
        <v>45959</v>
      </c>
      <c r="AJ283" s="61">
        <v>0.4332523148148148</v>
      </c>
      <c r="AK283" t="s">
        <v>796</v>
      </c>
      <c r="AL283" t="s">
        <v>797</v>
      </c>
      <c r="AN283" t="s">
        <v>2251</v>
      </c>
      <c r="AP283" t="s">
        <v>2251</v>
      </c>
      <c r="AR283" s="31"/>
      <c r="AX283">
        <v>1</v>
      </c>
    </row>
    <row r="284" spans="1:50" x14ac:dyDescent="0.3">
      <c r="A284" t="s">
        <v>44</v>
      </c>
      <c r="B284">
        <v>638</v>
      </c>
      <c r="D284">
        <v>2640</v>
      </c>
      <c r="G284" t="s">
        <v>2252</v>
      </c>
      <c r="J284" t="s">
        <v>2253</v>
      </c>
      <c r="K284" t="s">
        <v>2254</v>
      </c>
      <c r="M284" t="s">
        <v>1111</v>
      </c>
      <c r="P284" t="s">
        <v>778</v>
      </c>
      <c r="W284" t="s">
        <v>780</v>
      </c>
      <c r="X284" t="s">
        <v>807</v>
      </c>
      <c r="Z284" s="31"/>
      <c r="AC284">
        <v>62</v>
      </c>
      <c r="AD284" t="s">
        <v>44</v>
      </c>
      <c r="AE284" s="31">
        <v>45940</v>
      </c>
      <c r="AF284" s="61">
        <v>0.64271990740740736</v>
      </c>
      <c r="AH284" t="s">
        <v>795</v>
      </c>
      <c r="AI284" s="31">
        <v>46002</v>
      </c>
      <c r="AJ284" s="61">
        <v>0.64072916666666668</v>
      </c>
      <c r="AK284" t="s">
        <v>796</v>
      </c>
      <c r="AP284" t="s">
        <v>2251</v>
      </c>
      <c r="AR284" s="31"/>
      <c r="AX284">
        <v>1</v>
      </c>
    </row>
    <row r="285" spans="1:50" x14ac:dyDescent="0.3">
      <c r="A285" t="s">
        <v>22</v>
      </c>
      <c r="B285">
        <v>639</v>
      </c>
      <c r="D285">
        <v>2644</v>
      </c>
      <c r="G285" t="s">
        <v>2255</v>
      </c>
      <c r="J285" t="s">
        <v>2256</v>
      </c>
      <c r="K285" t="s">
        <v>2257</v>
      </c>
      <c r="M285" t="s">
        <v>1111</v>
      </c>
      <c r="P285" t="s">
        <v>778</v>
      </c>
      <c r="W285" t="s">
        <v>780</v>
      </c>
      <c r="X285" t="s">
        <v>807</v>
      </c>
      <c r="Z285" s="31"/>
      <c r="AC285">
        <v>33</v>
      </c>
      <c r="AD285" t="s">
        <v>22</v>
      </c>
      <c r="AE285" s="31">
        <v>45945</v>
      </c>
      <c r="AF285" s="61">
        <v>0.73146990740740736</v>
      </c>
      <c r="AH285" t="s">
        <v>795</v>
      </c>
      <c r="AI285" s="31">
        <v>45978</v>
      </c>
      <c r="AJ285" s="61">
        <v>0.64398148148148149</v>
      </c>
      <c r="AK285" t="s">
        <v>934</v>
      </c>
      <c r="AN285" t="s">
        <v>2258</v>
      </c>
      <c r="AO285" t="s">
        <v>22</v>
      </c>
      <c r="AP285" t="s">
        <v>2258</v>
      </c>
      <c r="AR285" s="31"/>
      <c r="AX285">
        <v>1</v>
      </c>
    </row>
    <row r="286" spans="1:50" x14ac:dyDescent="0.3">
      <c r="A286" t="s">
        <v>44</v>
      </c>
      <c r="B286">
        <v>640</v>
      </c>
      <c r="D286">
        <v>2646</v>
      </c>
      <c r="G286" t="s">
        <v>2259</v>
      </c>
      <c r="J286" t="s">
        <v>2260</v>
      </c>
      <c r="K286" t="s">
        <v>2261</v>
      </c>
      <c r="M286" t="s">
        <v>2262</v>
      </c>
      <c r="P286" t="s">
        <v>778</v>
      </c>
      <c r="W286" t="s">
        <v>780</v>
      </c>
      <c r="X286" t="s">
        <v>816</v>
      </c>
      <c r="Z286" s="31"/>
      <c r="AA286">
        <v>1380825</v>
      </c>
      <c r="AB286">
        <v>0</v>
      </c>
      <c r="AC286">
        <v>0</v>
      </c>
      <c r="AD286" t="s">
        <v>44</v>
      </c>
      <c r="AE286" s="31">
        <v>45946</v>
      </c>
      <c r="AF286" s="61">
        <v>0.61724537037037042</v>
      </c>
      <c r="AH286" t="s">
        <v>818</v>
      </c>
      <c r="AI286" s="31">
        <v>45946</v>
      </c>
      <c r="AJ286" s="61">
        <v>0.61929398148148151</v>
      </c>
      <c r="AN286" t="s">
        <v>2263</v>
      </c>
      <c r="AR286" s="31"/>
      <c r="AX286">
        <v>1</v>
      </c>
    </row>
    <row r="287" spans="1:50" x14ac:dyDescent="0.3">
      <c r="A287" t="s">
        <v>44</v>
      </c>
      <c r="B287">
        <v>641</v>
      </c>
      <c r="D287">
        <v>2647</v>
      </c>
      <c r="G287" t="s">
        <v>2264</v>
      </c>
      <c r="J287" t="s">
        <v>2265</v>
      </c>
      <c r="K287" t="s">
        <v>2266</v>
      </c>
      <c r="M287" t="s">
        <v>2249</v>
      </c>
      <c r="P287" t="s">
        <v>778</v>
      </c>
      <c r="W287" t="s">
        <v>780</v>
      </c>
      <c r="X287" t="s">
        <v>793</v>
      </c>
      <c r="Z287" s="31"/>
      <c r="AA287">
        <v>1600</v>
      </c>
      <c r="AB287">
        <v>3695</v>
      </c>
      <c r="AC287">
        <v>13</v>
      </c>
      <c r="AD287" t="s">
        <v>44</v>
      </c>
      <c r="AE287" s="31">
        <v>45946</v>
      </c>
      <c r="AF287" s="61">
        <v>0.69593749999999999</v>
      </c>
      <c r="AH287" t="s">
        <v>795</v>
      </c>
      <c r="AI287" s="31">
        <v>45959</v>
      </c>
      <c r="AJ287" s="61">
        <v>0.43424768518518519</v>
      </c>
      <c r="AK287" t="s">
        <v>796</v>
      </c>
      <c r="AL287" t="s">
        <v>2267</v>
      </c>
      <c r="AN287" t="s">
        <v>2251</v>
      </c>
      <c r="AP287" t="s">
        <v>2251</v>
      </c>
      <c r="AR287" s="31"/>
      <c r="AX287">
        <v>1</v>
      </c>
    </row>
    <row r="288" spans="1:50" x14ac:dyDescent="0.3">
      <c r="A288" t="s">
        <v>44</v>
      </c>
      <c r="B288">
        <v>642</v>
      </c>
      <c r="D288">
        <v>2648</v>
      </c>
      <c r="E288" t="s">
        <v>2196</v>
      </c>
      <c r="G288" t="s">
        <v>2268</v>
      </c>
      <c r="J288" t="s">
        <v>2269</v>
      </c>
      <c r="K288" t="s">
        <v>2199</v>
      </c>
      <c r="M288" t="s">
        <v>2200</v>
      </c>
      <c r="P288" t="s">
        <v>778</v>
      </c>
      <c r="V288" t="s">
        <v>1419</v>
      </c>
      <c r="W288" t="s">
        <v>780</v>
      </c>
      <c r="X288" t="s">
        <v>807</v>
      </c>
      <c r="Z288" s="31">
        <v>46081</v>
      </c>
      <c r="AA288">
        <v>1600</v>
      </c>
      <c r="AB288">
        <v>335607</v>
      </c>
      <c r="AC288">
        <v>125</v>
      </c>
      <c r="AD288" t="s">
        <v>44</v>
      </c>
      <c r="AE288" s="31">
        <v>45947</v>
      </c>
      <c r="AF288" s="61">
        <v>0.40686342592592589</v>
      </c>
      <c r="AH288" t="s">
        <v>782</v>
      </c>
      <c r="AI288" s="31"/>
      <c r="AJ288" s="61"/>
      <c r="AN288" t="s">
        <v>2203</v>
      </c>
      <c r="AO288" t="s">
        <v>44</v>
      </c>
      <c r="AP288" t="s">
        <v>2202</v>
      </c>
      <c r="AR288" s="31">
        <v>46049</v>
      </c>
      <c r="AS288" t="s">
        <v>1423</v>
      </c>
      <c r="AX288">
        <v>1</v>
      </c>
    </row>
    <row r="289" spans="1:50" x14ac:dyDescent="0.3">
      <c r="A289" t="s">
        <v>44</v>
      </c>
      <c r="B289">
        <v>643</v>
      </c>
      <c r="D289">
        <v>2649</v>
      </c>
      <c r="E289" t="s">
        <v>2270</v>
      </c>
      <c r="G289" t="s">
        <v>2271</v>
      </c>
      <c r="H289">
        <v>43028557000143</v>
      </c>
      <c r="J289" t="s">
        <v>2272</v>
      </c>
      <c r="K289" t="s">
        <v>2261</v>
      </c>
      <c r="M289" t="s">
        <v>2262</v>
      </c>
      <c r="P289" t="s">
        <v>778</v>
      </c>
      <c r="V289" t="s">
        <v>1581</v>
      </c>
      <c r="W289" t="s">
        <v>780</v>
      </c>
      <c r="X289" t="s">
        <v>816</v>
      </c>
      <c r="Z289" s="31">
        <v>45989</v>
      </c>
      <c r="AA289">
        <v>0</v>
      </c>
      <c r="AB289">
        <v>3564</v>
      </c>
      <c r="AC289">
        <v>39</v>
      </c>
      <c r="AD289" t="s">
        <v>44</v>
      </c>
      <c r="AE289" s="31">
        <v>45947</v>
      </c>
      <c r="AF289" s="61">
        <v>0.4088310185185185</v>
      </c>
      <c r="AH289" t="s">
        <v>782</v>
      </c>
      <c r="AI289" s="31">
        <v>45986</v>
      </c>
      <c r="AJ289" s="61">
        <v>0.64263888888888887</v>
      </c>
      <c r="AL289" t="s">
        <v>1058</v>
      </c>
      <c r="AN289" t="s">
        <v>2273</v>
      </c>
      <c r="AO289" t="s">
        <v>44</v>
      </c>
      <c r="AP289" t="s">
        <v>2274</v>
      </c>
      <c r="AR289" s="31">
        <v>46003</v>
      </c>
      <c r="AS289" t="s">
        <v>1012</v>
      </c>
      <c r="AX289">
        <v>1</v>
      </c>
    </row>
    <row r="290" spans="1:50" x14ac:dyDescent="0.3">
      <c r="A290" t="s">
        <v>44</v>
      </c>
      <c r="B290">
        <v>644</v>
      </c>
      <c r="D290">
        <v>2650</v>
      </c>
      <c r="E290" t="s">
        <v>2275</v>
      </c>
      <c r="G290" t="s">
        <v>2276</v>
      </c>
      <c r="H290">
        <v>62499934000177</v>
      </c>
      <c r="J290" t="s">
        <v>2277</v>
      </c>
      <c r="K290" t="s">
        <v>2278</v>
      </c>
      <c r="M290" t="s">
        <v>2279</v>
      </c>
      <c r="P290" t="s">
        <v>778</v>
      </c>
      <c r="Q290" t="s">
        <v>2280</v>
      </c>
      <c r="R290" t="s">
        <v>790</v>
      </c>
      <c r="V290" t="s">
        <v>1581</v>
      </c>
      <c r="W290" t="s">
        <v>780</v>
      </c>
      <c r="X290" t="s">
        <v>807</v>
      </c>
      <c r="Z290" s="31">
        <v>46081</v>
      </c>
      <c r="AA290">
        <v>118908</v>
      </c>
      <c r="AB290">
        <v>1304844</v>
      </c>
      <c r="AC290">
        <v>117</v>
      </c>
      <c r="AD290" t="s">
        <v>44</v>
      </c>
      <c r="AE290" s="31">
        <v>45947</v>
      </c>
      <c r="AF290" s="61">
        <v>0.42344907407407412</v>
      </c>
      <c r="AH290" t="s">
        <v>795</v>
      </c>
      <c r="AI290" s="31">
        <v>46064</v>
      </c>
      <c r="AJ290" s="61">
        <v>0.7311805555555555</v>
      </c>
      <c r="AK290" t="s">
        <v>974</v>
      </c>
      <c r="AL290" t="s">
        <v>2281</v>
      </c>
      <c r="AN290" t="s">
        <v>2282</v>
      </c>
      <c r="AO290" t="s">
        <v>44</v>
      </c>
      <c r="AP290" t="s">
        <v>2274</v>
      </c>
      <c r="AQ290" t="s">
        <v>2283</v>
      </c>
      <c r="AR290" s="31">
        <v>46056</v>
      </c>
      <c r="AS290" t="s">
        <v>1012</v>
      </c>
      <c r="AX290">
        <v>1</v>
      </c>
    </row>
    <row r="291" spans="1:50" x14ac:dyDescent="0.3">
      <c r="A291" t="s">
        <v>44</v>
      </c>
      <c r="B291">
        <v>645</v>
      </c>
      <c r="D291">
        <v>2654</v>
      </c>
      <c r="E291" t="s">
        <v>2275</v>
      </c>
      <c r="G291" t="s">
        <v>2284</v>
      </c>
      <c r="H291">
        <v>62499934000177</v>
      </c>
      <c r="J291" t="s">
        <v>2285</v>
      </c>
      <c r="K291" t="s">
        <v>2278</v>
      </c>
      <c r="M291" t="s">
        <v>2279</v>
      </c>
      <c r="P291" t="s">
        <v>778</v>
      </c>
      <c r="Q291" t="s">
        <v>2280</v>
      </c>
      <c r="R291" t="s">
        <v>790</v>
      </c>
      <c r="V291" t="s">
        <v>1581</v>
      </c>
      <c r="W291" t="s">
        <v>780</v>
      </c>
      <c r="X291" t="s">
        <v>807</v>
      </c>
      <c r="Z291" s="31">
        <v>46081</v>
      </c>
      <c r="AA291">
        <v>1600</v>
      </c>
      <c r="AB291">
        <v>68466</v>
      </c>
      <c r="AC291">
        <v>117</v>
      </c>
      <c r="AD291" t="s">
        <v>44</v>
      </c>
      <c r="AE291" s="31">
        <v>45947</v>
      </c>
      <c r="AF291" s="61">
        <v>0.42556712962962961</v>
      </c>
      <c r="AH291" t="s">
        <v>795</v>
      </c>
      <c r="AI291" s="31">
        <v>46064</v>
      </c>
      <c r="AJ291" s="61">
        <v>0.73228009259259264</v>
      </c>
      <c r="AK291" t="s">
        <v>974</v>
      </c>
      <c r="AL291" t="s">
        <v>2281</v>
      </c>
      <c r="AN291" t="s">
        <v>2286</v>
      </c>
      <c r="AO291" t="s">
        <v>44</v>
      </c>
      <c r="AP291" t="s">
        <v>2286</v>
      </c>
      <c r="AR291" s="31">
        <v>46056</v>
      </c>
      <c r="AS291" t="s">
        <v>1012</v>
      </c>
      <c r="AX291">
        <v>1</v>
      </c>
    </row>
    <row r="292" spans="1:50" x14ac:dyDescent="0.3">
      <c r="A292" t="s">
        <v>44</v>
      </c>
      <c r="B292">
        <v>656</v>
      </c>
      <c r="D292">
        <v>2261</v>
      </c>
      <c r="F292" t="s">
        <v>2287</v>
      </c>
      <c r="G292" t="s">
        <v>2288</v>
      </c>
      <c r="H292">
        <v>37905383000157</v>
      </c>
      <c r="J292" t="s">
        <v>2287</v>
      </c>
      <c r="K292" t="s">
        <v>2289</v>
      </c>
      <c r="M292" t="s">
        <v>2290</v>
      </c>
      <c r="P292" t="s">
        <v>778</v>
      </c>
      <c r="Q292" t="s">
        <v>1094</v>
      </c>
      <c r="R292" t="s">
        <v>790</v>
      </c>
      <c r="S292" t="s">
        <v>805</v>
      </c>
      <c r="W292" t="s">
        <v>780</v>
      </c>
      <c r="X292" t="s">
        <v>857</v>
      </c>
      <c r="Z292" s="31"/>
      <c r="AC292">
        <v>34</v>
      </c>
      <c r="AD292" t="s">
        <v>44</v>
      </c>
      <c r="AE292" s="31">
        <v>45952</v>
      </c>
      <c r="AF292" s="61">
        <v>0.71155092592592595</v>
      </c>
      <c r="AH292" t="s">
        <v>795</v>
      </c>
      <c r="AI292" s="31">
        <v>45986</v>
      </c>
      <c r="AJ292" s="61">
        <v>0.70568287037037036</v>
      </c>
      <c r="AK292" t="s">
        <v>858</v>
      </c>
      <c r="AR292" s="31"/>
      <c r="AX292">
        <v>1</v>
      </c>
    </row>
    <row r="293" spans="1:50" x14ac:dyDescent="0.3">
      <c r="A293" t="s">
        <v>44</v>
      </c>
      <c r="B293">
        <v>657</v>
      </c>
      <c r="D293">
        <v>2659</v>
      </c>
      <c r="G293" t="s">
        <v>2291</v>
      </c>
      <c r="J293" t="s">
        <v>2292</v>
      </c>
      <c r="K293" t="s">
        <v>2293</v>
      </c>
      <c r="M293" t="s">
        <v>2294</v>
      </c>
      <c r="P293" t="s">
        <v>778</v>
      </c>
      <c r="Q293" t="s">
        <v>2295</v>
      </c>
      <c r="S293" t="s">
        <v>814</v>
      </c>
      <c r="V293" t="s">
        <v>1186</v>
      </c>
      <c r="W293" t="s">
        <v>780</v>
      </c>
      <c r="X293" t="s">
        <v>857</v>
      </c>
      <c r="Z293" s="31"/>
      <c r="AA293">
        <v>38380</v>
      </c>
      <c r="AB293">
        <v>107526</v>
      </c>
      <c r="AC293">
        <v>32</v>
      </c>
      <c r="AD293" t="s">
        <v>22</v>
      </c>
      <c r="AE293" s="31">
        <v>45953</v>
      </c>
      <c r="AF293" s="61">
        <v>0.63064814814814818</v>
      </c>
      <c r="AH293" t="s">
        <v>795</v>
      </c>
      <c r="AI293" s="31">
        <v>45985</v>
      </c>
      <c r="AJ293" s="61">
        <v>0.70120370370370366</v>
      </c>
      <c r="AK293" t="s">
        <v>867</v>
      </c>
      <c r="AL293" t="s">
        <v>2296</v>
      </c>
      <c r="AN293" t="s">
        <v>2203</v>
      </c>
      <c r="AO293" t="s">
        <v>44</v>
      </c>
      <c r="AP293" t="s">
        <v>2297</v>
      </c>
      <c r="AR293" s="31"/>
      <c r="AX293">
        <v>1</v>
      </c>
    </row>
    <row r="294" spans="1:50" x14ac:dyDescent="0.3">
      <c r="A294" t="s">
        <v>44</v>
      </c>
      <c r="B294">
        <v>659</v>
      </c>
      <c r="D294">
        <v>2680</v>
      </c>
      <c r="G294" t="s">
        <v>2298</v>
      </c>
      <c r="J294" t="s">
        <v>2299</v>
      </c>
      <c r="K294" t="s">
        <v>2300</v>
      </c>
      <c r="M294" t="s">
        <v>2301</v>
      </c>
      <c r="P294" t="s">
        <v>778</v>
      </c>
      <c r="Q294" t="s">
        <v>923</v>
      </c>
      <c r="S294" t="s">
        <v>814</v>
      </c>
      <c r="V294" t="s">
        <v>1186</v>
      </c>
      <c r="W294" t="s">
        <v>780</v>
      </c>
      <c r="X294" t="s">
        <v>897</v>
      </c>
      <c r="Z294" s="31"/>
      <c r="AC294">
        <v>9</v>
      </c>
      <c r="AD294" t="s">
        <v>22</v>
      </c>
      <c r="AE294" s="31">
        <v>45957</v>
      </c>
      <c r="AF294" s="61">
        <v>0.65108796296296301</v>
      </c>
      <c r="AH294" t="s">
        <v>795</v>
      </c>
      <c r="AI294" s="31">
        <v>45966</v>
      </c>
      <c r="AJ294" s="61">
        <v>0.38394675925925931</v>
      </c>
      <c r="AK294" t="s">
        <v>1358</v>
      </c>
      <c r="AL294" t="s">
        <v>2302</v>
      </c>
      <c r="AO294" t="s">
        <v>44</v>
      </c>
      <c r="AR294" s="31"/>
      <c r="AX294">
        <v>1</v>
      </c>
    </row>
    <row r="295" spans="1:50" x14ac:dyDescent="0.3">
      <c r="A295" t="s">
        <v>44</v>
      </c>
      <c r="B295">
        <v>662</v>
      </c>
      <c r="D295">
        <v>2684</v>
      </c>
      <c r="E295" t="s">
        <v>2303</v>
      </c>
      <c r="F295" t="s">
        <v>2304</v>
      </c>
      <c r="G295" t="s">
        <v>2305</v>
      </c>
      <c r="H295">
        <v>44628219000105</v>
      </c>
      <c r="J295" t="s">
        <v>2304</v>
      </c>
      <c r="K295" t="s">
        <v>2306</v>
      </c>
      <c r="M295" t="s">
        <v>2307</v>
      </c>
      <c r="P295" t="s">
        <v>778</v>
      </c>
      <c r="Q295" t="s">
        <v>2308</v>
      </c>
      <c r="R295" t="s">
        <v>932</v>
      </c>
      <c r="S295" t="s">
        <v>805</v>
      </c>
      <c r="V295" t="s">
        <v>1718</v>
      </c>
      <c r="W295" t="s">
        <v>780</v>
      </c>
      <c r="X295" t="s">
        <v>807</v>
      </c>
      <c r="Z295" s="31">
        <v>46052</v>
      </c>
      <c r="AA295">
        <v>38380</v>
      </c>
      <c r="AB295">
        <v>107526</v>
      </c>
      <c r="AC295">
        <v>80</v>
      </c>
      <c r="AD295" t="s">
        <v>44</v>
      </c>
      <c r="AE295" s="31">
        <v>45958</v>
      </c>
      <c r="AF295" s="61">
        <v>0.42758101851851849</v>
      </c>
      <c r="AH295" t="s">
        <v>795</v>
      </c>
      <c r="AI295" s="31">
        <v>46038</v>
      </c>
      <c r="AJ295" s="61">
        <v>0.66612268518518514</v>
      </c>
      <c r="AK295" t="s">
        <v>934</v>
      </c>
      <c r="AL295" t="s">
        <v>2303</v>
      </c>
      <c r="AN295" t="s">
        <v>2309</v>
      </c>
      <c r="AP295" t="s">
        <v>2203</v>
      </c>
      <c r="AR295" s="31">
        <v>46038</v>
      </c>
      <c r="AX295">
        <v>1</v>
      </c>
    </row>
    <row r="296" spans="1:50" x14ac:dyDescent="0.3">
      <c r="A296" t="s">
        <v>44</v>
      </c>
      <c r="B296">
        <v>665</v>
      </c>
      <c r="D296">
        <v>2692</v>
      </c>
      <c r="E296" t="s">
        <v>2303</v>
      </c>
      <c r="G296" t="s">
        <v>2310</v>
      </c>
      <c r="J296" t="s">
        <v>2311</v>
      </c>
      <c r="K296" t="s">
        <v>2312</v>
      </c>
      <c r="M296" t="s">
        <v>2307</v>
      </c>
      <c r="P296" t="s">
        <v>778</v>
      </c>
      <c r="V296" t="s">
        <v>1718</v>
      </c>
      <c r="W296" t="s">
        <v>780</v>
      </c>
      <c r="X296" t="s">
        <v>807</v>
      </c>
      <c r="Z296" s="31">
        <v>46052</v>
      </c>
      <c r="AA296">
        <v>1600</v>
      </c>
      <c r="AB296">
        <v>2174</v>
      </c>
      <c r="AC296">
        <v>79</v>
      </c>
      <c r="AD296" t="s">
        <v>44</v>
      </c>
      <c r="AE296" s="31">
        <v>45959</v>
      </c>
      <c r="AF296" s="61">
        <v>0.70923611111111107</v>
      </c>
      <c r="AH296" t="s">
        <v>795</v>
      </c>
      <c r="AI296" s="31">
        <v>46038</v>
      </c>
      <c r="AJ296" s="61">
        <v>0.66703703703703698</v>
      </c>
      <c r="AK296" t="s">
        <v>934</v>
      </c>
      <c r="AL296" t="s">
        <v>2303</v>
      </c>
      <c r="AN296" t="s">
        <v>2309</v>
      </c>
      <c r="AP296" t="s">
        <v>2203</v>
      </c>
      <c r="AR296" s="31">
        <v>46038</v>
      </c>
      <c r="AX296">
        <v>1</v>
      </c>
    </row>
    <row r="297" spans="1:50" x14ac:dyDescent="0.3">
      <c r="A297" t="s">
        <v>44</v>
      </c>
      <c r="B297">
        <v>667</v>
      </c>
      <c r="D297">
        <v>2698</v>
      </c>
      <c r="G297" t="s">
        <v>2313</v>
      </c>
      <c r="J297" t="s">
        <v>2314</v>
      </c>
      <c r="K297" t="s">
        <v>2315</v>
      </c>
      <c r="M297" t="s">
        <v>2294</v>
      </c>
      <c r="P297" t="s">
        <v>778</v>
      </c>
      <c r="W297" t="s">
        <v>780</v>
      </c>
      <c r="X297" t="s">
        <v>857</v>
      </c>
      <c r="Z297" s="31"/>
      <c r="AA297">
        <v>1600</v>
      </c>
      <c r="AB297">
        <v>21746</v>
      </c>
      <c r="AC297">
        <v>25</v>
      </c>
      <c r="AD297" t="s">
        <v>44</v>
      </c>
      <c r="AE297" s="31">
        <v>45960</v>
      </c>
      <c r="AF297" s="61">
        <v>0.45494212962962971</v>
      </c>
      <c r="AH297" t="s">
        <v>795</v>
      </c>
      <c r="AI297" s="31">
        <v>45985</v>
      </c>
      <c r="AJ297" s="61">
        <v>0.70178240740740738</v>
      </c>
      <c r="AK297" t="s">
        <v>867</v>
      </c>
      <c r="AL297" t="s">
        <v>2296</v>
      </c>
      <c r="AN297" t="s">
        <v>2203</v>
      </c>
      <c r="AP297" t="s">
        <v>2297</v>
      </c>
      <c r="AR297" s="31"/>
      <c r="AX297">
        <v>1</v>
      </c>
    </row>
    <row r="298" spans="1:50" x14ac:dyDescent="0.3">
      <c r="A298" t="s">
        <v>44</v>
      </c>
      <c r="B298">
        <v>669</v>
      </c>
      <c r="D298">
        <v>2718</v>
      </c>
      <c r="G298" t="s">
        <v>2316</v>
      </c>
      <c r="J298" t="s">
        <v>2317</v>
      </c>
      <c r="K298" t="s">
        <v>2318</v>
      </c>
      <c r="M298" t="s">
        <v>1111</v>
      </c>
      <c r="P298" t="s">
        <v>778</v>
      </c>
      <c r="W298" t="s">
        <v>780</v>
      </c>
      <c r="X298" t="s">
        <v>793</v>
      </c>
      <c r="Z298" s="31"/>
      <c r="AA298">
        <v>0</v>
      </c>
      <c r="AB298">
        <v>2185</v>
      </c>
      <c r="AC298">
        <v>26</v>
      </c>
      <c r="AD298" t="s">
        <v>44</v>
      </c>
      <c r="AE298" s="31">
        <v>45961</v>
      </c>
      <c r="AF298" s="61">
        <v>0.4906712962962963</v>
      </c>
      <c r="AH298" t="s">
        <v>795</v>
      </c>
      <c r="AI298" s="31">
        <v>45987</v>
      </c>
      <c r="AJ298" s="61">
        <v>0.5857175925925926</v>
      </c>
      <c r="AK298" t="s">
        <v>796</v>
      </c>
      <c r="AL298" t="s">
        <v>2319</v>
      </c>
      <c r="AN298" t="s">
        <v>2282</v>
      </c>
      <c r="AP298" t="s">
        <v>2282</v>
      </c>
      <c r="AR298" s="31"/>
      <c r="AX298">
        <v>1</v>
      </c>
    </row>
    <row r="299" spans="1:50" x14ac:dyDescent="0.3">
      <c r="A299" t="s">
        <v>31</v>
      </c>
      <c r="B299">
        <v>672</v>
      </c>
      <c r="D299">
        <v>2729</v>
      </c>
      <c r="E299" t="s">
        <v>2320</v>
      </c>
      <c r="G299" t="s">
        <v>2321</v>
      </c>
      <c r="J299" t="s">
        <v>2322</v>
      </c>
      <c r="K299" t="s">
        <v>2323</v>
      </c>
      <c r="M299" t="s">
        <v>1111</v>
      </c>
      <c r="P299" t="s">
        <v>778</v>
      </c>
      <c r="S299" t="s">
        <v>933</v>
      </c>
      <c r="V299" t="s">
        <v>1419</v>
      </c>
      <c r="W299" t="s">
        <v>780</v>
      </c>
      <c r="X299" t="s">
        <v>807</v>
      </c>
      <c r="Z299" s="31">
        <v>46112</v>
      </c>
      <c r="AA299">
        <v>46200</v>
      </c>
      <c r="AB299">
        <v>146047</v>
      </c>
      <c r="AC299">
        <v>108</v>
      </c>
      <c r="AD299" t="s">
        <v>31</v>
      </c>
      <c r="AE299" s="31">
        <v>45964</v>
      </c>
      <c r="AF299" s="61">
        <v>0.65491898148148153</v>
      </c>
      <c r="AH299" t="s">
        <v>782</v>
      </c>
      <c r="AI299" s="31"/>
      <c r="AJ299" s="61"/>
      <c r="AN299" t="s">
        <v>2324</v>
      </c>
      <c r="AO299" t="s">
        <v>31</v>
      </c>
      <c r="AP299" t="s">
        <v>2325</v>
      </c>
      <c r="AQ299" t="s">
        <v>2326</v>
      </c>
      <c r="AR299" s="31">
        <v>46058</v>
      </c>
      <c r="AS299" t="s">
        <v>1423</v>
      </c>
      <c r="AX299">
        <v>1</v>
      </c>
    </row>
    <row r="300" spans="1:50" x14ac:dyDescent="0.3">
      <c r="A300" t="s">
        <v>22</v>
      </c>
      <c r="B300">
        <v>673</v>
      </c>
      <c r="D300">
        <v>2730</v>
      </c>
      <c r="E300" t="s">
        <v>2327</v>
      </c>
      <c r="G300" t="s">
        <v>2328</v>
      </c>
      <c r="H300">
        <v>22949063000121</v>
      </c>
      <c r="J300" t="s">
        <v>2329</v>
      </c>
      <c r="K300" t="s">
        <v>2330</v>
      </c>
      <c r="M300" t="s">
        <v>2331</v>
      </c>
      <c r="P300" t="s">
        <v>778</v>
      </c>
      <c r="Q300" t="s">
        <v>1094</v>
      </c>
      <c r="R300" t="s">
        <v>790</v>
      </c>
      <c r="S300" t="s">
        <v>791</v>
      </c>
      <c r="V300" t="s">
        <v>1718</v>
      </c>
      <c r="W300" t="s">
        <v>780</v>
      </c>
      <c r="X300" t="s">
        <v>807</v>
      </c>
      <c r="Z300" s="31">
        <v>46053</v>
      </c>
      <c r="AA300">
        <v>20000</v>
      </c>
      <c r="AB300">
        <v>5880</v>
      </c>
      <c r="AC300">
        <v>94</v>
      </c>
      <c r="AD300" t="s">
        <v>22</v>
      </c>
      <c r="AE300" s="31">
        <v>45966</v>
      </c>
      <c r="AF300" s="61">
        <v>0.45071759259259259</v>
      </c>
      <c r="AH300" t="s">
        <v>795</v>
      </c>
      <c r="AI300" s="31">
        <v>46060</v>
      </c>
      <c r="AJ300" s="61">
        <v>0.36284722222222221</v>
      </c>
      <c r="AK300" t="s">
        <v>974</v>
      </c>
      <c r="AL300" t="s">
        <v>2332</v>
      </c>
      <c r="AN300" t="s">
        <v>2333</v>
      </c>
      <c r="AO300" t="s">
        <v>22</v>
      </c>
      <c r="AP300" t="s">
        <v>2334</v>
      </c>
      <c r="AR300" s="31">
        <v>46045</v>
      </c>
      <c r="AS300" t="s">
        <v>2119</v>
      </c>
      <c r="AX300">
        <v>1</v>
      </c>
    </row>
    <row r="301" spans="1:50" x14ac:dyDescent="0.3">
      <c r="A301" t="s">
        <v>44</v>
      </c>
      <c r="B301">
        <v>674</v>
      </c>
      <c r="D301">
        <v>2733</v>
      </c>
      <c r="F301" t="s">
        <v>2335</v>
      </c>
      <c r="G301" t="s">
        <v>2336</v>
      </c>
      <c r="H301">
        <v>4911908000370</v>
      </c>
      <c r="J301" t="s">
        <v>2335</v>
      </c>
      <c r="K301" t="s">
        <v>2337</v>
      </c>
      <c r="M301" t="s">
        <v>2338</v>
      </c>
      <c r="P301" t="s">
        <v>778</v>
      </c>
      <c r="Q301" t="s">
        <v>2339</v>
      </c>
      <c r="R301" t="s">
        <v>790</v>
      </c>
      <c r="S301" t="s">
        <v>805</v>
      </c>
      <c r="W301" t="s">
        <v>780</v>
      </c>
      <c r="X301" t="s">
        <v>793</v>
      </c>
      <c r="Z301" s="31"/>
      <c r="AA301">
        <v>81786</v>
      </c>
      <c r="AB301">
        <v>914979</v>
      </c>
      <c r="AC301">
        <v>21</v>
      </c>
      <c r="AD301" t="s">
        <v>44</v>
      </c>
      <c r="AE301" s="31">
        <v>45966</v>
      </c>
      <c r="AF301" s="61">
        <v>0.64677083333333329</v>
      </c>
      <c r="AH301" t="s">
        <v>795</v>
      </c>
      <c r="AI301" s="31">
        <v>45987</v>
      </c>
      <c r="AJ301" s="61">
        <v>0.5209259259259259</v>
      </c>
      <c r="AK301" t="s">
        <v>858</v>
      </c>
      <c r="AL301" t="s">
        <v>2340</v>
      </c>
      <c r="AN301" t="s">
        <v>2286</v>
      </c>
      <c r="AP301" t="s">
        <v>2341</v>
      </c>
      <c r="AR301" s="31"/>
      <c r="AX301">
        <v>1</v>
      </c>
    </row>
    <row r="302" spans="1:50" x14ac:dyDescent="0.3">
      <c r="A302" t="s">
        <v>44</v>
      </c>
      <c r="B302">
        <v>680</v>
      </c>
      <c r="D302">
        <v>2755</v>
      </c>
      <c r="G302" t="s">
        <v>2342</v>
      </c>
      <c r="J302" t="s">
        <v>2343</v>
      </c>
      <c r="K302" t="s">
        <v>1549</v>
      </c>
      <c r="M302" t="s">
        <v>1522</v>
      </c>
      <c r="P302" t="s">
        <v>778</v>
      </c>
      <c r="W302" t="s">
        <v>780</v>
      </c>
      <c r="X302" t="s">
        <v>816</v>
      </c>
      <c r="Z302" s="31"/>
      <c r="AA302">
        <v>0</v>
      </c>
      <c r="AB302">
        <v>3564</v>
      </c>
      <c r="AC302">
        <v>13</v>
      </c>
      <c r="AD302" t="s">
        <v>44</v>
      </c>
      <c r="AE302" s="31">
        <v>45973</v>
      </c>
      <c r="AF302" s="61">
        <v>0.43079861111111112</v>
      </c>
      <c r="AH302" t="s">
        <v>818</v>
      </c>
      <c r="AI302" s="31">
        <v>45986</v>
      </c>
      <c r="AJ302" s="61">
        <v>0.64148148148148143</v>
      </c>
      <c r="AN302" t="s">
        <v>2341</v>
      </c>
      <c r="AP302" t="s">
        <v>2341</v>
      </c>
      <c r="AR302" s="31"/>
      <c r="AX302">
        <v>1</v>
      </c>
    </row>
    <row r="303" spans="1:50" x14ac:dyDescent="0.3">
      <c r="A303" t="s">
        <v>44</v>
      </c>
      <c r="B303">
        <v>681</v>
      </c>
      <c r="D303">
        <v>2756</v>
      </c>
      <c r="E303" t="s">
        <v>2344</v>
      </c>
      <c r="G303" t="s">
        <v>2345</v>
      </c>
      <c r="H303">
        <v>43252675000130</v>
      </c>
      <c r="J303" t="s">
        <v>2346</v>
      </c>
      <c r="K303" t="s">
        <v>2347</v>
      </c>
      <c r="M303" t="s">
        <v>2348</v>
      </c>
      <c r="P303" t="s">
        <v>778</v>
      </c>
      <c r="Q303" t="s">
        <v>1787</v>
      </c>
      <c r="R303" t="s">
        <v>790</v>
      </c>
      <c r="V303" t="s">
        <v>1581</v>
      </c>
      <c r="W303" t="s">
        <v>780</v>
      </c>
      <c r="X303" t="s">
        <v>816</v>
      </c>
      <c r="Z303" s="31">
        <v>46022</v>
      </c>
      <c r="AA303">
        <v>22000</v>
      </c>
      <c r="AB303">
        <v>1800</v>
      </c>
      <c r="AC303">
        <v>54</v>
      </c>
      <c r="AD303" t="s">
        <v>44</v>
      </c>
      <c r="AE303" s="31">
        <v>45973</v>
      </c>
      <c r="AF303" s="61">
        <v>0.6058217592592593</v>
      </c>
      <c r="AH303" t="s">
        <v>818</v>
      </c>
      <c r="AI303" s="31">
        <v>46027</v>
      </c>
      <c r="AJ303" s="61">
        <v>0.61912037037037038</v>
      </c>
      <c r="AN303" t="s">
        <v>2341</v>
      </c>
      <c r="AO303" t="s">
        <v>44</v>
      </c>
      <c r="AP303" t="s">
        <v>2341</v>
      </c>
      <c r="AQ303" t="s">
        <v>2349</v>
      </c>
      <c r="AR303" s="31">
        <v>46003</v>
      </c>
      <c r="AX303">
        <v>1</v>
      </c>
    </row>
    <row r="304" spans="1:50" x14ac:dyDescent="0.3">
      <c r="A304" t="s">
        <v>44</v>
      </c>
      <c r="B304">
        <v>684</v>
      </c>
      <c r="D304">
        <v>2760</v>
      </c>
      <c r="G304" t="s">
        <v>2350</v>
      </c>
      <c r="J304" t="s">
        <v>2351</v>
      </c>
      <c r="K304" t="s">
        <v>2352</v>
      </c>
      <c r="M304" t="s">
        <v>2353</v>
      </c>
      <c r="P304" t="s">
        <v>778</v>
      </c>
      <c r="V304" t="s">
        <v>1718</v>
      </c>
      <c r="W304" t="s">
        <v>780</v>
      </c>
      <c r="X304" t="s">
        <v>793</v>
      </c>
      <c r="Z304" s="31"/>
      <c r="AA304">
        <v>106400</v>
      </c>
      <c r="AB304">
        <v>1419164</v>
      </c>
      <c r="AC304">
        <v>13</v>
      </c>
      <c r="AD304" t="s">
        <v>44</v>
      </c>
      <c r="AE304" s="31">
        <v>45974</v>
      </c>
      <c r="AF304" s="61">
        <v>0.5064467592592593</v>
      </c>
      <c r="AH304" t="s">
        <v>795</v>
      </c>
      <c r="AI304" s="31">
        <v>45987</v>
      </c>
      <c r="AJ304" s="61">
        <v>0.53358796296296296</v>
      </c>
      <c r="AK304" t="s">
        <v>796</v>
      </c>
      <c r="AL304" t="s">
        <v>2354</v>
      </c>
      <c r="AN304" t="s">
        <v>2355</v>
      </c>
      <c r="AP304" t="s">
        <v>2355</v>
      </c>
      <c r="AR304" s="31"/>
      <c r="AX304">
        <v>1</v>
      </c>
    </row>
    <row r="305" spans="1:50" x14ac:dyDescent="0.3">
      <c r="A305" t="s">
        <v>31</v>
      </c>
      <c r="B305">
        <v>685</v>
      </c>
      <c r="D305">
        <v>2761</v>
      </c>
      <c r="F305" t="s">
        <v>2356</v>
      </c>
      <c r="G305" t="s">
        <v>2357</v>
      </c>
      <c r="H305">
        <v>42517186000109</v>
      </c>
      <c r="J305" t="s">
        <v>2356</v>
      </c>
      <c r="K305" t="s">
        <v>2358</v>
      </c>
      <c r="M305" t="s">
        <v>2359</v>
      </c>
      <c r="P305" t="s">
        <v>778</v>
      </c>
      <c r="Q305" t="s">
        <v>2360</v>
      </c>
      <c r="R305" t="s">
        <v>790</v>
      </c>
      <c r="S305" t="s">
        <v>805</v>
      </c>
      <c r="W305" t="s">
        <v>780</v>
      </c>
      <c r="X305" t="s">
        <v>781</v>
      </c>
      <c r="Z305" s="31"/>
      <c r="AC305">
        <v>0</v>
      </c>
      <c r="AD305" t="s">
        <v>31</v>
      </c>
      <c r="AE305" s="31">
        <v>45974</v>
      </c>
      <c r="AF305" s="61">
        <v>0.67355324074074074</v>
      </c>
      <c r="AH305" t="s">
        <v>795</v>
      </c>
      <c r="AI305" s="31">
        <v>45974</v>
      </c>
      <c r="AJ305" s="61">
        <v>0.6752893518518519</v>
      </c>
      <c r="AK305" t="s">
        <v>867</v>
      </c>
      <c r="AO305" t="s">
        <v>31</v>
      </c>
      <c r="AR305" s="31"/>
      <c r="AX305">
        <v>1</v>
      </c>
    </row>
    <row r="306" spans="1:50" x14ac:dyDescent="0.3">
      <c r="A306" t="s">
        <v>44</v>
      </c>
      <c r="B306">
        <v>690</v>
      </c>
      <c r="D306">
        <v>2872</v>
      </c>
      <c r="G306" t="s">
        <v>2361</v>
      </c>
      <c r="J306" t="s">
        <v>2362</v>
      </c>
      <c r="K306" t="s">
        <v>1579</v>
      </c>
      <c r="M306" t="s">
        <v>1111</v>
      </c>
      <c r="P306" t="s">
        <v>778</v>
      </c>
      <c r="V306" t="s">
        <v>1704</v>
      </c>
      <c r="W306" t="s">
        <v>780</v>
      </c>
      <c r="X306" t="s">
        <v>816</v>
      </c>
      <c r="Z306" s="31">
        <v>45987</v>
      </c>
      <c r="AA306">
        <v>0</v>
      </c>
      <c r="AB306">
        <v>114048</v>
      </c>
      <c r="AC306">
        <v>16</v>
      </c>
      <c r="AD306" t="s">
        <v>44</v>
      </c>
      <c r="AE306" s="31">
        <v>45985</v>
      </c>
      <c r="AF306" s="61">
        <v>0.70365740740740745</v>
      </c>
      <c r="AH306" t="s">
        <v>818</v>
      </c>
      <c r="AI306" s="31">
        <v>46001</v>
      </c>
      <c r="AJ306" s="61">
        <v>0.42643518518518519</v>
      </c>
      <c r="AN306" t="s">
        <v>2363</v>
      </c>
      <c r="AP306" t="s">
        <v>2363</v>
      </c>
      <c r="AR306" s="31"/>
      <c r="AX306">
        <v>1</v>
      </c>
    </row>
    <row r="307" spans="1:50" x14ac:dyDescent="0.3">
      <c r="A307" t="s">
        <v>44</v>
      </c>
      <c r="B307">
        <v>692</v>
      </c>
      <c r="D307">
        <v>2880</v>
      </c>
      <c r="G307" t="s">
        <v>2364</v>
      </c>
      <c r="J307" t="s">
        <v>2365</v>
      </c>
      <c r="K307" t="s">
        <v>2352</v>
      </c>
      <c r="M307" t="s">
        <v>2353</v>
      </c>
      <c r="P307" t="s">
        <v>778</v>
      </c>
      <c r="V307" t="s">
        <v>1718</v>
      </c>
      <c r="W307" t="s">
        <v>780</v>
      </c>
      <c r="X307" t="s">
        <v>793</v>
      </c>
      <c r="Z307" s="31"/>
      <c r="AA307">
        <v>1600</v>
      </c>
      <c r="AB307">
        <v>860304</v>
      </c>
      <c r="AC307">
        <v>1</v>
      </c>
      <c r="AD307" t="s">
        <v>44</v>
      </c>
      <c r="AE307" s="31">
        <v>45986</v>
      </c>
      <c r="AF307" s="61">
        <v>0.62754629629629632</v>
      </c>
      <c r="AH307" t="s">
        <v>795</v>
      </c>
      <c r="AI307" s="31">
        <v>45987</v>
      </c>
      <c r="AJ307" s="61">
        <v>0.53437500000000004</v>
      </c>
      <c r="AK307" t="s">
        <v>796</v>
      </c>
      <c r="AL307" t="s">
        <v>2366</v>
      </c>
      <c r="AN307" t="s">
        <v>2355</v>
      </c>
      <c r="AP307" t="s">
        <v>2355</v>
      </c>
      <c r="AR307" s="31"/>
      <c r="AX307">
        <v>1</v>
      </c>
    </row>
    <row r="308" spans="1:50" x14ac:dyDescent="0.3">
      <c r="A308" t="s">
        <v>44</v>
      </c>
      <c r="B308">
        <v>693</v>
      </c>
      <c r="D308">
        <v>2881</v>
      </c>
      <c r="G308" t="s">
        <v>2367</v>
      </c>
      <c r="J308" t="s">
        <v>2368</v>
      </c>
      <c r="K308" t="s">
        <v>2369</v>
      </c>
      <c r="M308" t="s">
        <v>1111</v>
      </c>
      <c r="P308" t="s">
        <v>778</v>
      </c>
      <c r="W308" t="s">
        <v>780</v>
      </c>
      <c r="X308" t="s">
        <v>781</v>
      </c>
      <c r="Z308" s="31"/>
      <c r="AA308">
        <v>330714</v>
      </c>
      <c r="AB308">
        <v>0</v>
      </c>
      <c r="AC308">
        <v>0</v>
      </c>
      <c r="AD308" t="s">
        <v>44</v>
      </c>
      <c r="AE308" s="31">
        <v>45986</v>
      </c>
      <c r="AF308" s="61">
        <v>0.65606481481481482</v>
      </c>
      <c r="AH308" t="s">
        <v>818</v>
      </c>
      <c r="AI308" s="31">
        <v>45986</v>
      </c>
      <c r="AJ308" s="61">
        <v>0.65793981481481478</v>
      </c>
      <c r="AN308" t="s">
        <v>2283</v>
      </c>
      <c r="AP308" t="s">
        <v>2283</v>
      </c>
      <c r="AR308" s="31"/>
      <c r="AX308">
        <v>1</v>
      </c>
    </row>
    <row r="309" spans="1:50" x14ac:dyDescent="0.3">
      <c r="A309" t="s">
        <v>44</v>
      </c>
      <c r="B309">
        <v>694</v>
      </c>
      <c r="D309">
        <v>2882</v>
      </c>
      <c r="G309" t="s">
        <v>2370</v>
      </c>
      <c r="J309" t="s">
        <v>2371</v>
      </c>
      <c r="K309" t="s">
        <v>2372</v>
      </c>
      <c r="M309" t="s">
        <v>1111</v>
      </c>
      <c r="P309" t="s">
        <v>778</v>
      </c>
      <c r="V309" t="s">
        <v>1718</v>
      </c>
      <c r="W309" t="s">
        <v>780</v>
      </c>
      <c r="X309" t="s">
        <v>793</v>
      </c>
      <c r="Z309" s="31">
        <v>46023</v>
      </c>
      <c r="AA309">
        <v>16960</v>
      </c>
      <c r="AB309">
        <v>450</v>
      </c>
      <c r="AC309">
        <v>15</v>
      </c>
      <c r="AD309" t="s">
        <v>44</v>
      </c>
      <c r="AE309" s="31">
        <v>45986</v>
      </c>
      <c r="AF309" s="61">
        <v>0.66625000000000001</v>
      </c>
      <c r="AH309" t="s">
        <v>795</v>
      </c>
      <c r="AI309" s="31">
        <v>46001</v>
      </c>
      <c r="AJ309" s="61">
        <v>0.39305555555555549</v>
      </c>
      <c r="AK309" t="s">
        <v>796</v>
      </c>
      <c r="AL309" t="s">
        <v>2373</v>
      </c>
      <c r="AN309" t="s">
        <v>2286</v>
      </c>
      <c r="AP309" t="s">
        <v>2286</v>
      </c>
      <c r="AR309" s="31"/>
      <c r="AX309">
        <v>1</v>
      </c>
    </row>
    <row r="310" spans="1:50" x14ac:dyDescent="0.3">
      <c r="A310" t="s">
        <v>44</v>
      </c>
      <c r="B310">
        <v>695</v>
      </c>
      <c r="D310">
        <v>2883</v>
      </c>
      <c r="G310" t="s">
        <v>2374</v>
      </c>
      <c r="H310">
        <v>57524096000104</v>
      </c>
      <c r="J310" t="s">
        <v>2375</v>
      </c>
      <c r="K310" t="s">
        <v>2376</v>
      </c>
      <c r="M310" t="s">
        <v>2377</v>
      </c>
      <c r="P310" t="s">
        <v>778</v>
      </c>
      <c r="Q310" t="s">
        <v>2378</v>
      </c>
      <c r="R310" t="s">
        <v>2379</v>
      </c>
      <c r="V310" t="s">
        <v>1718</v>
      </c>
      <c r="W310" t="s">
        <v>780</v>
      </c>
      <c r="X310" t="s">
        <v>857</v>
      </c>
      <c r="Z310" s="31"/>
      <c r="AC310">
        <v>8</v>
      </c>
      <c r="AD310" t="s">
        <v>44</v>
      </c>
      <c r="AE310" s="31">
        <v>45986</v>
      </c>
      <c r="AF310" s="61">
        <v>0.68422453703703701</v>
      </c>
      <c r="AH310" t="s">
        <v>795</v>
      </c>
      <c r="AI310" s="31">
        <v>45994</v>
      </c>
      <c r="AJ310" s="61">
        <v>0.66239583333333329</v>
      </c>
      <c r="AK310" t="s">
        <v>796</v>
      </c>
      <c r="AL310" t="s">
        <v>2380</v>
      </c>
      <c r="AN310" t="s">
        <v>2349</v>
      </c>
      <c r="AP310" t="s">
        <v>2273</v>
      </c>
      <c r="AR310" s="31"/>
      <c r="AX310">
        <v>1</v>
      </c>
    </row>
    <row r="311" spans="1:50" x14ac:dyDescent="0.3">
      <c r="A311" t="s">
        <v>44</v>
      </c>
      <c r="B311">
        <v>696</v>
      </c>
      <c r="D311">
        <v>2885</v>
      </c>
      <c r="G311" t="s">
        <v>2381</v>
      </c>
      <c r="H311">
        <v>57524096000104</v>
      </c>
      <c r="J311" t="s">
        <v>2382</v>
      </c>
      <c r="K311" t="s">
        <v>2376</v>
      </c>
      <c r="M311" t="s">
        <v>2377</v>
      </c>
      <c r="P311" t="s">
        <v>778</v>
      </c>
      <c r="V311" t="s">
        <v>1718</v>
      </c>
      <c r="W311" t="s">
        <v>780</v>
      </c>
      <c r="X311" t="s">
        <v>857</v>
      </c>
      <c r="Z311" s="31"/>
      <c r="AC311">
        <v>8</v>
      </c>
      <c r="AD311" t="s">
        <v>44</v>
      </c>
      <c r="AE311" s="31">
        <v>45986</v>
      </c>
      <c r="AF311" s="61">
        <v>0.70030092592592597</v>
      </c>
      <c r="AH311" t="s">
        <v>795</v>
      </c>
      <c r="AI311" s="31">
        <v>45994</v>
      </c>
      <c r="AJ311" s="61">
        <v>0.66202546296296294</v>
      </c>
      <c r="AK311" t="s">
        <v>796</v>
      </c>
      <c r="AL311" t="s">
        <v>2380</v>
      </c>
      <c r="AN311" t="s">
        <v>2349</v>
      </c>
      <c r="AP311" t="s">
        <v>2273</v>
      </c>
      <c r="AR311" s="31"/>
      <c r="AX311">
        <v>1</v>
      </c>
    </row>
    <row r="312" spans="1:50" x14ac:dyDescent="0.3">
      <c r="A312" t="s">
        <v>44</v>
      </c>
      <c r="B312">
        <v>697</v>
      </c>
      <c r="D312">
        <v>2887</v>
      </c>
      <c r="G312" t="s">
        <v>2383</v>
      </c>
      <c r="J312" t="s">
        <v>2384</v>
      </c>
      <c r="K312" t="s">
        <v>2385</v>
      </c>
      <c r="M312" t="s">
        <v>2338</v>
      </c>
      <c r="P312" t="s">
        <v>778</v>
      </c>
      <c r="W312" t="s">
        <v>780</v>
      </c>
      <c r="X312" t="s">
        <v>857</v>
      </c>
      <c r="Z312" s="31"/>
      <c r="AA312">
        <v>1600</v>
      </c>
      <c r="AB312">
        <v>335607</v>
      </c>
      <c r="AC312">
        <v>1</v>
      </c>
      <c r="AD312" t="s">
        <v>44</v>
      </c>
      <c r="AE312" s="31">
        <v>45986</v>
      </c>
      <c r="AF312" s="61">
        <v>0.71326388888888892</v>
      </c>
      <c r="AH312" t="s">
        <v>795</v>
      </c>
      <c r="AI312" s="31">
        <v>45987</v>
      </c>
      <c r="AJ312" s="61">
        <v>0.52252314814814815</v>
      </c>
      <c r="AK312" t="s">
        <v>858</v>
      </c>
      <c r="AL312" t="s">
        <v>2340</v>
      </c>
      <c r="AN312" t="s">
        <v>2286</v>
      </c>
      <c r="AP312" t="s">
        <v>2341</v>
      </c>
      <c r="AR312" s="31"/>
      <c r="AX312">
        <v>1</v>
      </c>
    </row>
    <row r="313" spans="1:50" x14ac:dyDescent="0.3">
      <c r="A313" t="s">
        <v>22</v>
      </c>
      <c r="B313">
        <v>700</v>
      </c>
      <c r="D313">
        <v>2874</v>
      </c>
      <c r="G313" t="s">
        <v>2386</v>
      </c>
      <c r="J313" t="s">
        <v>2387</v>
      </c>
      <c r="K313" t="s">
        <v>2388</v>
      </c>
      <c r="M313" t="s">
        <v>2389</v>
      </c>
      <c r="P313" t="s">
        <v>778</v>
      </c>
      <c r="Q313" t="s">
        <v>2390</v>
      </c>
      <c r="S313" t="s">
        <v>814</v>
      </c>
      <c r="V313" t="s">
        <v>2391</v>
      </c>
      <c r="W313" t="s">
        <v>780</v>
      </c>
      <c r="X313" t="s">
        <v>793</v>
      </c>
      <c r="Z313" s="31">
        <v>46053</v>
      </c>
      <c r="AC313">
        <v>14</v>
      </c>
      <c r="AD313" t="s">
        <v>22</v>
      </c>
      <c r="AE313" s="31">
        <v>45987</v>
      </c>
      <c r="AF313" s="61">
        <v>0.47543981481481479</v>
      </c>
      <c r="AH313" t="s">
        <v>795</v>
      </c>
      <c r="AI313" s="31">
        <v>46001</v>
      </c>
      <c r="AJ313" s="61">
        <v>0.96790509259259261</v>
      </c>
      <c r="AK313" t="s">
        <v>934</v>
      </c>
      <c r="AN313" t="s">
        <v>2392</v>
      </c>
      <c r="AO313" t="s">
        <v>22</v>
      </c>
      <c r="AP313" t="s">
        <v>2392</v>
      </c>
      <c r="AR313" s="31"/>
      <c r="AX313">
        <v>1</v>
      </c>
    </row>
    <row r="314" spans="1:50" x14ac:dyDescent="0.3">
      <c r="A314" t="s">
        <v>22</v>
      </c>
      <c r="B314">
        <v>701</v>
      </c>
      <c r="D314">
        <v>2829</v>
      </c>
      <c r="E314" t="s">
        <v>2393</v>
      </c>
      <c r="G314" t="s">
        <v>2394</v>
      </c>
      <c r="H314">
        <v>5825017000100</v>
      </c>
      <c r="J314" t="s">
        <v>2395</v>
      </c>
      <c r="K314" t="s">
        <v>2396</v>
      </c>
      <c r="M314" t="s">
        <v>2397</v>
      </c>
      <c r="P314" t="s">
        <v>778</v>
      </c>
      <c r="Q314" t="s">
        <v>2398</v>
      </c>
      <c r="S314" t="s">
        <v>814</v>
      </c>
      <c r="V314" t="s">
        <v>2399</v>
      </c>
      <c r="W314" t="s">
        <v>780</v>
      </c>
      <c r="X314" t="s">
        <v>807</v>
      </c>
      <c r="Z314" s="31">
        <v>46053</v>
      </c>
      <c r="AA314">
        <v>130600</v>
      </c>
      <c r="AB314">
        <v>1680982</v>
      </c>
      <c r="AC314">
        <v>85</v>
      </c>
      <c r="AD314" t="s">
        <v>22</v>
      </c>
      <c r="AE314" s="31">
        <v>45987</v>
      </c>
      <c r="AF314" s="61">
        <v>0.47600694444444452</v>
      </c>
      <c r="AH314" t="s">
        <v>782</v>
      </c>
      <c r="AI314" s="31"/>
      <c r="AJ314" s="61"/>
      <c r="AN314" t="s">
        <v>2392</v>
      </c>
      <c r="AO314" t="s">
        <v>22</v>
      </c>
      <c r="AP314" t="s">
        <v>2392</v>
      </c>
      <c r="AR314" s="31">
        <v>46045</v>
      </c>
      <c r="AS314" t="s">
        <v>2119</v>
      </c>
      <c r="AT314" t="s">
        <v>2400</v>
      </c>
      <c r="AU314" t="s">
        <v>2401</v>
      </c>
      <c r="AV314" t="s">
        <v>2402</v>
      </c>
      <c r="AW314" t="s">
        <v>2403</v>
      </c>
      <c r="AX314">
        <v>1</v>
      </c>
    </row>
    <row r="315" spans="1:50" x14ac:dyDescent="0.3">
      <c r="A315" t="s">
        <v>22</v>
      </c>
      <c r="B315">
        <v>702</v>
      </c>
      <c r="D315">
        <v>2890</v>
      </c>
      <c r="E315" t="s">
        <v>2404</v>
      </c>
      <c r="G315" t="s">
        <v>2405</v>
      </c>
      <c r="J315" t="s">
        <v>2206</v>
      </c>
      <c r="K315" t="s">
        <v>2406</v>
      </c>
      <c r="M315" t="s">
        <v>1111</v>
      </c>
      <c r="P315" t="s">
        <v>778</v>
      </c>
      <c r="V315" t="s">
        <v>2407</v>
      </c>
      <c r="W315" t="s">
        <v>780</v>
      </c>
      <c r="X315" t="s">
        <v>816</v>
      </c>
      <c r="Z315" s="31">
        <v>46053</v>
      </c>
      <c r="AA315">
        <v>16000</v>
      </c>
      <c r="AB315">
        <v>5880</v>
      </c>
      <c r="AC315">
        <v>57</v>
      </c>
      <c r="AD315" t="s">
        <v>22</v>
      </c>
      <c r="AE315" s="31">
        <v>45987</v>
      </c>
      <c r="AF315" s="61">
        <v>0.47789351851851852</v>
      </c>
      <c r="AH315" t="s">
        <v>795</v>
      </c>
      <c r="AI315" s="31">
        <v>46044</v>
      </c>
      <c r="AJ315" s="61">
        <v>0.6855324074074074</v>
      </c>
      <c r="AK315" t="s">
        <v>934</v>
      </c>
      <c r="AL315" t="s">
        <v>2408</v>
      </c>
      <c r="AN315" t="s">
        <v>2409</v>
      </c>
      <c r="AO315" t="s">
        <v>22</v>
      </c>
      <c r="AP315" t="s">
        <v>2409</v>
      </c>
      <c r="AR315" s="31">
        <v>46031</v>
      </c>
      <c r="AX315">
        <v>1</v>
      </c>
    </row>
    <row r="316" spans="1:50" x14ac:dyDescent="0.3">
      <c r="A316" t="s">
        <v>22</v>
      </c>
      <c r="B316">
        <v>703</v>
      </c>
      <c r="D316">
        <v>2891</v>
      </c>
      <c r="E316" t="s">
        <v>2410</v>
      </c>
      <c r="G316" t="s">
        <v>2411</v>
      </c>
      <c r="H316">
        <v>7728812000105</v>
      </c>
      <c r="J316" t="s">
        <v>2412</v>
      </c>
      <c r="K316" t="s">
        <v>2413</v>
      </c>
      <c r="M316" t="s">
        <v>2414</v>
      </c>
      <c r="P316" t="s">
        <v>778</v>
      </c>
      <c r="Q316" t="s">
        <v>1094</v>
      </c>
      <c r="R316" t="s">
        <v>790</v>
      </c>
      <c r="V316" t="s">
        <v>1718</v>
      </c>
      <c r="W316" t="s">
        <v>780</v>
      </c>
      <c r="X316" t="s">
        <v>807</v>
      </c>
      <c r="Z316" s="31">
        <v>46045</v>
      </c>
      <c r="AA316">
        <v>72000</v>
      </c>
      <c r="AB316">
        <v>8045</v>
      </c>
      <c r="AC316">
        <v>58</v>
      </c>
      <c r="AD316" t="s">
        <v>22</v>
      </c>
      <c r="AE316" s="31">
        <v>45987</v>
      </c>
      <c r="AF316" s="61">
        <v>0.47932870370370367</v>
      </c>
      <c r="AH316" t="s">
        <v>795</v>
      </c>
      <c r="AI316" s="31">
        <v>46045</v>
      </c>
      <c r="AJ316" s="61">
        <v>0.48511574074074082</v>
      </c>
      <c r="AK316" t="s">
        <v>796</v>
      </c>
      <c r="AN316" t="s">
        <v>1421</v>
      </c>
      <c r="AO316" t="s">
        <v>22</v>
      </c>
      <c r="AP316" t="s">
        <v>1421</v>
      </c>
      <c r="AR316" s="31">
        <v>46045</v>
      </c>
      <c r="AX316">
        <v>1</v>
      </c>
    </row>
    <row r="317" spans="1:50" x14ac:dyDescent="0.3">
      <c r="A317" t="s">
        <v>22</v>
      </c>
      <c r="B317">
        <v>704</v>
      </c>
      <c r="D317">
        <v>2894</v>
      </c>
      <c r="E317" t="s">
        <v>2415</v>
      </c>
      <c r="G317" t="s">
        <v>2416</v>
      </c>
      <c r="H317">
        <v>3761404000196</v>
      </c>
      <c r="J317" t="s">
        <v>2417</v>
      </c>
      <c r="K317" t="s">
        <v>2418</v>
      </c>
      <c r="M317" t="s">
        <v>2419</v>
      </c>
      <c r="P317" t="s">
        <v>778</v>
      </c>
      <c r="Q317" t="s">
        <v>2420</v>
      </c>
      <c r="R317" t="s">
        <v>790</v>
      </c>
      <c r="V317" t="s">
        <v>1704</v>
      </c>
      <c r="W317" t="s">
        <v>780</v>
      </c>
      <c r="X317" t="s">
        <v>816</v>
      </c>
      <c r="Z317" s="31">
        <v>46037</v>
      </c>
      <c r="AA317">
        <v>17829</v>
      </c>
      <c r="AB317">
        <v>83997</v>
      </c>
      <c r="AC317">
        <v>44</v>
      </c>
      <c r="AD317" t="s">
        <v>22</v>
      </c>
      <c r="AE317" s="31">
        <v>45987</v>
      </c>
      <c r="AF317" s="61">
        <v>0.48346064814814821</v>
      </c>
      <c r="AH317" t="s">
        <v>818</v>
      </c>
      <c r="AI317" s="31">
        <v>46031</v>
      </c>
      <c r="AJ317" s="61">
        <v>0.58515046296296291</v>
      </c>
      <c r="AN317" t="s">
        <v>2421</v>
      </c>
      <c r="AO317" t="s">
        <v>22</v>
      </c>
      <c r="AP317" t="s">
        <v>2392</v>
      </c>
      <c r="AR317" s="31">
        <v>46003</v>
      </c>
      <c r="AX317">
        <v>1</v>
      </c>
    </row>
    <row r="318" spans="1:50" x14ac:dyDescent="0.3">
      <c r="A318" t="s">
        <v>22</v>
      </c>
      <c r="B318">
        <v>705</v>
      </c>
      <c r="D318">
        <v>2896</v>
      </c>
      <c r="E318" t="s">
        <v>2422</v>
      </c>
      <c r="G318" t="s">
        <v>2423</v>
      </c>
      <c r="H318">
        <v>3761404000196</v>
      </c>
      <c r="J318" t="s">
        <v>2424</v>
      </c>
      <c r="K318" t="s">
        <v>2418</v>
      </c>
      <c r="M318" t="s">
        <v>2419</v>
      </c>
      <c r="P318" t="s">
        <v>778</v>
      </c>
      <c r="Q318" t="s">
        <v>2420</v>
      </c>
      <c r="R318" t="s">
        <v>790</v>
      </c>
      <c r="V318" t="s">
        <v>1718</v>
      </c>
      <c r="W318" t="s">
        <v>780</v>
      </c>
      <c r="X318" t="s">
        <v>807</v>
      </c>
      <c r="Z318" s="31">
        <v>46022</v>
      </c>
      <c r="AA318">
        <v>1600</v>
      </c>
      <c r="AB318">
        <v>384454</v>
      </c>
      <c r="AC318">
        <v>44</v>
      </c>
      <c r="AD318" t="s">
        <v>22</v>
      </c>
      <c r="AE318" s="31">
        <v>45987</v>
      </c>
      <c r="AF318" s="61">
        <v>0.49594907407407413</v>
      </c>
      <c r="AH318" t="s">
        <v>795</v>
      </c>
      <c r="AI318" s="31">
        <v>46031</v>
      </c>
      <c r="AJ318" s="61">
        <v>0.59928240740740746</v>
      </c>
      <c r="AK318" t="s">
        <v>796</v>
      </c>
      <c r="AN318" t="s">
        <v>2392</v>
      </c>
      <c r="AO318" t="s">
        <v>22</v>
      </c>
      <c r="AP318" t="s">
        <v>2392</v>
      </c>
      <c r="AR318" s="31">
        <v>46031</v>
      </c>
      <c r="AX318">
        <v>1</v>
      </c>
    </row>
    <row r="319" spans="1:50" x14ac:dyDescent="0.3">
      <c r="A319" t="s">
        <v>22</v>
      </c>
      <c r="B319">
        <v>706</v>
      </c>
      <c r="D319">
        <v>2897</v>
      </c>
      <c r="G319" t="s">
        <v>2425</v>
      </c>
      <c r="J319" t="s">
        <v>2426</v>
      </c>
      <c r="K319" t="s">
        <v>2427</v>
      </c>
      <c r="M319" t="s">
        <v>1111</v>
      </c>
      <c r="P319" t="s">
        <v>778</v>
      </c>
      <c r="W319" t="s">
        <v>780</v>
      </c>
      <c r="X319" t="s">
        <v>807</v>
      </c>
      <c r="Z319" s="31">
        <v>46037</v>
      </c>
      <c r="AA319">
        <v>50000</v>
      </c>
      <c r="AB319">
        <v>2355</v>
      </c>
      <c r="AC319">
        <v>14</v>
      </c>
      <c r="AD319" t="s">
        <v>22</v>
      </c>
      <c r="AE319" s="31">
        <v>45987</v>
      </c>
      <c r="AF319" s="61">
        <v>0.49806712962962962</v>
      </c>
      <c r="AH319" t="s">
        <v>795</v>
      </c>
      <c r="AI319" s="31">
        <v>46001</v>
      </c>
      <c r="AJ319" s="61">
        <v>0.72103009259259254</v>
      </c>
      <c r="AK319" t="s">
        <v>934</v>
      </c>
      <c r="AN319" t="s">
        <v>2428</v>
      </c>
      <c r="AO319" t="s">
        <v>22</v>
      </c>
      <c r="AP319" t="s">
        <v>2428</v>
      </c>
      <c r="AR319" s="31"/>
      <c r="AX319">
        <v>1</v>
      </c>
    </row>
    <row r="320" spans="1:50" x14ac:dyDescent="0.3">
      <c r="A320" t="s">
        <v>22</v>
      </c>
      <c r="B320">
        <v>707</v>
      </c>
      <c r="D320">
        <v>2898</v>
      </c>
      <c r="E320" t="s">
        <v>2429</v>
      </c>
      <c r="G320" t="s">
        <v>2430</v>
      </c>
      <c r="J320" t="s">
        <v>2431</v>
      </c>
      <c r="K320" t="s">
        <v>2432</v>
      </c>
      <c r="M320" t="s">
        <v>1111</v>
      </c>
      <c r="P320" t="s">
        <v>778</v>
      </c>
      <c r="S320" t="s">
        <v>791</v>
      </c>
      <c r="V320" t="s">
        <v>1704</v>
      </c>
      <c r="W320" t="s">
        <v>780</v>
      </c>
      <c r="X320" t="s">
        <v>807</v>
      </c>
      <c r="Z320" s="31">
        <v>46053</v>
      </c>
      <c r="AA320">
        <v>14400</v>
      </c>
      <c r="AB320">
        <v>185328</v>
      </c>
      <c r="AC320">
        <v>47</v>
      </c>
      <c r="AD320" t="s">
        <v>22</v>
      </c>
      <c r="AE320" s="31">
        <v>45987</v>
      </c>
      <c r="AF320" s="61">
        <v>0.49944444444444452</v>
      </c>
      <c r="AH320" t="s">
        <v>795</v>
      </c>
      <c r="AI320" s="31">
        <v>46034</v>
      </c>
      <c r="AJ320" s="61">
        <v>0.93351851851851853</v>
      </c>
      <c r="AK320" t="s">
        <v>796</v>
      </c>
      <c r="AN320" t="s">
        <v>2433</v>
      </c>
      <c r="AO320" t="s">
        <v>22</v>
      </c>
      <c r="AP320" t="s">
        <v>2433</v>
      </c>
      <c r="AR320" s="31">
        <v>46034</v>
      </c>
      <c r="AX320">
        <v>1</v>
      </c>
    </row>
    <row r="321" spans="1:50" x14ac:dyDescent="0.3">
      <c r="A321" t="s">
        <v>22</v>
      </c>
      <c r="B321">
        <v>708</v>
      </c>
      <c r="D321">
        <v>2899</v>
      </c>
      <c r="G321" t="s">
        <v>2049</v>
      </c>
      <c r="J321" t="s">
        <v>2434</v>
      </c>
      <c r="K321" t="s">
        <v>1805</v>
      </c>
      <c r="M321" t="s">
        <v>1111</v>
      </c>
      <c r="P321" t="s">
        <v>778</v>
      </c>
      <c r="W321" t="s">
        <v>780</v>
      </c>
      <c r="X321" t="s">
        <v>816</v>
      </c>
      <c r="Z321" s="31"/>
      <c r="AC321">
        <v>12</v>
      </c>
      <c r="AD321" t="s">
        <v>22</v>
      </c>
      <c r="AE321" s="31">
        <v>45987</v>
      </c>
      <c r="AF321" s="61">
        <v>0.50092592592592589</v>
      </c>
      <c r="AH321" t="s">
        <v>818</v>
      </c>
      <c r="AI321" s="31">
        <v>45999</v>
      </c>
      <c r="AJ321" s="61">
        <v>0.57885416666666667</v>
      </c>
      <c r="AN321" t="s">
        <v>2435</v>
      </c>
      <c r="AO321" t="s">
        <v>22</v>
      </c>
      <c r="AP321" t="s">
        <v>2435</v>
      </c>
      <c r="AR321" s="31"/>
      <c r="AX321">
        <v>1</v>
      </c>
    </row>
    <row r="322" spans="1:50" x14ac:dyDescent="0.3">
      <c r="A322" t="s">
        <v>22</v>
      </c>
      <c r="B322">
        <v>709</v>
      </c>
      <c r="D322">
        <v>2900</v>
      </c>
      <c r="G322" t="s">
        <v>2436</v>
      </c>
      <c r="J322" t="s">
        <v>1804</v>
      </c>
      <c r="K322" t="s">
        <v>1805</v>
      </c>
      <c r="M322" t="s">
        <v>1111</v>
      </c>
      <c r="P322" t="s">
        <v>778</v>
      </c>
      <c r="W322" t="s">
        <v>780</v>
      </c>
      <c r="X322" t="s">
        <v>816</v>
      </c>
      <c r="Z322" s="31"/>
      <c r="AC322">
        <v>12</v>
      </c>
      <c r="AD322" t="s">
        <v>22</v>
      </c>
      <c r="AE322" s="31">
        <v>45987</v>
      </c>
      <c r="AF322" s="61">
        <v>0.50186342592592592</v>
      </c>
      <c r="AH322" t="s">
        <v>818</v>
      </c>
      <c r="AI322" s="31">
        <v>45999</v>
      </c>
      <c r="AJ322" s="61">
        <v>0.59797453703703707</v>
      </c>
      <c r="AN322" t="s">
        <v>2437</v>
      </c>
      <c r="AO322" t="s">
        <v>22</v>
      </c>
      <c r="AP322" t="s">
        <v>2437</v>
      </c>
      <c r="AR322" s="31"/>
      <c r="AX322">
        <v>1</v>
      </c>
    </row>
    <row r="323" spans="1:50" x14ac:dyDescent="0.3">
      <c r="A323" t="s">
        <v>44</v>
      </c>
      <c r="B323">
        <v>711</v>
      </c>
      <c r="D323">
        <v>2902</v>
      </c>
      <c r="E323" t="s">
        <v>2438</v>
      </c>
      <c r="G323" t="s">
        <v>2439</v>
      </c>
      <c r="J323" t="s">
        <v>2440</v>
      </c>
      <c r="K323" t="s">
        <v>2441</v>
      </c>
      <c r="M323" t="s">
        <v>1111</v>
      </c>
      <c r="P323" t="s">
        <v>778</v>
      </c>
      <c r="V323" t="s">
        <v>1419</v>
      </c>
      <c r="W323" t="s">
        <v>780</v>
      </c>
      <c r="X323" t="s">
        <v>816</v>
      </c>
      <c r="Z323" s="31">
        <v>46062</v>
      </c>
      <c r="AA323">
        <v>235848</v>
      </c>
      <c r="AB323">
        <v>14256</v>
      </c>
      <c r="AC323">
        <v>65</v>
      </c>
      <c r="AD323" t="s">
        <v>44</v>
      </c>
      <c r="AE323" s="31">
        <v>45987</v>
      </c>
      <c r="AF323" s="61">
        <v>0.62859953703703708</v>
      </c>
      <c r="AH323" t="s">
        <v>795</v>
      </c>
      <c r="AI323" s="31">
        <v>46052</v>
      </c>
      <c r="AJ323" s="61">
        <v>0.65068287037037043</v>
      </c>
      <c r="AK323" t="s">
        <v>796</v>
      </c>
      <c r="AL323" t="s">
        <v>967</v>
      </c>
      <c r="AN323" t="s">
        <v>2273</v>
      </c>
      <c r="AO323" t="s">
        <v>44</v>
      </c>
      <c r="AP323" t="s">
        <v>2273</v>
      </c>
      <c r="AR323" s="31">
        <v>46003</v>
      </c>
      <c r="AX323">
        <v>1</v>
      </c>
    </row>
    <row r="324" spans="1:50" x14ac:dyDescent="0.3">
      <c r="A324" t="s">
        <v>44</v>
      </c>
      <c r="B324">
        <v>714</v>
      </c>
      <c r="D324">
        <v>2910</v>
      </c>
      <c r="G324" t="s">
        <v>2442</v>
      </c>
      <c r="J324" t="s">
        <v>2443</v>
      </c>
      <c r="K324" t="s">
        <v>2444</v>
      </c>
      <c r="M324" t="s">
        <v>1111</v>
      </c>
      <c r="P324" t="s">
        <v>778</v>
      </c>
      <c r="W324" t="s">
        <v>780</v>
      </c>
      <c r="X324" t="s">
        <v>807</v>
      </c>
      <c r="Z324" s="31"/>
      <c r="AA324">
        <v>0</v>
      </c>
      <c r="AB324">
        <v>209</v>
      </c>
      <c r="AC324">
        <v>12</v>
      </c>
      <c r="AD324" t="s">
        <v>44</v>
      </c>
      <c r="AE324" s="31">
        <v>45989</v>
      </c>
      <c r="AF324" s="61">
        <v>0.60240740740740739</v>
      </c>
      <c r="AH324" t="s">
        <v>795</v>
      </c>
      <c r="AI324" s="31">
        <v>46001</v>
      </c>
      <c r="AJ324" s="61">
        <v>0.41670138888888891</v>
      </c>
      <c r="AK324" t="s">
        <v>858</v>
      </c>
      <c r="AL324" t="s">
        <v>2445</v>
      </c>
      <c r="AN324" t="s">
        <v>2349</v>
      </c>
      <c r="AP324" t="s">
        <v>2349</v>
      </c>
      <c r="AR324" s="31"/>
      <c r="AX324">
        <v>1</v>
      </c>
    </row>
    <row r="325" spans="1:50" x14ac:dyDescent="0.3">
      <c r="A325" t="s">
        <v>22</v>
      </c>
      <c r="B325">
        <v>717</v>
      </c>
      <c r="D325">
        <v>2945</v>
      </c>
      <c r="E325" t="s">
        <v>2446</v>
      </c>
      <c r="G325" t="s">
        <v>2447</v>
      </c>
      <c r="J325" t="s">
        <v>2448</v>
      </c>
      <c r="K325" t="s">
        <v>2449</v>
      </c>
      <c r="M325" t="s">
        <v>2450</v>
      </c>
      <c r="P325" t="s">
        <v>778</v>
      </c>
      <c r="Q325" t="s">
        <v>923</v>
      </c>
      <c r="S325" t="s">
        <v>814</v>
      </c>
      <c r="V325" t="s">
        <v>1718</v>
      </c>
      <c r="W325" t="s">
        <v>780</v>
      </c>
      <c r="X325" t="s">
        <v>793</v>
      </c>
      <c r="Z325" s="31">
        <v>46053</v>
      </c>
      <c r="AC325">
        <v>68</v>
      </c>
      <c r="AD325" t="s">
        <v>22</v>
      </c>
      <c r="AE325" s="31">
        <v>45992</v>
      </c>
      <c r="AF325" s="61">
        <v>0.65984953703703708</v>
      </c>
      <c r="AH325" t="s">
        <v>795</v>
      </c>
      <c r="AI325" s="31">
        <v>46060</v>
      </c>
      <c r="AJ325" s="61">
        <v>0.34912037037037041</v>
      </c>
      <c r="AK325" t="s">
        <v>858</v>
      </c>
      <c r="AN325" t="s">
        <v>2451</v>
      </c>
      <c r="AO325" t="s">
        <v>22</v>
      </c>
      <c r="AP325" t="s">
        <v>2452</v>
      </c>
      <c r="AR325" s="31">
        <v>46045</v>
      </c>
      <c r="AS325" t="s">
        <v>2119</v>
      </c>
      <c r="AX325">
        <v>1</v>
      </c>
    </row>
    <row r="326" spans="1:50" x14ac:dyDescent="0.3">
      <c r="A326" t="s">
        <v>22</v>
      </c>
      <c r="B326">
        <v>718</v>
      </c>
      <c r="D326">
        <v>2913</v>
      </c>
      <c r="E326" t="s">
        <v>2453</v>
      </c>
      <c r="G326" t="s">
        <v>2454</v>
      </c>
      <c r="J326" t="s">
        <v>2455</v>
      </c>
      <c r="K326" t="s">
        <v>2456</v>
      </c>
      <c r="M326" t="s">
        <v>2457</v>
      </c>
      <c r="P326" t="s">
        <v>778</v>
      </c>
      <c r="Q326" t="s">
        <v>2458</v>
      </c>
      <c r="S326" t="s">
        <v>814</v>
      </c>
      <c r="V326" t="s">
        <v>2391</v>
      </c>
      <c r="W326" t="s">
        <v>780</v>
      </c>
      <c r="X326" t="s">
        <v>897</v>
      </c>
      <c r="Z326" s="31">
        <v>46418</v>
      </c>
      <c r="AC326">
        <v>80</v>
      </c>
      <c r="AD326" t="s">
        <v>22</v>
      </c>
      <c r="AE326" s="31">
        <v>45992</v>
      </c>
      <c r="AF326" s="61">
        <v>0.68266203703703698</v>
      </c>
      <c r="AH326" t="s">
        <v>782</v>
      </c>
      <c r="AI326" s="31"/>
      <c r="AJ326" s="61"/>
      <c r="AN326" t="s">
        <v>2459</v>
      </c>
      <c r="AO326" t="s">
        <v>22</v>
      </c>
      <c r="AP326" t="s">
        <v>2452</v>
      </c>
      <c r="AR326" s="31">
        <v>46031</v>
      </c>
      <c r="AS326" t="s">
        <v>2119</v>
      </c>
      <c r="AX326">
        <v>1</v>
      </c>
    </row>
    <row r="327" spans="1:50" x14ac:dyDescent="0.3">
      <c r="A327" t="s">
        <v>22</v>
      </c>
      <c r="B327">
        <v>719</v>
      </c>
      <c r="D327">
        <v>2904</v>
      </c>
      <c r="E327" t="s">
        <v>2460</v>
      </c>
      <c r="G327" t="s">
        <v>2461</v>
      </c>
      <c r="H327">
        <v>3674537000125</v>
      </c>
      <c r="J327" t="s">
        <v>2462</v>
      </c>
      <c r="K327" t="s">
        <v>2463</v>
      </c>
      <c r="M327" t="s">
        <v>2464</v>
      </c>
      <c r="P327" t="s">
        <v>778</v>
      </c>
      <c r="Q327" t="s">
        <v>923</v>
      </c>
      <c r="S327" t="s">
        <v>814</v>
      </c>
      <c r="V327" t="s">
        <v>2391</v>
      </c>
      <c r="W327" t="s">
        <v>780</v>
      </c>
      <c r="X327" t="s">
        <v>807</v>
      </c>
      <c r="Z327" s="31">
        <v>46053</v>
      </c>
      <c r="AA327">
        <v>104490</v>
      </c>
      <c r="AB327">
        <v>111957</v>
      </c>
      <c r="AC327">
        <v>80</v>
      </c>
      <c r="AD327" t="s">
        <v>22</v>
      </c>
      <c r="AE327" s="31">
        <v>45992</v>
      </c>
      <c r="AF327" s="61">
        <v>0.69298611111111108</v>
      </c>
      <c r="AH327" t="s">
        <v>782</v>
      </c>
      <c r="AI327" s="31"/>
      <c r="AJ327" s="61"/>
      <c r="AN327" t="s">
        <v>2459</v>
      </c>
      <c r="AO327" t="s">
        <v>22</v>
      </c>
      <c r="AP327" t="s">
        <v>2465</v>
      </c>
      <c r="AR327" s="31">
        <v>46060</v>
      </c>
      <c r="AS327" t="s">
        <v>2119</v>
      </c>
      <c r="AT327" t="s">
        <v>2466</v>
      </c>
      <c r="AU327" t="s">
        <v>2467</v>
      </c>
      <c r="AV327" t="s">
        <v>2468</v>
      </c>
      <c r="AW327" t="s">
        <v>2469</v>
      </c>
      <c r="AX327">
        <v>1</v>
      </c>
    </row>
    <row r="328" spans="1:50" x14ac:dyDescent="0.3">
      <c r="A328" t="s">
        <v>22</v>
      </c>
      <c r="B328">
        <v>725</v>
      </c>
      <c r="D328">
        <v>2970</v>
      </c>
      <c r="E328" t="s">
        <v>2470</v>
      </c>
      <c r="G328" t="s">
        <v>2471</v>
      </c>
      <c r="J328" t="s">
        <v>2472</v>
      </c>
      <c r="K328" t="s">
        <v>2473</v>
      </c>
      <c r="M328" t="s">
        <v>1111</v>
      </c>
      <c r="P328" t="s">
        <v>778</v>
      </c>
      <c r="V328" t="s">
        <v>2118</v>
      </c>
      <c r="W328" t="s">
        <v>780</v>
      </c>
      <c r="X328" t="s">
        <v>807</v>
      </c>
      <c r="Z328" s="31">
        <v>46112</v>
      </c>
      <c r="AA328">
        <v>315000</v>
      </c>
      <c r="AB328">
        <v>32575</v>
      </c>
      <c r="AC328">
        <v>37</v>
      </c>
      <c r="AD328" t="s">
        <v>22</v>
      </c>
      <c r="AE328" s="31">
        <v>45999</v>
      </c>
      <c r="AF328" s="61">
        <v>0.5826041666666667</v>
      </c>
      <c r="AH328" t="s">
        <v>795</v>
      </c>
      <c r="AI328" s="31">
        <v>46036</v>
      </c>
      <c r="AJ328" s="61">
        <v>0.7865509259259259</v>
      </c>
      <c r="AK328" t="s">
        <v>974</v>
      </c>
      <c r="AL328" t="s">
        <v>2474</v>
      </c>
      <c r="AN328" t="s">
        <v>2459</v>
      </c>
      <c r="AO328" t="s">
        <v>22</v>
      </c>
      <c r="AP328" t="s">
        <v>2459</v>
      </c>
      <c r="AR328" s="31">
        <v>46031</v>
      </c>
      <c r="AX328">
        <v>1</v>
      </c>
    </row>
    <row r="329" spans="1:50" x14ac:dyDescent="0.3">
      <c r="A329" t="s">
        <v>22</v>
      </c>
      <c r="B329">
        <v>726</v>
      </c>
      <c r="D329">
        <v>2971</v>
      </c>
      <c r="G329" t="s">
        <v>2475</v>
      </c>
      <c r="J329" t="s">
        <v>1978</v>
      </c>
      <c r="K329" t="s">
        <v>1979</v>
      </c>
      <c r="M329" t="s">
        <v>1111</v>
      </c>
      <c r="P329" t="s">
        <v>778</v>
      </c>
      <c r="W329" t="s">
        <v>780</v>
      </c>
      <c r="X329" t="s">
        <v>816</v>
      </c>
      <c r="Z329" s="31"/>
      <c r="AA329">
        <v>0</v>
      </c>
      <c r="AB329">
        <v>57024</v>
      </c>
      <c r="AC329">
        <v>0</v>
      </c>
      <c r="AD329" t="s">
        <v>22</v>
      </c>
      <c r="AE329" s="31">
        <v>45999</v>
      </c>
      <c r="AF329" s="61">
        <v>0.58803240740740736</v>
      </c>
      <c r="AH329" t="s">
        <v>818</v>
      </c>
      <c r="AI329" s="31">
        <v>45999</v>
      </c>
      <c r="AJ329" s="61">
        <v>0.58959490740740739</v>
      </c>
      <c r="AN329" t="s">
        <v>2452</v>
      </c>
      <c r="AO329" t="s">
        <v>22</v>
      </c>
      <c r="AP329" t="s">
        <v>2452</v>
      </c>
      <c r="AR329" s="31"/>
      <c r="AX329">
        <v>1</v>
      </c>
    </row>
    <row r="330" spans="1:50" x14ac:dyDescent="0.3">
      <c r="A330" t="s">
        <v>22</v>
      </c>
      <c r="B330">
        <v>727</v>
      </c>
      <c r="D330">
        <v>2969</v>
      </c>
      <c r="E330" t="s">
        <v>2476</v>
      </c>
      <c r="G330" t="s">
        <v>2477</v>
      </c>
      <c r="J330" t="s">
        <v>2478</v>
      </c>
      <c r="K330" t="s">
        <v>2479</v>
      </c>
      <c r="M330" t="s">
        <v>2480</v>
      </c>
      <c r="P330" t="s">
        <v>778</v>
      </c>
      <c r="Q330" t="s">
        <v>2481</v>
      </c>
      <c r="S330" t="s">
        <v>814</v>
      </c>
      <c r="V330" t="s">
        <v>2391</v>
      </c>
      <c r="W330" t="s">
        <v>780</v>
      </c>
      <c r="X330" t="s">
        <v>807</v>
      </c>
      <c r="Z330" s="31">
        <v>46053</v>
      </c>
      <c r="AA330">
        <v>47200</v>
      </c>
      <c r="AB330">
        <v>22981</v>
      </c>
      <c r="AC330">
        <v>60</v>
      </c>
      <c r="AD330" t="s">
        <v>22</v>
      </c>
      <c r="AE330" s="31">
        <v>46000</v>
      </c>
      <c r="AF330" s="61">
        <v>0.59325231481481477</v>
      </c>
      <c r="AH330" t="s">
        <v>795</v>
      </c>
      <c r="AI330" s="31">
        <v>46060</v>
      </c>
      <c r="AJ330" s="61">
        <v>0.37217592592592591</v>
      </c>
      <c r="AK330" t="s">
        <v>858</v>
      </c>
      <c r="AL330" t="s">
        <v>2482</v>
      </c>
      <c r="AN330" t="s">
        <v>2483</v>
      </c>
      <c r="AO330" t="s">
        <v>22</v>
      </c>
      <c r="AP330" t="s">
        <v>2483</v>
      </c>
      <c r="AR330" s="31">
        <v>46060</v>
      </c>
      <c r="AS330" t="s">
        <v>2119</v>
      </c>
      <c r="AX330">
        <v>1</v>
      </c>
    </row>
    <row r="331" spans="1:50" x14ac:dyDescent="0.3">
      <c r="A331" t="s">
        <v>22</v>
      </c>
      <c r="B331">
        <v>728</v>
      </c>
      <c r="D331">
        <v>2973</v>
      </c>
      <c r="E331" t="s">
        <v>2484</v>
      </c>
      <c r="G331" t="s">
        <v>2485</v>
      </c>
      <c r="H331">
        <v>3674537000125</v>
      </c>
      <c r="J331" t="s">
        <v>2486</v>
      </c>
      <c r="K331" t="s">
        <v>2487</v>
      </c>
      <c r="M331" t="s">
        <v>2488</v>
      </c>
      <c r="P331" t="s">
        <v>778</v>
      </c>
      <c r="Q331" t="s">
        <v>2489</v>
      </c>
      <c r="R331" t="s">
        <v>790</v>
      </c>
      <c r="S331" t="s">
        <v>791</v>
      </c>
      <c r="V331" t="s">
        <v>1718</v>
      </c>
      <c r="W331" t="s">
        <v>780</v>
      </c>
      <c r="X331" t="s">
        <v>807</v>
      </c>
      <c r="Z331" s="31">
        <v>46053</v>
      </c>
      <c r="AA331">
        <v>1700</v>
      </c>
      <c r="AB331">
        <v>13100</v>
      </c>
      <c r="AC331">
        <v>71</v>
      </c>
      <c r="AD331" t="s">
        <v>22</v>
      </c>
      <c r="AE331" s="31">
        <v>46001</v>
      </c>
      <c r="AF331" s="61">
        <v>0.73172453703703699</v>
      </c>
      <c r="AH331" t="s">
        <v>782</v>
      </c>
      <c r="AI331" s="31"/>
      <c r="AJ331" s="61"/>
      <c r="AN331" t="s">
        <v>2483</v>
      </c>
      <c r="AO331" t="s">
        <v>22</v>
      </c>
      <c r="AP331" t="s">
        <v>2483</v>
      </c>
      <c r="AR331" s="31">
        <v>46060</v>
      </c>
      <c r="AS331" t="s">
        <v>2119</v>
      </c>
      <c r="AT331" t="s">
        <v>1012</v>
      </c>
      <c r="AU331" t="s">
        <v>69</v>
      </c>
      <c r="AV331" t="s">
        <v>2490</v>
      </c>
      <c r="AW331" t="s">
        <v>2491</v>
      </c>
      <c r="AX331">
        <v>1</v>
      </c>
    </row>
    <row r="332" spans="1:50" x14ac:dyDescent="0.3">
      <c r="A332" t="s">
        <v>22</v>
      </c>
      <c r="B332">
        <v>729</v>
      </c>
      <c r="D332">
        <v>2972</v>
      </c>
      <c r="E332" t="s">
        <v>2492</v>
      </c>
      <c r="G332" t="s">
        <v>2493</v>
      </c>
      <c r="J332" t="s">
        <v>2494</v>
      </c>
      <c r="K332" t="s">
        <v>2495</v>
      </c>
      <c r="M332" t="s">
        <v>2496</v>
      </c>
      <c r="P332" t="s">
        <v>778</v>
      </c>
      <c r="Q332" t="s">
        <v>2497</v>
      </c>
      <c r="S332" t="s">
        <v>814</v>
      </c>
      <c r="V332" t="s">
        <v>2391</v>
      </c>
      <c r="W332" t="s">
        <v>780</v>
      </c>
      <c r="X332" t="s">
        <v>793</v>
      </c>
      <c r="Z332" s="31">
        <v>46053</v>
      </c>
      <c r="AC332">
        <v>59</v>
      </c>
      <c r="AD332" t="s">
        <v>22</v>
      </c>
      <c r="AE332" s="31">
        <v>46001</v>
      </c>
      <c r="AF332" s="61">
        <v>0.95519675925925929</v>
      </c>
      <c r="AH332" t="s">
        <v>795</v>
      </c>
      <c r="AI332" s="31">
        <v>46060</v>
      </c>
      <c r="AJ332" s="61">
        <v>0.3478472222222222</v>
      </c>
      <c r="AK332" t="s">
        <v>796</v>
      </c>
      <c r="AL332" t="s">
        <v>2498</v>
      </c>
      <c r="AN332" t="s">
        <v>2499</v>
      </c>
      <c r="AO332" t="s">
        <v>22</v>
      </c>
      <c r="AP332" t="s">
        <v>2499</v>
      </c>
      <c r="AR332" s="31">
        <v>46059</v>
      </c>
      <c r="AS332" t="s">
        <v>2119</v>
      </c>
      <c r="AX332">
        <v>1</v>
      </c>
    </row>
    <row r="333" spans="1:50" x14ac:dyDescent="0.3">
      <c r="A333" t="s">
        <v>44</v>
      </c>
      <c r="B333">
        <v>730</v>
      </c>
      <c r="D333">
        <v>2977</v>
      </c>
      <c r="E333" t="s">
        <v>2500</v>
      </c>
      <c r="F333" t="s">
        <v>2501</v>
      </c>
      <c r="G333" t="s">
        <v>2502</v>
      </c>
      <c r="H333">
        <v>50828915000168</v>
      </c>
      <c r="J333" t="s">
        <v>2501</v>
      </c>
      <c r="K333" t="s">
        <v>1531</v>
      </c>
      <c r="M333" t="s">
        <v>1532</v>
      </c>
      <c r="P333" t="s">
        <v>778</v>
      </c>
      <c r="Q333" t="s">
        <v>1094</v>
      </c>
      <c r="R333" t="s">
        <v>790</v>
      </c>
      <c r="S333" t="s">
        <v>805</v>
      </c>
      <c r="V333" t="s">
        <v>2503</v>
      </c>
      <c r="W333" t="s">
        <v>780</v>
      </c>
      <c r="X333" t="s">
        <v>807</v>
      </c>
      <c r="Z333" s="31">
        <v>46081</v>
      </c>
      <c r="AA333">
        <v>44000</v>
      </c>
      <c r="AB333">
        <v>13781</v>
      </c>
      <c r="AC333">
        <v>70</v>
      </c>
      <c r="AD333" t="s">
        <v>44</v>
      </c>
      <c r="AE333" s="31">
        <v>46002</v>
      </c>
      <c r="AF333" s="61">
        <v>0.42090277777777779</v>
      </c>
      <c r="AH333" t="s">
        <v>782</v>
      </c>
      <c r="AI333" s="31"/>
      <c r="AJ333" s="61"/>
      <c r="AN333" t="s">
        <v>2504</v>
      </c>
      <c r="AO333" t="s">
        <v>44</v>
      </c>
      <c r="AP333" t="s">
        <v>2505</v>
      </c>
      <c r="AQ333" t="s">
        <v>2504</v>
      </c>
      <c r="AR333" s="31">
        <v>46051</v>
      </c>
      <c r="AS333" t="s">
        <v>1423</v>
      </c>
      <c r="AX333">
        <v>1</v>
      </c>
    </row>
    <row r="334" spans="1:50" x14ac:dyDescent="0.3">
      <c r="A334" t="s">
        <v>44</v>
      </c>
      <c r="B334">
        <v>731</v>
      </c>
      <c r="D334">
        <v>2980</v>
      </c>
      <c r="G334" t="s">
        <v>2506</v>
      </c>
      <c r="J334" t="s">
        <v>2507</v>
      </c>
      <c r="K334" t="s">
        <v>2508</v>
      </c>
      <c r="M334" t="s">
        <v>1532</v>
      </c>
      <c r="P334" t="s">
        <v>778</v>
      </c>
      <c r="V334" t="s">
        <v>1419</v>
      </c>
      <c r="W334" t="s">
        <v>780</v>
      </c>
      <c r="X334" t="s">
        <v>807</v>
      </c>
      <c r="Z334" s="31">
        <v>46053</v>
      </c>
      <c r="AA334">
        <v>8000</v>
      </c>
      <c r="AB334">
        <v>19642</v>
      </c>
      <c r="AC334">
        <v>49</v>
      </c>
      <c r="AD334" t="s">
        <v>44</v>
      </c>
      <c r="AE334" s="31">
        <v>46002</v>
      </c>
      <c r="AF334" s="61">
        <v>0.43156250000000002</v>
      </c>
      <c r="AH334" t="s">
        <v>795</v>
      </c>
      <c r="AI334" s="31">
        <v>46051</v>
      </c>
      <c r="AJ334" s="61">
        <v>0.6605092592592593</v>
      </c>
      <c r="AK334" t="s">
        <v>858</v>
      </c>
      <c r="AL334" t="s">
        <v>2509</v>
      </c>
      <c r="AN334" t="s">
        <v>2510</v>
      </c>
      <c r="AP334" t="s">
        <v>2511</v>
      </c>
      <c r="AR334" s="31">
        <v>46031</v>
      </c>
      <c r="AX334">
        <v>1</v>
      </c>
    </row>
    <row r="335" spans="1:50" x14ac:dyDescent="0.3">
      <c r="A335" t="s">
        <v>44</v>
      </c>
      <c r="B335">
        <v>732</v>
      </c>
      <c r="D335">
        <v>2981</v>
      </c>
      <c r="E335" t="s">
        <v>2500</v>
      </c>
      <c r="G335" t="s">
        <v>2512</v>
      </c>
      <c r="J335" t="s">
        <v>2513</v>
      </c>
      <c r="K335" t="s">
        <v>2508</v>
      </c>
      <c r="M335" t="s">
        <v>1532</v>
      </c>
      <c r="P335" t="s">
        <v>778</v>
      </c>
      <c r="V335" t="s">
        <v>1419</v>
      </c>
      <c r="W335" t="s">
        <v>780</v>
      </c>
      <c r="X335" t="s">
        <v>807</v>
      </c>
      <c r="Z335" s="31">
        <v>46081</v>
      </c>
      <c r="AA335">
        <v>1600</v>
      </c>
      <c r="AB335">
        <v>34428</v>
      </c>
      <c r="AC335">
        <v>70</v>
      </c>
      <c r="AD335" t="s">
        <v>44</v>
      </c>
      <c r="AE335" s="31">
        <v>46002</v>
      </c>
      <c r="AF335" s="61">
        <v>0.43273148148148149</v>
      </c>
      <c r="AH335" t="s">
        <v>782</v>
      </c>
      <c r="AI335" s="31"/>
      <c r="AJ335" s="61"/>
      <c r="AN335" t="s">
        <v>2504</v>
      </c>
      <c r="AO335" t="s">
        <v>44</v>
      </c>
      <c r="AP335" t="s">
        <v>2505</v>
      </c>
      <c r="AQ335" t="s">
        <v>2504</v>
      </c>
      <c r="AR335" s="31">
        <v>46031</v>
      </c>
      <c r="AS335" t="s">
        <v>1423</v>
      </c>
      <c r="AX335">
        <v>1</v>
      </c>
    </row>
    <row r="336" spans="1:50" x14ac:dyDescent="0.3">
      <c r="A336" t="s">
        <v>44</v>
      </c>
      <c r="B336">
        <v>733</v>
      </c>
      <c r="D336">
        <v>2982</v>
      </c>
      <c r="F336" t="s">
        <v>2514</v>
      </c>
      <c r="G336" t="s">
        <v>2515</v>
      </c>
      <c r="H336">
        <v>96280292000809</v>
      </c>
      <c r="J336" t="s">
        <v>2514</v>
      </c>
      <c r="K336" t="s">
        <v>2516</v>
      </c>
      <c r="M336" t="s">
        <v>2517</v>
      </c>
      <c r="P336" t="s">
        <v>778</v>
      </c>
      <c r="Q336" t="s">
        <v>2518</v>
      </c>
      <c r="R336" t="s">
        <v>932</v>
      </c>
      <c r="S336" t="s">
        <v>805</v>
      </c>
      <c r="V336" t="s">
        <v>2407</v>
      </c>
      <c r="W336" t="s">
        <v>780</v>
      </c>
      <c r="X336" t="s">
        <v>816</v>
      </c>
      <c r="Z336" s="31">
        <v>46081</v>
      </c>
      <c r="AA336">
        <v>580005</v>
      </c>
      <c r="AB336">
        <v>7230</v>
      </c>
      <c r="AC336">
        <v>62</v>
      </c>
      <c r="AD336" t="s">
        <v>44</v>
      </c>
      <c r="AE336" s="31">
        <v>46002</v>
      </c>
      <c r="AF336" s="61">
        <v>0.47339120370370369</v>
      </c>
      <c r="AH336" t="s">
        <v>818</v>
      </c>
      <c r="AI336" s="31">
        <v>46064</v>
      </c>
      <c r="AJ336" s="61">
        <v>0.74250000000000005</v>
      </c>
      <c r="AN336" t="s">
        <v>2519</v>
      </c>
      <c r="AO336" t="s">
        <v>44</v>
      </c>
      <c r="AP336" t="s">
        <v>2520</v>
      </c>
      <c r="AR336" s="31">
        <v>46038</v>
      </c>
      <c r="AS336" t="s">
        <v>1970</v>
      </c>
      <c r="AX336">
        <v>1</v>
      </c>
    </row>
    <row r="337" spans="1:50" x14ac:dyDescent="0.3">
      <c r="A337" t="s">
        <v>44</v>
      </c>
      <c r="B337">
        <v>734</v>
      </c>
      <c r="D337">
        <v>2985</v>
      </c>
      <c r="E337" t="s">
        <v>2521</v>
      </c>
      <c r="G337" t="s">
        <v>2522</v>
      </c>
      <c r="J337" t="s">
        <v>2523</v>
      </c>
      <c r="K337" t="s">
        <v>2524</v>
      </c>
      <c r="M337" t="s">
        <v>2517</v>
      </c>
      <c r="P337" t="s">
        <v>778</v>
      </c>
      <c r="V337" t="s">
        <v>1419</v>
      </c>
      <c r="W337" t="s">
        <v>780</v>
      </c>
      <c r="X337" t="s">
        <v>807</v>
      </c>
      <c r="Z337" s="31">
        <v>46038</v>
      </c>
      <c r="AA337">
        <v>0</v>
      </c>
      <c r="AB337">
        <v>19642</v>
      </c>
      <c r="AC337">
        <v>47</v>
      </c>
      <c r="AD337" t="s">
        <v>44</v>
      </c>
      <c r="AE337" s="31">
        <v>46002</v>
      </c>
      <c r="AF337" s="61">
        <v>0.47990740740740739</v>
      </c>
      <c r="AH337" t="s">
        <v>795</v>
      </c>
      <c r="AI337" s="31">
        <v>46049</v>
      </c>
      <c r="AJ337" s="61">
        <v>0.6889467592592593</v>
      </c>
      <c r="AK337" t="s">
        <v>808</v>
      </c>
      <c r="AL337" t="s">
        <v>2521</v>
      </c>
      <c r="AN337" t="s">
        <v>2519</v>
      </c>
      <c r="AP337" t="s">
        <v>2520</v>
      </c>
      <c r="AR337" s="31">
        <v>46049</v>
      </c>
      <c r="AX337">
        <v>1</v>
      </c>
    </row>
    <row r="338" spans="1:50" x14ac:dyDescent="0.3">
      <c r="A338" t="s">
        <v>44</v>
      </c>
      <c r="B338">
        <v>735</v>
      </c>
      <c r="D338">
        <v>2986</v>
      </c>
      <c r="G338" t="s">
        <v>2525</v>
      </c>
      <c r="J338" t="s">
        <v>2526</v>
      </c>
      <c r="K338" t="s">
        <v>2524</v>
      </c>
      <c r="M338" t="s">
        <v>2517</v>
      </c>
      <c r="P338" t="s">
        <v>778</v>
      </c>
      <c r="V338" t="s">
        <v>1581</v>
      </c>
      <c r="W338" t="s">
        <v>780</v>
      </c>
      <c r="X338" t="s">
        <v>816</v>
      </c>
      <c r="Z338" s="31">
        <v>46038</v>
      </c>
      <c r="AA338">
        <v>1600</v>
      </c>
      <c r="AB338">
        <v>524246</v>
      </c>
      <c r="AC338">
        <v>70</v>
      </c>
      <c r="AD338" t="s">
        <v>44</v>
      </c>
      <c r="AE338" s="31">
        <v>46002</v>
      </c>
      <c r="AF338" s="61">
        <v>0.4813425925925926</v>
      </c>
      <c r="AH338" t="s">
        <v>782</v>
      </c>
      <c r="AI338" s="31"/>
      <c r="AJ338" s="61"/>
      <c r="AN338" t="s">
        <v>2519</v>
      </c>
      <c r="AO338" t="s">
        <v>44</v>
      </c>
      <c r="AP338" t="s">
        <v>2520</v>
      </c>
      <c r="AR338" s="31">
        <v>46027</v>
      </c>
      <c r="AS338" t="s">
        <v>1012</v>
      </c>
      <c r="AX338">
        <v>1</v>
      </c>
    </row>
    <row r="339" spans="1:50" x14ac:dyDescent="0.3">
      <c r="A339" t="s">
        <v>44</v>
      </c>
      <c r="B339">
        <v>736</v>
      </c>
      <c r="D339">
        <v>2988</v>
      </c>
      <c r="G339" t="s">
        <v>2527</v>
      </c>
      <c r="J339" t="s">
        <v>2528</v>
      </c>
      <c r="K339" t="s">
        <v>1042</v>
      </c>
      <c r="M339" t="s">
        <v>1043</v>
      </c>
      <c r="P339" t="s">
        <v>778</v>
      </c>
      <c r="V339" t="s">
        <v>1718</v>
      </c>
      <c r="W339" t="s">
        <v>780</v>
      </c>
      <c r="X339" t="s">
        <v>807</v>
      </c>
      <c r="Z339" s="31">
        <v>46008</v>
      </c>
      <c r="AA339">
        <v>26200</v>
      </c>
      <c r="AB339">
        <v>3400</v>
      </c>
      <c r="AC339">
        <v>50</v>
      </c>
      <c r="AD339" t="s">
        <v>44</v>
      </c>
      <c r="AE339" s="31">
        <v>46002</v>
      </c>
      <c r="AF339" s="61">
        <v>0.6433564814814815</v>
      </c>
      <c r="AH339" t="s">
        <v>795</v>
      </c>
      <c r="AI339" s="31">
        <v>46052</v>
      </c>
      <c r="AJ339" s="61">
        <v>0.65020833333333339</v>
      </c>
      <c r="AK339" t="s">
        <v>796</v>
      </c>
      <c r="AL339" t="s">
        <v>967</v>
      </c>
      <c r="AN339" t="s">
        <v>2529</v>
      </c>
      <c r="AP339" t="s">
        <v>2529</v>
      </c>
      <c r="AQ339" t="s">
        <v>2511</v>
      </c>
      <c r="AR339" s="31">
        <v>46031</v>
      </c>
      <c r="AX339">
        <v>1</v>
      </c>
    </row>
    <row r="340" spans="1:50" x14ac:dyDescent="0.3">
      <c r="A340" t="s">
        <v>44</v>
      </c>
      <c r="B340">
        <v>737</v>
      </c>
      <c r="D340">
        <v>2989</v>
      </c>
      <c r="G340" t="s">
        <v>2530</v>
      </c>
      <c r="J340" t="s">
        <v>2531</v>
      </c>
      <c r="K340" t="s">
        <v>1549</v>
      </c>
      <c r="M340" t="s">
        <v>1111</v>
      </c>
      <c r="P340" t="s">
        <v>778</v>
      </c>
      <c r="V340" t="s">
        <v>1718</v>
      </c>
      <c r="W340" t="s">
        <v>780</v>
      </c>
      <c r="X340" t="s">
        <v>807</v>
      </c>
      <c r="Z340" s="31">
        <v>46008</v>
      </c>
      <c r="AA340">
        <v>22824</v>
      </c>
      <c r="AB340">
        <v>68904</v>
      </c>
      <c r="AC340">
        <v>1</v>
      </c>
      <c r="AD340" t="s">
        <v>44</v>
      </c>
      <c r="AE340" s="31">
        <v>46002</v>
      </c>
      <c r="AF340" s="61">
        <v>0.66396990740740736</v>
      </c>
      <c r="AH340" t="s">
        <v>795</v>
      </c>
      <c r="AI340" s="31">
        <v>46003</v>
      </c>
      <c r="AJ340" s="61">
        <v>0.69563657407407409</v>
      </c>
      <c r="AK340" t="s">
        <v>796</v>
      </c>
      <c r="AL340" t="s">
        <v>2532</v>
      </c>
      <c r="AN340" t="s">
        <v>2519</v>
      </c>
      <c r="AP340" t="s">
        <v>2519</v>
      </c>
      <c r="AR340" s="31">
        <v>46003</v>
      </c>
      <c r="AX340">
        <v>1</v>
      </c>
    </row>
    <row r="341" spans="1:50" x14ac:dyDescent="0.3">
      <c r="A341" t="s">
        <v>44</v>
      </c>
      <c r="B341">
        <v>739</v>
      </c>
      <c r="D341">
        <v>2991</v>
      </c>
      <c r="G341" t="s">
        <v>2533</v>
      </c>
      <c r="J341" t="s">
        <v>2534</v>
      </c>
      <c r="K341" t="s">
        <v>2535</v>
      </c>
      <c r="M341" t="s">
        <v>1111</v>
      </c>
      <c r="P341" t="s">
        <v>778</v>
      </c>
      <c r="V341" t="s">
        <v>1718</v>
      </c>
      <c r="W341" t="s">
        <v>780</v>
      </c>
      <c r="X341" t="s">
        <v>793</v>
      </c>
      <c r="Z341" s="31">
        <v>46022</v>
      </c>
      <c r="AA341">
        <v>3392</v>
      </c>
      <c r="AB341">
        <v>3564</v>
      </c>
      <c r="AC341">
        <v>69</v>
      </c>
      <c r="AD341" t="s">
        <v>44</v>
      </c>
      <c r="AE341" s="31">
        <v>46003</v>
      </c>
      <c r="AF341" s="61">
        <v>0.51504629629629628</v>
      </c>
      <c r="AH341" t="s">
        <v>782</v>
      </c>
      <c r="AI341" s="31"/>
      <c r="AJ341" s="61"/>
      <c r="AN341" t="s">
        <v>2326</v>
      </c>
      <c r="AO341" t="s">
        <v>44</v>
      </c>
      <c r="AP341" t="s">
        <v>2326</v>
      </c>
      <c r="AR341" s="31">
        <v>46003</v>
      </c>
      <c r="AS341" t="s">
        <v>2119</v>
      </c>
      <c r="AX341">
        <v>1</v>
      </c>
    </row>
    <row r="342" spans="1:50" x14ac:dyDescent="0.3">
      <c r="A342" t="s">
        <v>22</v>
      </c>
      <c r="B342">
        <v>740</v>
      </c>
      <c r="D342">
        <v>2994</v>
      </c>
      <c r="E342" t="s">
        <v>2536</v>
      </c>
      <c r="G342" t="s">
        <v>2537</v>
      </c>
      <c r="J342" t="s">
        <v>2538</v>
      </c>
      <c r="K342" t="s">
        <v>2539</v>
      </c>
      <c r="M342" t="s">
        <v>2540</v>
      </c>
      <c r="P342" t="s">
        <v>778</v>
      </c>
      <c r="S342" t="s">
        <v>2541</v>
      </c>
      <c r="V342" t="s">
        <v>2542</v>
      </c>
      <c r="W342" t="s">
        <v>780</v>
      </c>
      <c r="X342" t="s">
        <v>897</v>
      </c>
      <c r="Z342" s="31">
        <v>46053</v>
      </c>
      <c r="AC342">
        <v>65</v>
      </c>
      <c r="AD342" t="s">
        <v>22</v>
      </c>
      <c r="AE342" s="31">
        <v>46007</v>
      </c>
      <c r="AF342" s="61">
        <v>0.50936342592592587</v>
      </c>
      <c r="AH342" t="s">
        <v>782</v>
      </c>
      <c r="AI342" s="31"/>
      <c r="AJ342" s="61"/>
      <c r="AO342" t="s">
        <v>22</v>
      </c>
      <c r="AR342" s="31">
        <v>46045</v>
      </c>
      <c r="AS342" t="s">
        <v>2119</v>
      </c>
      <c r="AX342">
        <v>1</v>
      </c>
    </row>
    <row r="343" spans="1:50" x14ac:dyDescent="0.3">
      <c r="A343" t="s">
        <v>44</v>
      </c>
      <c r="B343">
        <v>741</v>
      </c>
      <c r="D343">
        <v>2995</v>
      </c>
      <c r="E343" t="s">
        <v>2543</v>
      </c>
      <c r="G343" t="s">
        <v>2544</v>
      </c>
      <c r="J343" t="s">
        <v>2545</v>
      </c>
      <c r="K343" t="s">
        <v>2546</v>
      </c>
      <c r="M343" t="s">
        <v>2547</v>
      </c>
      <c r="P343" t="s">
        <v>778</v>
      </c>
      <c r="Q343" t="s">
        <v>2548</v>
      </c>
      <c r="S343" t="s">
        <v>814</v>
      </c>
      <c r="V343" t="s">
        <v>2391</v>
      </c>
      <c r="W343" t="s">
        <v>780</v>
      </c>
      <c r="X343" t="s">
        <v>807</v>
      </c>
      <c r="Z343" s="31">
        <v>46053</v>
      </c>
      <c r="AA343">
        <v>44000</v>
      </c>
      <c r="AB343">
        <v>110248</v>
      </c>
      <c r="AC343">
        <v>31</v>
      </c>
      <c r="AD343" t="s">
        <v>44</v>
      </c>
      <c r="AE343" s="31">
        <v>46007</v>
      </c>
      <c r="AF343" s="61">
        <v>0.72878472222222224</v>
      </c>
      <c r="AH343" t="s">
        <v>795</v>
      </c>
      <c r="AI343" s="31">
        <v>46038</v>
      </c>
      <c r="AJ343" s="61">
        <v>0.66372685185185187</v>
      </c>
      <c r="AK343" t="s">
        <v>934</v>
      </c>
      <c r="AL343" t="s">
        <v>2549</v>
      </c>
      <c r="AN343" t="s">
        <v>2550</v>
      </c>
      <c r="AP343" t="s">
        <v>2510</v>
      </c>
      <c r="AQ343" t="s">
        <v>2551</v>
      </c>
      <c r="AR343" s="31">
        <v>46038</v>
      </c>
      <c r="AX343">
        <v>1</v>
      </c>
    </row>
    <row r="344" spans="1:50" x14ac:dyDescent="0.3">
      <c r="A344" t="s">
        <v>44</v>
      </c>
      <c r="B344">
        <v>742</v>
      </c>
      <c r="D344">
        <v>2996</v>
      </c>
      <c r="E344" t="s">
        <v>2543</v>
      </c>
      <c r="G344" t="s">
        <v>2552</v>
      </c>
      <c r="J344" t="s">
        <v>2553</v>
      </c>
      <c r="K344" t="s">
        <v>2554</v>
      </c>
      <c r="M344" t="s">
        <v>2547</v>
      </c>
      <c r="P344" t="s">
        <v>778</v>
      </c>
      <c r="V344" t="s">
        <v>1718</v>
      </c>
      <c r="W344" t="s">
        <v>780</v>
      </c>
      <c r="X344" t="s">
        <v>807</v>
      </c>
      <c r="Z344" s="31">
        <v>46053</v>
      </c>
      <c r="AA344">
        <v>8000</v>
      </c>
      <c r="AB344">
        <v>186599</v>
      </c>
      <c r="AC344">
        <v>31</v>
      </c>
      <c r="AD344" t="s">
        <v>44</v>
      </c>
      <c r="AE344" s="31">
        <v>46007</v>
      </c>
      <c r="AF344" s="61">
        <v>0.7303587962962963</v>
      </c>
      <c r="AH344" t="s">
        <v>795</v>
      </c>
      <c r="AI344" s="31">
        <v>46038</v>
      </c>
      <c r="AJ344" s="61">
        <v>0.66439814814814813</v>
      </c>
      <c r="AK344" t="s">
        <v>934</v>
      </c>
      <c r="AL344" t="s">
        <v>2549</v>
      </c>
      <c r="AN344" t="s">
        <v>2550</v>
      </c>
      <c r="AP344" t="s">
        <v>2510</v>
      </c>
      <c r="AQ344" t="s">
        <v>2551</v>
      </c>
      <c r="AR344" s="31">
        <v>46038</v>
      </c>
      <c r="AX344">
        <v>1</v>
      </c>
    </row>
    <row r="345" spans="1:50" x14ac:dyDescent="0.3">
      <c r="A345" t="s">
        <v>44</v>
      </c>
      <c r="B345">
        <v>746</v>
      </c>
      <c r="D345">
        <v>3004</v>
      </c>
      <c r="G345" t="s">
        <v>2555</v>
      </c>
      <c r="J345" t="s">
        <v>2556</v>
      </c>
      <c r="K345" t="s">
        <v>2557</v>
      </c>
      <c r="M345" t="s">
        <v>2558</v>
      </c>
      <c r="P345" t="s">
        <v>778</v>
      </c>
      <c r="S345" t="s">
        <v>2541</v>
      </c>
      <c r="V345" t="s">
        <v>2559</v>
      </c>
      <c r="W345" t="s">
        <v>780</v>
      </c>
      <c r="X345" t="s">
        <v>781</v>
      </c>
      <c r="Z345" s="31"/>
      <c r="AC345">
        <v>21</v>
      </c>
      <c r="AD345" t="s">
        <v>44</v>
      </c>
      <c r="AE345" s="31">
        <v>46013</v>
      </c>
      <c r="AF345" s="61">
        <v>0.35472222222222222</v>
      </c>
      <c r="AH345" t="s">
        <v>795</v>
      </c>
      <c r="AI345" s="31">
        <v>46034</v>
      </c>
      <c r="AJ345" s="61">
        <v>0.93934027777777773</v>
      </c>
      <c r="AK345" t="s">
        <v>1226</v>
      </c>
      <c r="AR345" s="31"/>
      <c r="AX345">
        <v>1</v>
      </c>
    </row>
    <row r="346" spans="1:50" x14ac:dyDescent="0.3">
      <c r="A346" t="s">
        <v>44</v>
      </c>
      <c r="B346">
        <v>747</v>
      </c>
      <c r="D346">
        <v>3003</v>
      </c>
      <c r="G346" t="s">
        <v>2560</v>
      </c>
      <c r="J346" t="s">
        <v>2561</v>
      </c>
      <c r="K346" t="s">
        <v>2562</v>
      </c>
      <c r="M346" t="s">
        <v>2563</v>
      </c>
      <c r="P346" t="s">
        <v>778</v>
      </c>
      <c r="S346" t="s">
        <v>2541</v>
      </c>
      <c r="V346" t="s">
        <v>2559</v>
      </c>
      <c r="W346" t="s">
        <v>780</v>
      </c>
      <c r="X346" t="s">
        <v>781</v>
      </c>
      <c r="Z346" s="31"/>
      <c r="AC346">
        <v>45</v>
      </c>
      <c r="AD346" t="s">
        <v>44</v>
      </c>
      <c r="AE346" s="31">
        <v>46013</v>
      </c>
      <c r="AF346" s="61">
        <v>0.35800925925925919</v>
      </c>
      <c r="AH346" t="s">
        <v>795</v>
      </c>
      <c r="AI346" s="31">
        <v>46058</v>
      </c>
      <c r="AJ346" s="61">
        <v>0.52331018518518524</v>
      </c>
      <c r="AK346" t="s">
        <v>796</v>
      </c>
      <c r="AL346" t="s">
        <v>2564</v>
      </c>
      <c r="AR346" s="31"/>
      <c r="AX346">
        <v>1</v>
      </c>
    </row>
    <row r="347" spans="1:50" x14ac:dyDescent="0.3">
      <c r="A347" t="s">
        <v>44</v>
      </c>
      <c r="B347">
        <v>748</v>
      </c>
      <c r="D347">
        <v>3011</v>
      </c>
      <c r="E347" t="s">
        <v>2565</v>
      </c>
      <c r="G347" t="s">
        <v>2566</v>
      </c>
      <c r="H347">
        <v>9260618000165</v>
      </c>
      <c r="J347" t="s">
        <v>2567</v>
      </c>
      <c r="K347" t="s">
        <v>2568</v>
      </c>
      <c r="M347" t="s">
        <v>2569</v>
      </c>
      <c r="P347" t="s">
        <v>778</v>
      </c>
      <c r="S347" t="s">
        <v>2541</v>
      </c>
      <c r="V347" t="s">
        <v>2542</v>
      </c>
      <c r="W347" t="s">
        <v>780</v>
      </c>
      <c r="X347" t="s">
        <v>857</v>
      </c>
      <c r="Z347" s="31">
        <v>46053</v>
      </c>
      <c r="AC347">
        <v>51</v>
      </c>
      <c r="AD347" t="s">
        <v>44</v>
      </c>
      <c r="AE347" s="31">
        <v>46021</v>
      </c>
      <c r="AF347" s="61">
        <v>0.46439814814814823</v>
      </c>
      <c r="AH347" t="s">
        <v>782</v>
      </c>
      <c r="AI347" s="31"/>
      <c r="AJ347" s="61"/>
      <c r="AO347" t="s">
        <v>44</v>
      </c>
      <c r="AP347" t="s">
        <v>2505</v>
      </c>
      <c r="AR347" s="31">
        <v>46051</v>
      </c>
      <c r="AS347" t="s">
        <v>2119</v>
      </c>
      <c r="AX347">
        <v>1</v>
      </c>
    </row>
    <row r="348" spans="1:50" x14ac:dyDescent="0.3">
      <c r="A348" t="s">
        <v>44</v>
      </c>
      <c r="B348">
        <v>749</v>
      </c>
      <c r="D348">
        <v>3006</v>
      </c>
      <c r="E348" t="s">
        <v>2570</v>
      </c>
      <c r="G348" t="s">
        <v>381</v>
      </c>
      <c r="H348">
        <v>34667612000154</v>
      </c>
      <c r="J348" t="s">
        <v>2571</v>
      </c>
      <c r="K348" t="s">
        <v>2572</v>
      </c>
      <c r="M348" t="s">
        <v>2573</v>
      </c>
      <c r="P348" t="s">
        <v>778</v>
      </c>
      <c r="Q348" t="s">
        <v>2574</v>
      </c>
      <c r="R348" t="s">
        <v>1699</v>
      </c>
      <c r="S348" t="s">
        <v>2541</v>
      </c>
      <c r="V348" t="s">
        <v>2542</v>
      </c>
      <c r="W348" t="s">
        <v>780</v>
      </c>
      <c r="X348" t="s">
        <v>793</v>
      </c>
      <c r="Z348" s="31">
        <v>46081</v>
      </c>
      <c r="AA348">
        <v>1117015</v>
      </c>
      <c r="AB348">
        <v>468739</v>
      </c>
      <c r="AC348">
        <v>50</v>
      </c>
      <c r="AD348" t="s">
        <v>44</v>
      </c>
      <c r="AE348" s="31">
        <v>46021</v>
      </c>
      <c r="AF348" s="61">
        <v>0.47844907407407411</v>
      </c>
      <c r="AH348" t="s">
        <v>795</v>
      </c>
      <c r="AI348" s="31">
        <v>46071</v>
      </c>
      <c r="AJ348" s="61">
        <v>0.36982638888888891</v>
      </c>
      <c r="AK348" t="s">
        <v>934</v>
      </c>
      <c r="AL348" t="s">
        <v>2575</v>
      </c>
      <c r="AN348" t="s">
        <v>382</v>
      </c>
      <c r="AO348" t="s">
        <v>44</v>
      </c>
      <c r="AP348" t="s">
        <v>2576</v>
      </c>
      <c r="AQ348" t="s">
        <v>382</v>
      </c>
      <c r="AR348" s="31">
        <v>46071</v>
      </c>
      <c r="AS348" t="s">
        <v>2119</v>
      </c>
      <c r="AX348">
        <v>1</v>
      </c>
    </row>
    <row r="349" spans="1:50" x14ac:dyDescent="0.3">
      <c r="A349" t="s">
        <v>31</v>
      </c>
      <c r="B349">
        <v>750</v>
      </c>
      <c r="D349">
        <v>3016</v>
      </c>
      <c r="E349" t="s">
        <v>2577</v>
      </c>
      <c r="G349" t="s">
        <v>2578</v>
      </c>
      <c r="H349">
        <v>1574467000108</v>
      </c>
      <c r="J349" t="s">
        <v>2579</v>
      </c>
      <c r="K349" t="s">
        <v>2580</v>
      </c>
      <c r="M349" t="s">
        <v>2581</v>
      </c>
      <c r="P349" t="s">
        <v>778</v>
      </c>
      <c r="S349" t="s">
        <v>2541</v>
      </c>
      <c r="V349" t="s">
        <v>2582</v>
      </c>
      <c r="W349" t="s">
        <v>780</v>
      </c>
      <c r="X349" t="s">
        <v>807</v>
      </c>
      <c r="Z349" s="31">
        <v>46112</v>
      </c>
      <c r="AA349">
        <v>12996348</v>
      </c>
      <c r="AB349">
        <v>860884</v>
      </c>
      <c r="AC349">
        <v>43</v>
      </c>
      <c r="AD349" t="s">
        <v>31</v>
      </c>
      <c r="AE349" s="31">
        <v>46027</v>
      </c>
      <c r="AF349" s="61">
        <v>0.49306712962962962</v>
      </c>
      <c r="AH349" t="s">
        <v>795</v>
      </c>
      <c r="AI349" s="31">
        <v>46070</v>
      </c>
      <c r="AJ349" s="61">
        <v>0.68046296296296294</v>
      </c>
      <c r="AK349" t="s">
        <v>867</v>
      </c>
      <c r="AO349" t="s">
        <v>31</v>
      </c>
      <c r="AP349" t="s">
        <v>2505</v>
      </c>
      <c r="AQ349" t="s">
        <v>382</v>
      </c>
      <c r="AR349" s="31">
        <v>46058</v>
      </c>
      <c r="AS349" t="s">
        <v>1423</v>
      </c>
      <c r="AX349">
        <v>1</v>
      </c>
    </row>
    <row r="350" spans="1:50" x14ac:dyDescent="0.3">
      <c r="A350" t="s">
        <v>31</v>
      </c>
      <c r="B350">
        <v>754</v>
      </c>
      <c r="D350">
        <v>3017</v>
      </c>
      <c r="E350" t="s">
        <v>2583</v>
      </c>
      <c r="F350" t="s">
        <v>2584</v>
      </c>
      <c r="G350" t="s">
        <v>2585</v>
      </c>
      <c r="H350">
        <v>61516270000144</v>
      </c>
      <c r="J350" t="s">
        <v>2586</v>
      </c>
      <c r="K350" t="s">
        <v>2587</v>
      </c>
      <c r="M350" t="s">
        <v>2588</v>
      </c>
      <c r="P350" t="s">
        <v>778</v>
      </c>
      <c r="Q350" t="s">
        <v>2589</v>
      </c>
      <c r="R350" t="s">
        <v>790</v>
      </c>
      <c r="S350" t="s">
        <v>2541</v>
      </c>
      <c r="V350" t="s">
        <v>2542</v>
      </c>
      <c r="W350" t="s">
        <v>780</v>
      </c>
      <c r="X350" t="s">
        <v>793</v>
      </c>
      <c r="Z350" s="31">
        <v>46142</v>
      </c>
      <c r="AC350">
        <v>13</v>
      </c>
      <c r="AD350" t="s">
        <v>31</v>
      </c>
      <c r="AE350" s="31">
        <v>46029</v>
      </c>
      <c r="AF350" s="61">
        <v>0.42782407407407408</v>
      </c>
      <c r="AH350" t="s">
        <v>795</v>
      </c>
      <c r="AI350" s="31">
        <v>46042</v>
      </c>
      <c r="AJ350" s="61">
        <v>0.71923611111111108</v>
      </c>
      <c r="AK350" t="s">
        <v>858</v>
      </c>
      <c r="AN350" t="s">
        <v>2590</v>
      </c>
      <c r="AO350" t="s">
        <v>31</v>
      </c>
      <c r="AP350" t="s">
        <v>2591</v>
      </c>
      <c r="AR350" s="31">
        <v>46041</v>
      </c>
      <c r="AX350">
        <v>1</v>
      </c>
    </row>
    <row r="351" spans="1:50" x14ac:dyDescent="0.3">
      <c r="A351" t="s">
        <v>22</v>
      </c>
      <c r="B351">
        <v>757</v>
      </c>
      <c r="D351">
        <v>3046</v>
      </c>
      <c r="E351" t="s">
        <v>2592</v>
      </c>
      <c r="G351" t="s">
        <v>2593</v>
      </c>
      <c r="J351" t="s">
        <v>2594</v>
      </c>
      <c r="K351" t="s">
        <v>2595</v>
      </c>
      <c r="M351" t="s">
        <v>2596</v>
      </c>
      <c r="P351" t="s">
        <v>778</v>
      </c>
      <c r="S351" t="s">
        <v>2541</v>
      </c>
      <c r="V351" t="s">
        <v>2542</v>
      </c>
      <c r="W351" t="s">
        <v>780</v>
      </c>
      <c r="X351" t="s">
        <v>897</v>
      </c>
      <c r="Z351" s="31">
        <v>46034</v>
      </c>
      <c r="AC351">
        <v>15</v>
      </c>
      <c r="AD351" t="s">
        <v>22</v>
      </c>
      <c r="AE351" s="31">
        <v>46030</v>
      </c>
      <c r="AF351" s="61">
        <v>0.66454861111111108</v>
      </c>
      <c r="AH351" t="s">
        <v>795</v>
      </c>
      <c r="AI351" s="31">
        <v>46045</v>
      </c>
      <c r="AJ351" s="61">
        <v>0.74555555555555553</v>
      </c>
      <c r="AK351" t="s">
        <v>974</v>
      </c>
      <c r="AL351" t="s">
        <v>2597</v>
      </c>
      <c r="AO351" t="s">
        <v>22</v>
      </c>
      <c r="AR351" s="31">
        <v>46034</v>
      </c>
      <c r="AX351">
        <v>1</v>
      </c>
    </row>
    <row r="352" spans="1:50" x14ac:dyDescent="0.3">
      <c r="A352" t="s">
        <v>22</v>
      </c>
      <c r="B352">
        <v>758</v>
      </c>
      <c r="D352">
        <v>3048</v>
      </c>
      <c r="E352" t="s">
        <v>2598</v>
      </c>
      <c r="G352" t="s">
        <v>2599</v>
      </c>
      <c r="J352" t="s">
        <v>2600</v>
      </c>
      <c r="K352" t="s">
        <v>2601</v>
      </c>
      <c r="M352" t="s">
        <v>2602</v>
      </c>
      <c r="P352" t="s">
        <v>778</v>
      </c>
      <c r="V352" t="s">
        <v>1419</v>
      </c>
      <c r="W352" t="s">
        <v>780</v>
      </c>
      <c r="X352" t="s">
        <v>807</v>
      </c>
      <c r="Z352" s="31">
        <v>46053</v>
      </c>
      <c r="AA352">
        <v>0</v>
      </c>
      <c r="AB352">
        <v>66</v>
      </c>
      <c r="AC352">
        <v>42</v>
      </c>
      <c r="AD352" t="s">
        <v>22</v>
      </c>
      <c r="AE352" s="31">
        <v>46030</v>
      </c>
      <c r="AF352" s="61">
        <v>0.7044907407407407</v>
      </c>
      <c r="AH352" t="s">
        <v>782</v>
      </c>
      <c r="AI352" s="31"/>
      <c r="AJ352" s="61"/>
      <c r="AN352" t="s">
        <v>2603</v>
      </c>
      <c r="AO352" t="s">
        <v>22</v>
      </c>
      <c r="AP352" t="s">
        <v>2603</v>
      </c>
      <c r="AR352" s="31">
        <v>46044</v>
      </c>
      <c r="AS352" t="s">
        <v>1423</v>
      </c>
      <c r="AT352" t="s">
        <v>2604</v>
      </c>
      <c r="AU352" t="s">
        <v>2605</v>
      </c>
      <c r="AV352" t="s">
        <v>2606</v>
      </c>
      <c r="AW352" t="s">
        <v>2607</v>
      </c>
      <c r="AX352">
        <v>1</v>
      </c>
    </row>
    <row r="353" spans="1:50" x14ac:dyDescent="0.3">
      <c r="A353" t="s">
        <v>22</v>
      </c>
      <c r="B353">
        <v>759</v>
      </c>
      <c r="D353">
        <v>3049</v>
      </c>
      <c r="E353" t="s">
        <v>2608</v>
      </c>
      <c r="G353" t="s">
        <v>2609</v>
      </c>
      <c r="H353">
        <v>10345472000130</v>
      </c>
      <c r="J353" t="s">
        <v>2610</v>
      </c>
      <c r="K353" t="s">
        <v>2611</v>
      </c>
      <c r="M353" t="s">
        <v>2612</v>
      </c>
      <c r="P353" t="s">
        <v>778</v>
      </c>
      <c r="V353" t="s">
        <v>1704</v>
      </c>
      <c r="W353" t="s">
        <v>780</v>
      </c>
      <c r="X353" t="s">
        <v>816</v>
      </c>
      <c r="Z353" s="31">
        <v>46053</v>
      </c>
      <c r="AA353">
        <v>1505387</v>
      </c>
      <c r="AB353">
        <v>27562</v>
      </c>
      <c r="AC353">
        <v>4</v>
      </c>
      <c r="AD353" t="s">
        <v>22</v>
      </c>
      <c r="AE353" s="31">
        <v>46030</v>
      </c>
      <c r="AF353" s="61">
        <v>0.71855324074074078</v>
      </c>
      <c r="AH353" t="s">
        <v>818</v>
      </c>
      <c r="AI353" s="31">
        <v>46034</v>
      </c>
      <c r="AJ353" s="61">
        <v>0.6088541666666667</v>
      </c>
      <c r="AN353" t="s">
        <v>2603</v>
      </c>
      <c r="AO353" t="s">
        <v>22</v>
      </c>
      <c r="AP353" t="s">
        <v>2603</v>
      </c>
      <c r="AR353" s="31"/>
      <c r="AX353">
        <v>1</v>
      </c>
    </row>
    <row r="354" spans="1:50" x14ac:dyDescent="0.3">
      <c r="A354" t="s">
        <v>22</v>
      </c>
      <c r="B354">
        <v>760</v>
      </c>
      <c r="D354">
        <v>3050</v>
      </c>
      <c r="E354" t="s">
        <v>2613</v>
      </c>
      <c r="G354" t="s">
        <v>2614</v>
      </c>
      <c r="H354">
        <v>3204281000192</v>
      </c>
      <c r="J354" t="s">
        <v>2615</v>
      </c>
      <c r="K354" t="s">
        <v>2616</v>
      </c>
      <c r="M354" t="s">
        <v>2617</v>
      </c>
      <c r="P354" t="s">
        <v>778</v>
      </c>
      <c r="Q354" t="s">
        <v>2618</v>
      </c>
      <c r="R354" t="s">
        <v>790</v>
      </c>
      <c r="V354" t="s">
        <v>1704</v>
      </c>
      <c r="W354" t="s">
        <v>780</v>
      </c>
      <c r="X354" t="s">
        <v>816</v>
      </c>
      <c r="Z354" s="31">
        <v>46053</v>
      </c>
      <c r="AA354">
        <v>58000</v>
      </c>
      <c r="AB354">
        <v>0</v>
      </c>
      <c r="AC354">
        <v>42</v>
      </c>
      <c r="AD354" t="s">
        <v>22</v>
      </c>
      <c r="AE354" s="31">
        <v>46030</v>
      </c>
      <c r="AF354" s="61">
        <v>0.72366898148148151</v>
      </c>
      <c r="AH354" t="s">
        <v>782</v>
      </c>
      <c r="AI354" s="31"/>
      <c r="AJ354" s="61"/>
      <c r="AN354" t="s">
        <v>2619</v>
      </c>
      <c r="AO354" t="s">
        <v>22</v>
      </c>
      <c r="AP354" t="s">
        <v>2619</v>
      </c>
      <c r="AR354" s="31">
        <v>46045</v>
      </c>
      <c r="AS354" t="s">
        <v>1970</v>
      </c>
      <c r="AT354" t="s">
        <v>2620</v>
      </c>
      <c r="AU354" t="s">
        <v>318</v>
      </c>
      <c r="AV354" t="s">
        <v>2621</v>
      </c>
      <c r="AW354" t="s">
        <v>2606</v>
      </c>
      <c r="AX354">
        <v>1</v>
      </c>
    </row>
    <row r="355" spans="1:50" x14ac:dyDescent="0.3">
      <c r="A355" t="s">
        <v>22</v>
      </c>
      <c r="B355">
        <v>761</v>
      </c>
      <c r="D355">
        <v>3053</v>
      </c>
      <c r="E355" t="s">
        <v>2622</v>
      </c>
      <c r="G355" t="s">
        <v>2623</v>
      </c>
      <c r="H355">
        <v>12585697000199</v>
      </c>
      <c r="J355" t="s">
        <v>2624</v>
      </c>
      <c r="K355" t="s">
        <v>2625</v>
      </c>
      <c r="M355" t="s">
        <v>2626</v>
      </c>
      <c r="P355" t="s">
        <v>778</v>
      </c>
      <c r="Q355" t="s">
        <v>1837</v>
      </c>
      <c r="R355" t="s">
        <v>790</v>
      </c>
      <c r="W355" t="s">
        <v>780</v>
      </c>
      <c r="X355" t="s">
        <v>807</v>
      </c>
      <c r="Z355" s="31">
        <v>46053</v>
      </c>
      <c r="AA355">
        <v>8100</v>
      </c>
      <c r="AB355">
        <v>1080</v>
      </c>
      <c r="AC355">
        <v>4</v>
      </c>
      <c r="AD355" t="s">
        <v>22</v>
      </c>
      <c r="AE355" s="31">
        <v>46030</v>
      </c>
      <c r="AF355" s="61">
        <v>0.72824074074074074</v>
      </c>
      <c r="AH355" t="s">
        <v>795</v>
      </c>
      <c r="AI355" s="31">
        <v>46034</v>
      </c>
      <c r="AJ355" s="61">
        <v>0.60534722222222226</v>
      </c>
      <c r="AK355" t="s">
        <v>858</v>
      </c>
      <c r="AN355" t="s">
        <v>2603</v>
      </c>
      <c r="AO355" t="s">
        <v>22</v>
      </c>
      <c r="AP355" t="s">
        <v>2603</v>
      </c>
      <c r="AR355" s="31">
        <v>46031</v>
      </c>
      <c r="AX355">
        <v>1</v>
      </c>
    </row>
    <row r="356" spans="1:50" x14ac:dyDescent="0.3">
      <c r="A356" t="s">
        <v>22</v>
      </c>
      <c r="B356">
        <v>762</v>
      </c>
      <c r="D356">
        <v>3040</v>
      </c>
      <c r="E356" t="s">
        <v>2627</v>
      </c>
      <c r="G356" t="s">
        <v>2628</v>
      </c>
      <c r="J356" t="s">
        <v>2629</v>
      </c>
      <c r="K356" t="s">
        <v>2630</v>
      </c>
      <c r="M356" t="s">
        <v>2631</v>
      </c>
      <c r="P356" t="s">
        <v>778</v>
      </c>
      <c r="S356" t="s">
        <v>2541</v>
      </c>
      <c r="V356" t="s">
        <v>2632</v>
      </c>
      <c r="W356" t="s">
        <v>780</v>
      </c>
      <c r="X356" t="s">
        <v>897</v>
      </c>
      <c r="Z356" s="31">
        <v>46045</v>
      </c>
      <c r="AC356">
        <v>15</v>
      </c>
      <c r="AD356" t="s">
        <v>22</v>
      </c>
      <c r="AE356" s="31">
        <v>46030</v>
      </c>
      <c r="AF356" s="61">
        <v>0.7323263888888889</v>
      </c>
      <c r="AH356" t="s">
        <v>795</v>
      </c>
      <c r="AI356" s="31">
        <v>46045</v>
      </c>
      <c r="AJ356" s="61">
        <v>0.74736111111111114</v>
      </c>
      <c r="AK356" t="s">
        <v>1226</v>
      </c>
      <c r="AO356" t="s">
        <v>22</v>
      </c>
      <c r="AR356" s="31">
        <v>46045</v>
      </c>
      <c r="AX356">
        <v>1</v>
      </c>
    </row>
    <row r="357" spans="1:50" x14ac:dyDescent="0.3">
      <c r="A357" t="s">
        <v>44</v>
      </c>
      <c r="B357">
        <v>763</v>
      </c>
      <c r="D357">
        <v>3058</v>
      </c>
      <c r="E357" t="s">
        <v>2633</v>
      </c>
      <c r="G357" t="s">
        <v>2634</v>
      </c>
      <c r="H357">
        <v>55042933000133</v>
      </c>
      <c r="J357" t="s">
        <v>291</v>
      </c>
      <c r="K357" t="s">
        <v>2635</v>
      </c>
      <c r="M357" t="s">
        <v>2636</v>
      </c>
      <c r="P357" t="s">
        <v>778</v>
      </c>
      <c r="Q357" t="s">
        <v>2637</v>
      </c>
      <c r="R357" t="s">
        <v>1105</v>
      </c>
      <c r="S357" t="s">
        <v>2541</v>
      </c>
      <c r="V357" t="s">
        <v>2542</v>
      </c>
      <c r="W357" t="s">
        <v>780</v>
      </c>
      <c r="X357" t="s">
        <v>857</v>
      </c>
      <c r="Z357" s="31">
        <v>46053</v>
      </c>
      <c r="AA357">
        <v>61904</v>
      </c>
      <c r="AB357">
        <v>13156</v>
      </c>
      <c r="AC357">
        <v>20</v>
      </c>
      <c r="AD357" t="s">
        <v>44</v>
      </c>
      <c r="AE357" s="31">
        <v>46031</v>
      </c>
      <c r="AF357" s="61">
        <v>0.46917824074074072</v>
      </c>
      <c r="AH357" t="s">
        <v>795</v>
      </c>
      <c r="AI357" s="31">
        <v>46051</v>
      </c>
      <c r="AJ357" s="61">
        <v>0.60484953703703703</v>
      </c>
      <c r="AK357" t="s">
        <v>796</v>
      </c>
      <c r="AL357" t="s">
        <v>2638</v>
      </c>
      <c r="AN357" t="s">
        <v>2591</v>
      </c>
      <c r="AP357" t="s">
        <v>2639</v>
      </c>
      <c r="AR357" s="31">
        <v>46051</v>
      </c>
      <c r="AX357">
        <v>1</v>
      </c>
    </row>
    <row r="358" spans="1:50" x14ac:dyDescent="0.3">
      <c r="A358" t="s">
        <v>31</v>
      </c>
      <c r="B358">
        <v>764</v>
      </c>
      <c r="D358">
        <v>3007</v>
      </c>
      <c r="E358" t="s">
        <v>2640</v>
      </c>
      <c r="G358" t="s">
        <v>2641</v>
      </c>
      <c r="H358">
        <v>51776465000170</v>
      </c>
      <c r="J358" t="s">
        <v>2642</v>
      </c>
      <c r="K358" t="s">
        <v>2643</v>
      </c>
      <c r="M358" t="s">
        <v>2644</v>
      </c>
      <c r="P358" t="s">
        <v>778</v>
      </c>
      <c r="S358" t="s">
        <v>2541</v>
      </c>
      <c r="V358" t="s">
        <v>2542</v>
      </c>
      <c r="W358" t="s">
        <v>780</v>
      </c>
      <c r="X358" t="s">
        <v>793</v>
      </c>
      <c r="Z358" s="31">
        <v>46112</v>
      </c>
      <c r="AC358">
        <v>27</v>
      </c>
      <c r="AD358" t="s">
        <v>31</v>
      </c>
      <c r="AE358" s="31">
        <v>46031</v>
      </c>
      <c r="AF358" s="61">
        <v>0.48917824074074068</v>
      </c>
      <c r="AH358" t="s">
        <v>795</v>
      </c>
      <c r="AI358" s="31">
        <v>46058</v>
      </c>
      <c r="AJ358" s="61">
        <v>0.62587962962962962</v>
      </c>
      <c r="AK358" t="s">
        <v>796</v>
      </c>
      <c r="AO358" t="s">
        <v>31</v>
      </c>
      <c r="AP358" t="s">
        <v>2645</v>
      </c>
      <c r="AR358" s="31">
        <v>46050</v>
      </c>
      <c r="AX358">
        <v>1</v>
      </c>
    </row>
    <row r="359" spans="1:50" x14ac:dyDescent="0.3">
      <c r="A359" t="s">
        <v>22</v>
      </c>
      <c r="B359">
        <v>766</v>
      </c>
      <c r="D359">
        <v>3063</v>
      </c>
      <c r="E359" t="s">
        <v>2646</v>
      </c>
      <c r="G359" t="s">
        <v>2647</v>
      </c>
      <c r="J359" t="s">
        <v>2648</v>
      </c>
      <c r="K359" t="s">
        <v>2649</v>
      </c>
      <c r="M359" t="s">
        <v>1111</v>
      </c>
      <c r="P359" t="s">
        <v>778</v>
      </c>
      <c r="V359" t="s">
        <v>2407</v>
      </c>
      <c r="W359" t="s">
        <v>780</v>
      </c>
      <c r="X359" t="s">
        <v>816</v>
      </c>
      <c r="Z359" s="31">
        <v>46037</v>
      </c>
      <c r="AA359">
        <v>56100</v>
      </c>
      <c r="AB359">
        <v>67334</v>
      </c>
      <c r="AC359">
        <v>14</v>
      </c>
      <c r="AD359" t="s">
        <v>22</v>
      </c>
      <c r="AE359" s="31">
        <v>46031</v>
      </c>
      <c r="AF359" s="61">
        <v>0.64468749999999997</v>
      </c>
      <c r="AH359" t="s">
        <v>818</v>
      </c>
      <c r="AI359" s="31">
        <v>46045</v>
      </c>
      <c r="AJ359" s="61">
        <v>0.46248842592592587</v>
      </c>
      <c r="AN359" t="s">
        <v>2603</v>
      </c>
      <c r="AO359" t="s">
        <v>22</v>
      </c>
      <c r="AP359" t="s">
        <v>2650</v>
      </c>
      <c r="AR359" s="31">
        <v>46037</v>
      </c>
      <c r="AX359">
        <v>1</v>
      </c>
    </row>
    <row r="360" spans="1:50" x14ac:dyDescent="0.3">
      <c r="A360" t="s">
        <v>22</v>
      </c>
      <c r="B360">
        <v>767</v>
      </c>
      <c r="D360">
        <v>3064</v>
      </c>
      <c r="E360" t="s">
        <v>2651</v>
      </c>
      <c r="G360" t="s">
        <v>2652</v>
      </c>
      <c r="J360" t="s">
        <v>2653</v>
      </c>
      <c r="K360" t="s">
        <v>2654</v>
      </c>
      <c r="M360" t="s">
        <v>2655</v>
      </c>
      <c r="P360" t="s">
        <v>778</v>
      </c>
      <c r="V360" t="s">
        <v>2656</v>
      </c>
      <c r="W360" t="s">
        <v>780</v>
      </c>
      <c r="X360" t="s">
        <v>807</v>
      </c>
      <c r="Z360" s="31">
        <v>46053</v>
      </c>
      <c r="AA360">
        <v>16000</v>
      </c>
      <c r="AB360">
        <v>18330</v>
      </c>
      <c r="AC360">
        <v>41</v>
      </c>
      <c r="AD360" t="s">
        <v>22</v>
      </c>
      <c r="AE360" s="31">
        <v>46031</v>
      </c>
      <c r="AF360" s="61">
        <v>0.65190972222222221</v>
      </c>
      <c r="AH360" t="s">
        <v>782</v>
      </c>
      <c r="AI360" s="31"/>
      <c r="AJ360" s="61"/>
      <c r="AN360" t="s">
        <v>2650</v>
      </c>
      <c r="AO360" t="s">
        <v>22</v>
      </c>
      <c r="AP360" t="s">
        <v>2619</v>
      </c>
      <c r="AR360" s="31">
        <v>46041</v>
      </c>
      <c r="AS360" t="s">
        <v>2119</v>
      </c>
      <c r="AT360" t="s">
        <v>1012</v>
      </c>
      <c r="AU360" t="s">
        <v>63</v>
      </c>
      <c r="AV360" t="s">
        <v>1971</v>
      </c>
      <c r="AW360" t="s">
        <v>2657</v>
      </c>
      <c r="AX360">
        <v>1</v>
      </c>
    </row>
    <row r="361" spans="1:50" x14ac:dyDescent="0.3">
      <c r="A361" t="s">
        <v>31</v>
      </c>
      <c r="B361">
        <v>768</v>
      </c>
      <c r="D361">
        <v>2107</v>
      </c>
      <c r="E361" t="s">
        <v>2658</v>
      </c>
      <c r="F361" t="s">
        <v>2659</v>
      </c>
      <c r="G361" t="s">
        <v>2660</v>
      </c>
      <c r="H361">
        <v>10469551000152</v>
      </c>
      <c r="J361" t="s">
        <v>2661</v>
      </c>
      <c r="K361" t="s">
        <v>2662</v>
      </c>
      <c r="M361" t="s">
        <v>2663</v>
      </c>
      <c r="P361" t="s">
        <v>778</v>
      </c>
      <c r="Q361" t="s">
        <v>2664</v>
      </c>
      <c r="R361" t="s">
        <v>932</v>
      </c>
      <c r="S361" t="s">
        <v>805</v>
      </c>
      <c r="V361" t="s">
        <v>2665</v>
      </c>
      <c r="W361" t="s">
        <v>780</v>
      </c>
      <c r="X361" t="s">
        <v>897</v>
      </c>
      <c r="Z361" s="31">
        <v>46142</v>
      </c>
      <c r="AC361">
        <v>11</v>
      </c>
      <c r="AD361" t="s">
        <v>31</v>
      </c>
      <c r="AE361" s="31">
        <v>46031</v>
      </c>
      <c r="AF361" s="61">
        <v>0.70384259259259263</v>
      </c>
      <c r="AH361" t="s">
        <v>795</v>
      </c>
      <c r="AI361" s="31">
        <v>46042</v>
      </c>
      <c r="AJ361" s="61">
        <v>0.71552083333333338</v>
      </c>
      <c r="AK361" t="s">
        <v>974</v>
      </c>
      <c r="AR361" s="31">
        <v>46035</v>
      </c>
      <c r="AX361">
        <v>1</v>
      </c>
    </row>
    <row r="362" spans="1:50" x14ac:dyDescent="0.3">
      <c r="A362" t="s">
        <v>22</v>
      </c>
      <c r="B362">
        <v>769</v>
      </c>
      <c r="D362">
        <v>2997</v>
      </c>
      <c r="E362" t="s">
        <v>2666</v>
      </c>
      <c r="G362" t="s">
        <v>2667</v>
      </c>
      <c r="J362" t="s">
        <v>2668</v>
      </c>
      <c r="K362" t="s">
        <v>2669</v>
      </c>
      <c r="M362" t="s">
        <v>2670</v>
      </c>
      <c r="P362" t="s">
        <v>778</v>
      </c>
      <c r="S362" t="s">
        <v>2541</v>
      </c>
      <c r="V362" t="s">
        <v>2542</v>
      </c>
      <c r="W362" t="s">
        <v>780</v>
      </c>
      <c r="X362" t="s">
        <v>897</v>
      </c>
      <c r="Z362" s="31">
        <v>46053</v>
      </c>
      <c r="AC362">
        <v>1</v>
      </c>
      <c r="AD362" t="s">
        <v>22</v>
      </c>
      <c r="AE362" s="31">
        <v>46034</v>
      </c>
      <c r="AF362" s="61">
        <v>0.72917824074074078</v>
      </c>
      <c r="AH362" t="s">
        <v>795</v>
      </c>
      <c r="AI362" s="31">
        <v>46035</v>
      </c>
      <c r="AJ362" s="61">
        <v>0.7297569444444445</v>
      </c>
      <c r="AK362" t="s">
        <v>858</v>
      </c>
      <c r="AO362" t="s">
        <v>22</v>
      </c>
      <c r="AR362" s="31"/>
      <c r="AX362">
        <v>1</v>
      </c>
    </row>
    <row r="363" spans="1:50" x14ac:dyDescent="0.3">
      <c r="A363" t="s">
        <v>22</v>
      </c>
      <c r="B363">
        <v>770</v>
      </c>
      <c r="D363">
        <v>3005</v>
      </c>
      <c r="E363" t="s">
        <v>2671</v>
      </c>
      <c r="G363" t="s">
        <v>2672</v>
      </c>
      <c r="H363">
        <v>18190972000151</v>
      </c>
      <c r="J363" t="s">
        <v>2673</v>
      </c>
      <c r="K363" t="s">
        <v>2674</v>
      </c>
      <c r="M363" t="s">
        <v>2675</v>
      </c>
      <c r="P363" t="s">
        <v>778</v>
      </c>
      <c r="S363" t="s">
        <v>2541</v>
      </c>
      <c r="V363" t="s">
        <v>2542</v>
      </c>
      <c r="W363" t="s">
        <v>780</v>
      </c>
      <c r="X363" t="s">
        <v>897</v>
      </c>
      <c r="Z363" s="31">
        <v>46053</v>
      </c>
      <c r="AC363">
        <v>38</v>
      </c>
      <c r="AD363" t="s">
        <v>22</v>
      </c>
      <c r="AE363" s="31">
        <v>46034</v>
      </c>
      <c r="AF363" s="61">
        <v>0.73178240740740741</v>
      </c>
      <c r="AH363" t="s">
        <v>782</v>
      </c>
      <c r="AI363" s="31"/>
      <c r="AJ363" s="61"/>
      <c r="AO363" t="s">
        <v>22</v>
      </c>
      <c r="AR363" s="31">
        <v>46045</v>
      </c>
      <c r="AS363" t="s">
        <v>2119</v>
      </c>
      <c r="AX363">
        <v>1</v>
      </c>
    </row>
    <row r="364" spans="1:50" x14ac:dyDescent="0.3">
      <c r="A364" t="s">
        <v>22</v>
      </c>
      <c r="B364">
        <v>771</v>
      </c>
      <c r="D364">
        <v>3001</v>
      </c>
      <c r="E364" t="s">
        <v>2676</v>
      </c>
      <c r="G364" t="s">
        <v>394</v>
      </c>
      <c r="J364" t="s">
        <v>2677</v>
      </c>
      <c r="K364" t="s">
        <v>2678</v>
      </c>
      <c r="M364" t="s">
        <v>2679</v>
      </c>
      <c r="P364" t="s">
        <v>778</v>
      </c>
      <c r="S364" t="s">
        <v>2541</v>
      </c>
      <c r="V364" t="s">
        <v>2542</v>
      </c>
      <c r="W364" t="s">
        <v>780</v>
      </c>
      <c r="X364" t="s">
        <v>793</v>
      </c>
      <c r="Z364" s="31">
        <v>46081</v>
      </c>
      <c r="AC364">
        <v>38</v>
      </c>
      <c r="AD364" t="s">
        <v>22</v>
      </c>
      <c r="AE364" s="31">
        <v>46034</v>
      </c>
      <c r="AF364" s="61">
        <v>0.7350578703703704</v>
      </c>
      <c r="AH364" t="s">
        <v>782</v>
      </c>
      <c r="AI364" s="31"/>
      <c r="AJ364" s="61"/>
      <c r="AO364" t="s">
        <v>22</v>
      </c>
      <c r="AR364" s="31">
        <v>46058</v>
      </c>
      <c r="AS364" t="s">
        <v>2119</v>
      </c>
      <c r="AX364">
        <v>1</v>
      </c>
    </row>
    <row r="365" spans="1:50" x14ac:dyDescent="0.3">
      <c r="A365" t="s">
        <v>22</v>
      </c>
      <c r="B365">
        <v>772</v>
      </c>
      <c r="D365">
        <v>3008</v>
      </c>
      <c r="E365" t="s">
        <v>2680</v>
      </c>
      <c r="G365" t="s">
        <v>2681</v>
      </c>
      <c r="J365" t="s">
        <v>2682</v>
      </c>
      <c r="K365" t="s">
        <v>2683</v>
      </c>
      <c r="M365" t="s">
        <v>2684</v>
      </c>
      <c r="P365" t="s">
        <v>778</v>
      </c>
      <c r="Q365" t="s">
        <v>2685</v>
      </c>
      <c r="S365" t="s">
        <v>814</v>
      </c>
      <c r="V365" t="s">
        <v>1718</v>
      </c>
      <c r="W365" t="s">
        <v>780</v>
      </c>
      <c r="X365" t="s">
        <v>897</v>
      </c>
      <c r="Z365" s="31">
        <v>46053</v>
      </c>
      <c r="AC365">
        <v>0</v>
      </c>
      <c r="AD365" t="s">
        <v>22</v>
      </c>
      <c r="AE365" s="31">
        <v>46034</v>
      </c>
      <c r="AF365" s="61">
        <v>0.73835648148148147</v>
      </c>
      <c r="AH365" t="s">
        <v>795</v>
      </c>
      <c r="AI365" s="31">
        <v>46034</v>
      </c>
      <c r="AJ365" s="61">
        <v>0.93637731481481479</v>
      </c>
      <c r="AK365" t="s">
        <v>1226</v>
      </c>
      <c r="AO365" t="s">
        <v>22</v>
      </c>
      <c r="AR365" s="31"/>
      <c r="AX365">
        <v>1</v>
      </c>
    </row>
    <row r="366" spans="1:50" x14ac:dyDescent="0.3">
      <c r="A366" t="s">
        <v>22</v>
      </c>
      <c r="B366">
        <v>773</v>
      </c>
      <c r="D366">
        <v>3000</v>
      </c>
      <c r="E366" t="s">
        <v>2686</v>
      </c>
      <c r="G366" t="s">
        <v>2687</v>
      </c>
      <c r="J366" t="s">
        <v>2688</v>
      </c>
      <c r="K366" t="s">
        <v>2689</v>
      </c>
      <c r="M366" t="s">
        <v>2690</v>
      </c>
      <c r="P366" t="s">
        <v>778</v>
      </c>
      <c r="Q366" t="s">
        <v>2398</v>
      </c>
      <c r="S366" t="s">
        <v>814</v>
      </c>
      <c r="V366" t="s">
        <v>2691</v>
      </c>
      <c r="W366" t="s">
        <v>1191</v>
      </c>
      <c r="X366" t="s">
        <v>2692</v>
      </c>
      <c r="Z366" s="31">
        <v>46053</v>
      </c>
      <c r="AC366">
        <v>38</v>
      </c>
      <c r="AD366" t="s">
        <v>22</v>
      </c>
      <c r="AE366" s="31">
        <v>46034</v>
      </c>
      <c r="AF366" s="61">
        <v>0.74041666666666661</v>
      </c>
      <c r="AH366" t="s">
        <v>782</v>
      </c>
      <c r="AI366" s="31"/>
      <c r="AJ366" s="61"/>
      <c r="AO366" t="s">
        <v>22</v>
      </c>
      <c r="AR366" s="31">
        <v>46045</v>
      </c>
      <c r="AS366" t="s">
        <v>2119</v>
      </c>
      <c r="AX366">
        <v>1</v>
      </c>
    </row>
    <row r="367" spans="1:50" x14ac:dyDescent="0.3">
      <c r="A367" t="s">
        <v>44</v>
      </c>
      <c r="B367">
        <v>774</v>
      </c>
      <c r="D367">
        <v>3067</v>
      </c>
      <c r="E367" t="s">
        <v>2693</v>
      </c>
      <c r="G367" t="s">
        <v>2694</v>
      </c>
      <c r="J367" t="s">
        <v>2695</v>
      </c>
      <c r="K367" t="s">
        <v>2696</v>
      </c>
      <c r="M367" t="s">
        <v>2697</v>
      </c>
      <c r="P367" t="s">
        <v>778</v>
      </c>
      <c r="S367" t="s">
        <v>2541</v>
      </c>
      <c r="V367" t="s">
        <v>2632</v>
      </c>
      <c r="W367" t="s">
        <v>780</v>
      </c>
      <c r="X367" t="s">
        <v>897</v>
      </c>
      <c r="Z367" s="31">
        <v>46053</v>
      </c>
      <c r="AC367">
        <v>26</v>
      </c>
      <c r="AD367" t="s">
        <v>22</v>
      </c>
      <c r="AE367" s="31">
        <v>46034</v>
      </c>
      <c r="AF367" s="61">
        <v>0.91182870370370372</v>
      </c>
      <c r="AH367" t="s">
        <v>795</v>
      </c>
      <c r="AI367" s="31">
        <v>46060</v>
      </c>
      <c r="AJ367" s="61">
        <v>0.32128472222222221</v>
      </c>
      <c r="AK367" t="s">
        <v>1226</v>
      </c>
      <c r="AO367" t="s">
        <v>44</v>
      </c>
      <c r="AR367" s="31">
        <v>46042</v>
      </c>
      <c r="AX367">
        <v>1</v>
      </c>
    </row>
    <row r="368" spans="1:50" x14ac:dyDescent="0.3">
      <c r="A368" t="s">
        <v>44</v>
      </c>
      <c r="B368">
        <v>775</v>
      </c>
      <c r="D368">
        <v>3069</v>
      </c>
      <c r="E368" t="s">
        <v>2698</v>
      </c>
      <c r="G368" t="s">
        <v>2699</v>
      </c>
      <c r="J368" t="s">
        <v>2700</v>
      </c>
      <c r="K368" t="s">
        <v>2701</v>
      </c>
      <c r="M368" t="s">
        <v>2702</v>
      </c>
      <c r="P368" t="s">
        <v>778</v>
      </c>
      <c r="S368" t="s">
        <v>2541</v>
      </c>
      <c r="V368" t="s">
        <v>2632</v>
      </c>
      <c r="W368" t="s">
        <v>780</v>
      </c>
      <c r="X368" t="s">
        <v>897</v>
      </c>
      <c r="Z368" s="31">
        <v>46053</v>
      </c>
      <c r="AC368">
        <v>26</v>
      </c>
      <c r="AD368" t="s">
        <v>22</v>
      </c>
      <c r="AE368" s="31">
        <v>46034</v>
      </c>
      <c r="AF368" s="61">
        <v>0.91238425925925926</v>
      </c>
      <c r="AH368" t="s">
        <v>795</v>
      </c>
      <c r="AI368" s="31">
        <v>46060</v>
      </c>
      <c r="AJ368" s="61">
        <v>0.32656249999999998</v>
      </c>
      <c r="AK368" t="s">
        <v>1226</v>
      </c>
      <c r="AO368" t="s">
        <v>44</v>
      </c>
      <c r="AR368" s="31">
        <v>46038</v>
      </c>
      <c r="AX368">
        <v>1</v>
      </c>
    </row>
    <row r="369" spans="1:50" x14ac:dyDescent="0.3">
      <c r="A369" t="s">
        <v>31</v>
      </c>
      <c r="B369">
        <v>776</v>
      </c>
      <c r="D369">
        <v>3041</v>
      </c>
      <c r="E369" t="s">
        <v>2703</v>
      </c>
      <c r="G369" t="s">
        <v>2704</v>
      </c>
      <c r="J369" t="s">
        <v>334</v>
      </c>
      <c r="K369" t="s">
        <v>2705</v>
      </c>
      <c r="M369" t="s">
        <v>2706</v>
      </c>
      <c r="P369" t="s">
        <v>778</v>
      </c>
      <c r="S369" t="s">
        <v>2541</v>
      </c>
      <c r="V369" t="s">
        <v>2632</v>
      </c>
      <c r="W369" t="s">
        <v>780</v>
      </c>
      <c r="X369" t="s">
        <v>897</v>
      </c>
      <c r="Z369" s="31">
        <v>46053</v>
      </c>
      <c r="AC369">
        <v>26</v>
      </c>
      <c r="AD369" t="s">
        <v>22</v>
      </c>
      <c r="AE369" s="31">
        <v>46034</v>
      </c>
      <c r="AF369" s="61">
        <v>0.91520833333333329</v>
      </c>
      <c r="AH369" t="s">
        <v>795</v>
      </c>
      <c r="AI369" s="31">
        <v>46060</v>
      </c>
      <c r="AJ369" s="61">
        <v>0.32400462962962961</v>
      </c>
      <c r="AK369" t="s">
        <v>1226</v>
      </c>
      <c r="AO369" t="s">
        <v>31</v>
      </c>
      <c r="AR369" s="31">
        <v>46038</v>
      </c>
      <c r="AX369">
        <v>1</v>
      </c>
    </row>
    <row r="370" spans="1:50" x14ac:dyDescent="0.3">
      <c r="A370" t="s">
        <v>31</v>
      </c>
      <c r="B370">
        <v>777</v>
      </c>
      <c r="D370">
        <v>3047</v>
      </c>
      <c r="E370" t="s">
        <v>2707</v>
      </c>
      <c r="G370" t="s">
        <v>2708</v>
      </c>
      <c r="J370" t="s">
        <v>335</v>
      </c>
      <c r="K370" t="s">
        <v>2709</v>
      </c>
      <c r="M370" t="s">
        <v>2710</v>
      </c>
      <c r="P370" t="s">
        <v>778</v>
      </c>
      <c r="S370" t="s">
        <v>2541</v>
      </c>
      <c r="V370" t="s">
        <v>2632</v>
      </c>
      <c r="W370" t="s">
        <v>780</v>
      </c>
      <c r="X370" t="s">
        <v>897</v>
      </c>
      <c r="Z370" s="31">
        <v>46053</v>
      </c>
      <c r="AC370">
        <v>26</v>
      </c>
      <c r="AD370" t="s">
        <v>22</v>
      </c>
      <c r="AE370" s="31">
        <v>46034</v>
      </c>
      <c r="AF370" s="61">
        <v>0.91591435185185188</v>
      </c>
      <c r="AH370" t="s">
        <v>795</v>
      </c>
      <c r="AI370" s="31">
        <v>46060</v>
      </c>
      <c r="AJ370" s="61">
        <v>0.32482638888888887</v>
      </c>
      <c r="AK370" t="s">
        <v>1226</v>
      </c>
      <c r="AO370" t="s">
        <v>31</v>
      </c>
      <c r="AR370" s="31">
        <v>46038</v>
      </c>
      <c r="AX370">
        <v>1</v>
      </c>
    </row>
    <row r="371" spans="1:50" x14ac:dyDescent="0.3">
      <c r="A371" t="s">
        <v>31</v>
      </c>
      <c r="B371">
        <v>778</v>
      </c>
      <c r="D371">
        <v>3059</v>
      </c>
      <c r="E371" t="s">
        <v>2711</v>
      </c>
      <c r="G371" t="s">
        <v>2712</v>
      </c>
      <c r="H371">
        <v>30250062000112</v>
      </c>
      <c r="J371" t="s">
        <v>2713</v>
      </c>
      <c r="K371" t="s">
        <v>2714</v>
      </c>
      <c r="M371" t="s">
        <v>2715</v>
      </c>
      <c r="P371" t="s">
        <v>778</v>
      </c>
      <c r="Q371" t="s">
        <v>847</v>
      </c>
      <c r="R371" t="s">
        <v>848</v>
      </c>
      <c r="S371" t="s">
        <v>2541</v>
      </c>
      <c r="V371" t="s">
        <v>2632</v>
      </c>
      <c r="W371" t="s">
        <v>780</v>
      </c>
      <c r="X371" t="s">
        <v>897</v>
      </c>
      <c r="Z371" s="31">
        <v>46053</v>
      </c>
      <c r="AC371">
        <v>2</v>
      </c>
      <c r="AD371" t="s">
        <v>22</v>
      </c>
      <c r="AE371" s="31">
        <v>46034</v>
      </c>
      <c r="AF371" s="61">
        <v>0.91721064814814812</v>
      </c>
      <c r="AH371" t="s">
        <v>795</v>
      </c>
      <c r="AI371" s="31">
        <v>46036</v>
      </c>
      <c r="AJ371" s="61">
        <v>0.49593749999999998</v>
      </c>
      <c r="AK371" t="s">
        <v>1226</v>
      </c>
      <c r="AO371" t="s">
        <v>31</v>
      </c>
      <c r="AR371" s="31">
        <v>46035</v>
      </c>
      <c r="AX371">
        <v>1</v>
      </c>
    </row>
    <row r="372" spans="1:50" x14ac:dyDescent="0.3">
      <c r="A372" t="s">
        <v>31</v>
      </c>
      <c r="B372">
        <v>779</v>
      </c>
      <c r="D372">
        <v>3066</v>
      </c>
      <c r="E372" t="s">
        <v>2716</v>
      </c>
      <c r="G372" t="s">
        <v>2717</v>
      </c>
      <c r="H372">
        <v>22422233000115</v>
      </c>
      <c r="J372" t="s">
        <v>337</v>
      </c>
      <c r="K372" t="s">
        <v>2718</v>
      </c>
      <c r="M372" t="s">
        <v>2719</v>
      </c>
      <c r="P372" t="s">
        <v>778</v>
      </c>
      <c r="Q372" t="s">
        <v>2720</v>
      </c>
      <c r="R372" t="s">
        <v>1699</v>
      </c>
      <c r="S372" t="s">
        <v>2541</v>
      </c>
      <c r="V372" t="s">
        <v>2632</v>
      </c>
      <c r="W372" t="s">
        <v>780</v>
      </c>
      <c r="X372" t="s">
        <v>897</v>
      </c>
      <c r="Z372" s="31">
        <v>46053</v>
      </c>
      <c r="AC372">
        <v>4</v>
      </c>
      <c r="AD372" t="s">
        <v>22</v>
      </c>
      <c r="AE372" s="31">
        <v>46034</v>
      </c>
      <c r="AF372" s="61">
        <v>0.91776620370370365</v>
      </c>
      <c r="AH372" t="s">
        <v>795</v>
      </c>
      <c r="AI372" s="31">
        <v>46038</v>
      </c>
      <c r="AJ372" s="61">
        <v>0.39912037037037029</v>
      </c>
      <c r="AK372" t="s">
        <v>1226</v>
      </c>
      <c r="AO372" t="s">
        <v>31</v>
      </c>
      <c r="AR372" s="31">
        <v>46038</v>
      </c>
      <c r="AX372">
        <v>1</v>
      </c>
    </row>
    <row r="373" spans="1:50" x14ac:dyDescent="0.3">
      <c r="A373" t="s">
        <v>22</v>
      </c>
      <c r="B373">
        <v>780</v>
      </c>
      <c r="D373">
        <v>3068</v>
      </c>
      <c r="E373" t="s">
        <v>2721</v>
      </c>
      <c r="G373" t="s">
        <v>2722</v>
      </c>
      <c r="J373" t="s">
        <v>2723</v>
      </c>
      <c r="K373" t="s">
        <v>2724</v>
      </c>
      <c r="M373" t="s">
        <v>2725</v>
      </c>
      <c r="P373" t="s">
        <v>778</v>
      </c>
      <c r="S373" t="s">
        <v>2541</v>
      </c>
      <c r="V373" t="s">
        <v>2632</v>
      </c>
      <c r="W373" t="s">
        <v>780</v>
      </c>
      <c r="X373" t="s">
        <v>897</v>
      </c>
      <c r="Z373" s="31">
        <v>46053</v>
      </c>
      <c r="AC373">
        <v>26</v>
      </c>
      <c r="AD373" t="s">
        <v>22</v>
      </c>
      <c r="AE373" s="31">
        <v>46034</v>
      </c>
      <c r="AF373" s="61">
        <v>0.9183796296296296</v>
      </c>
      <c r="AH373" t="s">
        <v>795</v>
      </c>
      <c r="AI373" s="31">
        <v>46060</v>
      </c>
      <c r="AJ373" s="61">
        <v>0.31077546296296299</v>
      </c>
      <c r="AK373" t="s">
        <v>1226</v>
      </c>
      <c r="AL373" t="s">
        <v>2726</v>
      </c>
      <c r="AO373" t="s">
        <v>22</v>
      </c>
      <c r="AR373" s="31">
        <v>46045</v>
      </c>
      <c r="AS373" t="s">
        <v>2119</v>
      </c>
      <c r="AX373">
        <v>1</v>
      </c>
    </row>
    <row r="374" spans="1:50" x14ac:dyDescent="0.3">
      <c r="A374" t="s">
        <v>31</v>
      </c>
      <c r="B374">
        <v>781</v>
      </c>
      <c r="D374">
        <v>3070</v>
      </c>
      <c r="E374" t="s">
        <v>2727</v>
      </c>
      <c r="G374" t="s">
        <v>2728</v>
      </c>
      <c r="H374">
        <v>29495831000163</v>
      </c>
      <c r="J374" t="s">
        <v>338</v>
      </c>
      <c r="K374" t="s">
        <v>2729</v>
      </c>
      <c r="M374" t="s">
        <v>2730</v>
      </c>
      <c r="P374" t="s">
        <v>778</v>
      </c>
      <c r="Q374" t="s">
        <v>2731</v>
      </c>
      <c r="R374" t="s">
        <v>1105</v>
      </c>
      <c r="S374" t="s">
        <v>2541</v>
      </c>
      <c r="V374" t="s">
        <v>2632</v>
      </c>
      <c r="W374" t="s">
        <v>780</v>
      </c>
      <c r="X374" t="s">
        <v>897</v>
      </c>
      <c r="Z374" s="31">
        <v>46053</v>
      </c>
      <c r="AC374">
        <v>4</v>
      </c>
      <c r="AD374" t="s">
        <v>22</v>
      </c>
      <c r="AE374" s="31">
        <v>46034</v>
      </c>
      <c r="AF374" s="61">
        <v>0.91886574074074079</v>
      </c>
      <c r="AH374" t="s">
        <v>795</v>
      </c>
      <c r="AI374" s="31">
        <v>46038</v>
      </c>
      <c r="AJ374" s="61">
        <v>0.39780092592592592</v>
      </c>
      <c r="AK374" t="s">
        <v>1226</v>
      </c>
      <c r="AO374" t="s">
        <v>31</v>
      </c>
      <c r="AR374" s="31">
        <v>46038</v>
      </c>
      <c r="AX374">
        <v>1</v>
      </c>
    </row>
    <row r="375" spans="1:50" x14ac:dyDescent="0.3">
      <c r="A375" t="s">
        <v>31</v>
      </c>
      <c r="B375">
        <v>782</v>
      </c>
      <c r="D375">
        <v>3009</v>
      </c>
      <c r="G375" t="s">
        <v>2732</v>
      </c>
      <c r="H375">
        <v>10942276000142</v>
      </c>
      <c r="J375" t="s">
        <v>2733</v>
      </c>
      <c r="K375" t="s">
        <v>2734</v>
      </c>
      <c r="M375" t="s">
        <v>2735</v>
      </c>
      <c r="P375" t="s">
        <v>778</v>
      </c>
      <c r="S375" t="s">
        <v>2541</v>
      </c>
      <c r="V375" t="s">
        <v>2559</v>
      </c>
      <c r="W375" t="s">
        <v>780</v>
      </c>
      <c r="X375" t="s">
        <v>781</v>
      </c>
      <c r="Z375" s="31"/>
      <c r="AC375">
        <v>0</v>
      </c>
      <c r="AD375" t="s">
        <v>22</v>
      </c>
      <c r="AE375" s="31">
        <v>46034</v>
      </c>
      <c r="AF375" s="61">
        <v>0.94203703703703701</v>
      </c>
      <c r="AH375" t="s">
        <v>795</v>
      </c>
      <c r="AI375" s="31">
        <v>46034</v>
      </c>
      <c r="AJ375" s="61">
        <v>0.94229166666666664</v>
      </c>
      <c r="AK375" t="s">
        <v>1226</v>
      </c>
      <c r="AO375" t="s">
        <v>31</v>
      </c>
      <c r="AR375" s="31"/>
      <c r="AX375">
        <v>1</v>
      </c>
    </row>
    <row r="376" spans="1:50" x14ac:dyDescent="0.3">
      <c r="A376" t="s">
        <v>22</v>
      </c>
      <c r="B376">
        <v>783</v>
      </c>
      <c r="D376">
        <v>3010</v>
      </c>
      <c r="G376" t="s">
        <v>2736</v>
      </c>
      <c r="J376" t="s">
        <v>2737</v>
      </c>
      <c r="K376" t="s">
        <v>2738</v>
      </c>
      <c r="M376" t="s">
        <v>2739</v>
      </c>
      <c r="P376" t="s">
        <v>778</v>
      </c>
      <c r="S376" t="s">
        <v>2541</v>
      </c>
      <c r="V376" t="s">
        <v>2559</v>
      </c>
      <c r="W376" t="s">
        <v>780</v>
      </c>
      <c r="X376" t="s">
        <v>781</v>
      </c>
      <c r="Z376" s="31"/>
      <c r="AC376">
        <v>0</v>
      </c>
      <c r="AD376" t="s">
        <v>22</v>
      </c>
      <c r="AE376" s="31">
        <v>46034</v>
      </c>
      <c r="AF376" s="61">
        <v>0.94284722222222217</v>
      </c>
      <c r="AH376" t="s">
        <v>795</v>
      </c>
      <c r="AI376" s="31">
        <v>46034</v>
      </c>
      <c r="AJ376" s="61">
        <v>0.94303240740740746</v>
      </c>
      <c r="AK376" t="s">
        <v>1226</v>
      </c>
      <c r="AO376" t="s">
        <v>31</v>
      </c>
      <c r="AR376" s="31"/>
      <c r="AX376">
        <v>1</v>
      </c>
    </row>
    <row r="377" spans="1:50" x14ac:dyDescent="0.3">
      <c r="A377" t="s">
        <v>22</v>
      </c>
      <c r="B377">
        <v>784</v>
      </c>
      <c r="D377">
        <v>3015</v>
      </c>
      <c r="G377" t="s">
        <v>2740</v>
      </c>
      <c r="J377" t="s">
        <v>2741</v>
      </c>
      <c r="K377" t="s">
        <v>2742</v>
      </c>
      <c r="M377" t="s">
        <v>2743</v>
      </c>
      <c r="P377" t="s">
        <v>778</v>
      </c>
      <c r="S377" t="s">
        <v>2541</v>
      </c>
      <c r="V377" t="s">
        <v>2559</v>
      </c>
      <c r="W377" t="s">
        <v>780</v>
      </c>
      <c r="X377" t="s">
        <v>781</v>
      </c>
      <c r="Z377" s="31"/>
      <c r="AC377">
        <v>0</v>
      </c>
      <c r="AD377" t="s">
        <v>22</v>
      </c>
      <c r="AE377" s="31">
        <v>46034</v>
      </c>
      <c r="AF377" s="61">
        <v>0.94368055555555552</v>
      </c>
      <c r="AH377" t="s">
        <v>795</v>
      </c>
      <c r="AI377" s="31">
        <v>46034</v>
      </c>
      <c r="AJ377" s="61">
        <v>0.94380787037037039</v>
      </c>
      <c r="AK377" t="s">
        <v>1226</v>
      </c>
      <c r="AO377" t="s">
        <v>44</v>
      </c>
      <c r="AR377" s="31"/>
      <c r="AX377">
        <v>1</v>
      </c>
    </row>
    <row r="378" spans="1:50" x14ac:dyDescent="0.3">
      <c r="A378" t="s">
        <v>22</v>
      </c>
      <c r="B378">
        <v>785</v>
      </c>
      <c r="D378">
        <v>2669</v>
      </c>
      <c r="G378" t="s">
        <v>2744</v>
      </c>
      <c r="J378" t="s">
        <v>2745</v>
      </c>
      <c r="K378" t="s">
        <v>2746</v>
      </c>
      <c r="M378" t="s">
        <v>2747</v>
      </c>
      <c r="P378" t="s">
        <v>778</v>
      </c>
      <c r="Q378" t="s">
        <v>2748</v>
      </c>
      <c r="S378" t="s">
        <v>814</v>
      </c>
      <c r="V378" t="s">
        <v>2749</v>
      </c>
      <c r="W378" t="s">
        <v>780</v>
      </c>
      <c r="X378" t="s">
        <v>781</v>
      </c>
      <c r="Z378" s="31"/>
      <c r="AC378">
        <v>0</v>
      </c>
      <c r="AD378" t="s">
        <v>22</v>
      </c>
      <c r="AE378" s="31">
        <v>46034</v>
      </c>
      <c r="AF378" s="61">
        <v>0.94418981481481479</v>
      </c>
      <c r="AH378" t="s">
        <v>795</v>
      </c>
      <c r="AI378" s="31">
        <v>46034</v>
      </c>
      <c r="AJ378" s="61">
        <v>0.9443287037037037</v>
      </c>
      <c r="AK378" t="s">
        <v>1226</v>
      </c>
      <c r="AO378" t="s">
        <v>44</v>
      </c>
      <c r="AR378" s="31"/>
      <c r="AX378">
        <v>1</v>
      </c>
    </row>
    <row r="379" spans="1:50" x14ac:dyDescent="0.3">
      <c r="A379" t="s">
        <v>22</v>
      </c>
      <c r="B379">
        <v>786</v>
      </c>
      <c r="D379">
        <v>3045</v>
      </c>
      <c r="G379" t="s">
        <v>2750</v>
      </c>
      <c r="J379" t="s">
        <v>2751</v>
      </c>
      <c r="K379" t="s">
        <v>2752</v>
      </c>
      <c r="M379" t="s">
        <v>2753</v>
      </c>
      <c r="P379" t="s">
        <v>778</v>
      </c>
      <c r="S379" t="s">
        <v>2541</v>
      </c>
      <c r="V379" t="s">
        <v>2559</v>
      </c>
      <c r="W379" t="s">
        <v>780</v>
      </c>
      <c r="X379" t="s">
        <v>781</v>
      </c>
      <c r="Z379" s="31"/>
      <c r="AC379">
        <v>0</v>
      </c>
      <c r="AD379" t="s">
        <v>22</v>
      </c>
      <c r="AE379" s="31">
        <v>46034</v>
      </c>
      <c r="AF379" s="61">
        <v>0.94474537037037032</v>
      </c>
      <c r="AH379" t="s">
        <v>795</v>
      </c>
      <c r="AI379" s="31">
        <v>46034</v>
      </c>
      <c r="AJ379" s="61">
        <v>0.94488425925925923</v>
      </c>
      <c r="AK379" t="s">
        <v>1226</v>
      </c>
      <c r="AO379" t="s">
        <v>44</v>
      </c>
      <c r="AR379" s="31"/>
      <c r="AX379">
        <v>1</v>
      </c>
    </row>
    <row r="380" spans="1:50" x14ac:dyDescent="0.3">
      <c r="A380" t="s">
        <v>44</v>
      </c>
      <c r="B380">
        <v>787</v>
      </c>
      <c r="D380">
        <v>3057</v>
      </c>
      <c r="G380" t="s">
        <v>2754</v>
      </c>
      <c r="H380">
        <v>10269690000132</v>
      </c>
      <c r="J380" t="s">
        <v>2755</v>
      </c>
      <c r="K380" t="s">
        <v>2756</v>
      </c>
      <c r="M380" t="s">
        <v>2757</v>
      </c>
      <c r="P380" t="s">
        <v>778</v>
      </c>
      <c r="S380" t="s">
        <v>2541</v>
      </c>
      <c r="V380" t="s">
        <v>2559</v>
      </c>
      <c r="W380" t="s">
        <v>780</v>
      </c>
      <c r="X380" t="s">
        <v>781</v>
      </c>
      <c r="Z380" s="31"/>
      <c r="AC380">
        <v>24</v>
      </c>
      <c r="AD380" t="s">
        <v>22</v>
      </c>
      <c r="AE380" s="31">
        <v>46034</v>
      </c>
      <c r="AF380" s="61">
        <v>0.94528935185185181</v>
      </c>
      <c r="AH380" t="s">
        <v>795</v>
      </c>
      <c r="AI380" s="31">
        <v>46058</v>
      </c>
      <c r="AJ380" s="61">
        <v>0.52218750000000003</v>
      </c>
      <c r="AK380" t="s">
        <v>796</v>
      </c>
      <c r="AL380" t="s">
        <v>2758</v>
      </c>
      <c r="AO380" t="s">
        <v>44</v>
      </c>
      <c r="AR380" s="31"/>
      <c r="AX380">
        <v>1</v>
      </c>
    </row>
    <row r="381" spans="1:50" x14ac:dyDescent="0.3">
      <c r="A381" t="s">
        <v>31</v>
      </c>
      <c r="B381">
        <v>788</v>
      </c>
      <c r="D381">
        <v>3083</v>
      </c>
      <c r="E381" t="s">
        <v>2759</v>
      </c>
      <c r="F381" t="s">
        <v>2760</v>
      </c>
      <c r="G381" t="s">
        <v>2761</v>
      </c>
      <c r="H381">
        <v>14078994000254</v>
      </c>
      <c r="J381" t="s">
        <v>2760</v>
      </c>
      <c r="K381" t="s">
        <v>2762</v>
      </c>
      <c r="M381" t="s">
        <v>2763</v>
      </c>
      <c r="P381" t="s">
        <v>778</v>
      </c>
      <c r="Q381" t="s">
        <v>2117</v>
      </c>
      <c r="R381" t="s">
        <v>1105</v>
      </c>
      <c r="S381" t="s">
        <v>805</v>
      </c>
      <c r="V381" t="s">
        <v>2764</v>
      </c>
      <c r="W381" t="s">
        <v>780</v>
      </c>
      <c r="X381" t="s">
        <v>807</v>
      </c>
      <c r="Z381" s="31">
        <v>46112</v>
      </c>
      <c r="AA381">
        <v>16800</v>
      </c>
      <c r="AB381">
        <v>73717</v>
      </c>
      <c r="AC381">
        <v>13</v>
      </c>
      <c r="AD381" t="s">
        <v>31</v>
      </c>
      <c r="AE381" s="31">
        <v>46035</v>
      </c>
      <c r="AF381" s="61">
        <v>0.67313657407407412</v>
      </c>
      <c r="AH381" t="s">
        <v>782</v>
      </c>
      <c r="AI381" s="31">
        <v>46048</v>
      </c>
      <c r="AJ381" s="61">
        <v>0.39111111111111108</v>
      </c>
      <c r="AL381" t="s">
        <v>1058</v>
      </c>
      <c r="AN381" t="s">
        <v>2590</v>
      </c>
      <c r="AO381" t="s">
        <v>31</v>
      </c>
      <c r="AP381" t="s">
        <v>2590</v>
      </c>
      <c r="AR381" s="31">
        <v>46066</v>
      </c>
      <c r="AS381" t="s">
        <v>1423</v>
      </c>
      <c r="AU381" t="s">
        <v>63</v>
      </c>
      <c r="AX381">
        <v>1</v>
      </c>
    </row>
    <row r="382" spans="1:50" x14ac:dyDescent="0.3">
      <c r="A382" t="s">
        <v>22</v>
      </c>
      <c r="B382">
        <v>789</v>
      </c>
      <c r="D382">
        <v>3084</v>
      </c>
      <c r="E382" t="s">
        <v>2765</v>
      </c>
      <c r="G382" t="s">
        <v>2766</v>
      </c>
      <c r="H382">
        <v>31507103000176</v>
      </c>
      <c r="J382" t="s">
        <v>2767</v>
      </c>
      <c r="K382" t="s">
        <v>2768</v>
      </c>
      <c r="M382" t="s">
        <v>2769</v>
      </c>
      <c r="P382" t="s">
        <v>778</v>
      </c>
      <c r="V382" t="s">
        <v>1419</v>
      </c>
      <c r="W382" t="s">
        <v>780</v>
      </c>
      <c r="X382" t="s">
        <v>807</v>
      </c>
      <c r="Z382" s="31">
        <v>46053</v>
      </c>
      <c r="AA382">
        <v>13100</v>
      </c>
      <c r="AB382">
        <v>1700</v>
      </c>
      <c r="AC382">
        <v>37</v>
      </c>
      <c r="AD382" t="s">
        <v>22</v>
      </c>
      <c r="AE382" s="31">
        <v>46035</v>
      </c>
      <c r="AF382" s="61">
        <v>0.67557870370370365</v>
      </c>
      <c r="AH382" t="s">
        <v>782</v>
      </c>
      <c r="AI382" s="31"/>
      <c r="AJ382" s="61"/>
      <c r="AN382" t="s">
        <v>2770</v>
      </c>
      <c r="AO382" t="s">
        <v>22</v>
      </c>
      <c r="AP382" t="s">
        <v>2770</v>
      </c>
      <c r="AR382" s="31">
        <v>46045</v>
      </c>
      <c r="AS382" t="s">
        <v>1423</v>
      </c>
      <c r="AT382" t="s">
        <v>1012</v>
      </c>
      <c r="AU382" t="s">
        <v>69</v>
      </c>
      <c r="AV382" t="s">
        <v>2490</v>
      </c>
      <c r="AW382" t="s">
        <v>2491</v>
      </c>
      <c r="AX382">
        <v>1</v>
      </c>
    </row>
    <row r="383" spans="1:50" x14ac:dyDescent="0.3">
      <c r="A383" t="s">
        <v>44</v>
      </c>
      <c r="B383">
        <v>790</v>
      </c>
      <c r="D383">
        <v>3071</v>
      </c>
      <c r="E383" t="s">
        <v>2771</v>
      </c>
      <c r="G383" t="s">
        <v>2772</v>
      </c>
      <c r="J383" t="s">
        <v>2773</v>
      </c>
      <c r="K383" t="s">
        <v>2774</v>
      </c>
      <c r="M383" t="s">
        <v>2775</v>
      </c>
      <c r="P383" t="s">
        <v>778</v>
      </c>
      <c r="S383" t="s">
        <v>2541</v>
      </c>
      <c r="V383" t="s">
        <v>2559</v>
      </c>
      <c r="W383" t="s">
        <v>780</v>
      </c>
      <c r="X383" t="s">
        <v>897</v>
      </c>
      <c r="Z383" s="31">
        <v>46053</v>
      </c>
      <c r="AC383">
        <v>23</v>
      </c>
      <c r="AD383" t="s">
        <v>22</v>
      </c>
      <c r="AE383" s="31">
        <v>46035</v>
      </c>
      <c r="AF383" s="61">
        <v>0.70442129629629635</v>
      </c>
      <c r="AH383" t="s">
        <v>795</v>
      </c>
      <c r="AI383" s="31">
        <v>46058</v>
      </c>
      <c r="AJ383" s="61">
        <v>0.59414351851851854</v>
      </c>
      <c r="AK383" t="s">
        <v>1226</v>
      </c>
      <c r="AO383" t="s">
        <v>44</v>
      </c>
      <c r="AR383" s="31">
        <v>46038</v>
      </c>
      <c r="AX383">
        <v>1</v>
      </c>
    </row>
    <row r="384" spans="1:50" x14ac:dyDescent="0.3">
      <c r="A384" t="s">
        <v>31</v>
      </c>
      <c r="B384">
        <v>792</v>
      </c>
      <c r="D384">
        <v>3072</v>
      </c>
      <c r="E384" t="s">
        <v>2776</v>
      </c>
      <c r="G384" t="s">
        <v>2777</v>
      </c>
      <c r="H384">
        <v>6037707000230</v>
      </c>
      <c r="J384" t="s">
        <v>2778</v>
      </c>
      <c r="K384" t="s">
        <v>2779</v>
      </c>
      <c r="M384" t="s">
        <v>2780</v>
      </c>
      <c r="P384" t="s">
        <v>778</v>
      </c>
      <c r="S384" t="s">
        <v>2541</v>
      </c>
      <c r="V384" t="s">
        <v>2559</v>
      </c>
      <c r="W384" t="s">
        <v>780</v>
      </c>
      <c r="X384" t="s">
        <v>897</v>
      </c>
      <c r="Z384" s="31">
        <v>46053</v>
      </c>
      <c r="AC384">
        <v>31</v>
      </c>
      <c r="AD384" t="s">
        <v>22</v>
      </c>
      <c r="AE384" s="31">
        <v>46035</v>
      </c>
      <c r="AF384" s="61">
        <v>0.70565972222222217</v>
      </c>
      <c r="AH384" t="s">
        <v>795</v>
      </c>
      <c r="AI384" s="31">
        <v>46066</v>
      </c>
      <c r="AJ384" s="61">
        <v>0.49041666666666672</v>
      </c>
      <c r="AK384" t="s">
        <v>1226</v>
      </c>
      <c r="AO384" t="s">
        <v>31</v>
      </c>
      <c r="AR384" s="31">
        <v>46065</v>
      </c>
      <c r="AS384" t="s">
        <v>2119</v>
      </c>
      <c r="AX384">
        <v>1</v>
      </c>
    </row>
    <row r="385" spans="1:50" x14ac:dyDescent="0.3">
      <c r="A385" t="s">
        <v>22</v>
      </c>
      <c r="B385">
        <v>793</v>
      </c>
      <c r="D385">
        <v>3082</v>
      </c>
      <c r="E385" t="s">
        <v>2781</v>
      </c>
      <c r="G385" t="s">
        <v>2782</v>
      </c>
      <c r="J385" t="s">
        <v>2783</v>
      </c>
      <c r="K385" t="s">
        <v>2784</v>
      </c>
      <c r="M385" t="s">
        <v>2785</v>
      </c>
      <c r="P385" t="s">
        <v>778</v>
      </c>
      <c r="Q385" t="s">
        <v>923</v>
      </c>
      <c r="S385" t="s">
        <v>814</v>
      </c>
      <c r="V385" t="s">
        <v>2391</v>
      </c>
      <c r="W385" t="s">
        <v>780</v>
      </c>
      <c r="X385" t="s">
        <v>897</v>
      </c>
      <c r="Z385" s="31">
        <v>46053</v>
      </c>
      <c r="AC385">
        <v>37</v>
      </c>
      <c r="AD385" t="s">
        <v>22</v>
      </c>
      <c r="AE385" s="31">
        <v>46035</v>
      </c>
      <c r="AF385" s="61">
        <v>0.7079050925925926</v>
      </c>
      <c r="AH385" t="s">
        <v>782</v>
      </c>
      <c r="AI385" s="31"/>
      <c r="AJ385" s="61"/>
      <c r="AO385" t="s">
        <v>22</v>
      </c>
      <c r="AR385" s="31">
        <v>46045</v>
      </c>
      <c r="AS385" t="s">
        <v>2119</v>
      </c>
      <c r="AX385">
        <v>1</v>
      </c>
    </row>
    <row r="386" spans="1:50" x14ac:dyDescent="0.3">
      <c r="A386" t="s">
        <v>31</v>
      </c>
      <c r="B386">
        <v>794</v>
      </c>
      <c r="D386">
        <v>3086</v>
      </c>
      <c r="E386" t="s">
        <v>2786</v>
      </c>
      <c r="G386" t="s">
        <v>2787</v>
      </c>
      <c r="J386" t="s">
        <v>2788</v>
      </c>
      <c r="K386" t="s">
        <v>2789</v>
      </c>
      <c r="M386" t="s">
        <v>2790</v>
      </c>
      <c r="P386" t="s">
        <v>778</v>
      </c>
      <c r="S386" t="s">
        <v>2541</v>
      </c>
      <c r="V386" t="s">
        <v>2791</v>
      </c>
      <c r="W386" t="s">
        <v>780</v>
      </c>
      <c r="X386" t="s">
        <v>793</v>
      </c>
      <c r="Z386" s="31">
        <v>46053</v>
      </c>
      <c r="AA386">
        <v>6168744</v>
      </c>
      <c r="AB386">
        <v>149828</v>
      </c>
      <c r="AC386">
        <v>13</v>
      </c>
      <c r="AD386" t="s">
        <v>22</v>
      </c>
      <c r="AE386" s="31">
        <v>46035</v>
      </c>
      <c r="AF386" s="61">
        <v>0.73750000000000004</v>
      </c>
      <c r="AH386" t="s">
        <v>795</v>
      </c>
      <c r="AI386" s="31">
        <v>46048</v>
      </c>
      <c r="AJ386" s="61">
        <v>0.39319444444444451</v>
      </c>
      <c r="AK386" t="s">
        <v>867</v>
      </c>
      <c r="AN386" t="s">
        <v>2792</v>
      </c>
      <c r="AO386" t="s">
        <v>31</v>
      </c>
      <c r="AP386" t="s">
        <v>2645</v>
      </c>
      <c r="AR386" s="31">
        <v>46048</v>
      </c>
      <c r="AX386">
        <v>1</v>
      </c>
    </row>
    <row r="387" spans="1:50" x14ac:dyDescent="0.3">
      <c r="A387" t="s">
        <v>22</v>
      </c>
      <c r="B387">
        <v>795</v>
      </c>
      <c r="D387">
        <v>3088</v>
      </c>
      <c r="E387" t="s">
        <v>2460</v>
      </c>
      <c r="G387" t="s">
        <v>2793</v>
      </c>
      <c r="H387">
        <v>3674537000125</v>
      </c>
      <c r="J387" t="s">
        <v>2794</v>
      </c>
      <c r="K387" t="s">
        <v>2795</v>
      </c>
      <c r="M387" t="s">
        <v>2796</v>
      </c>
      <c r="P387" t="s">
        <v>778</v>
      </c>
      <c r="V387" t="s">
        <v>1718</v>
      </c>
      <c r="W387" t="s">
        <v>780</v>
      </c>
      <c r="X387" t="s">
        <v>807</v>
      </c>
      <c r="Z387" s="31">
        <v>46035</v>
      </c>
      <c r="AA387">
        <v>1600</v>
      </c>
      <c r="AB387">
        <v>384454</v>
      </c>
      <c r="AC387">
        <v>37</v>
      </c>
      <c r="AD387" t="s">
        <v>22</v>
      </c>
      <c r="AE387" s="31">
        <v>46035</v>
      </c>
      <c r="AF387" s="61">
        <v>0.9553356481481482</v>
      </c>
      <c r="AH387" t="s">
        <v>782</v>
      </c>
      <c r="AI387" s="31"/>
      <c r="AJ387" s="61"/>
      <c r="AO387" t="s">
        <v>22</v>
      </c>
      <c r="AR387" s="31">
        <v>46060</v>
      </c>
      <c r="AS387" t="s">
        <v>2119</v>
      </c>
      <c r="AT387" t="s">
        <v>2797</v>
      </c>
      <c r="AU387" t="s">
        <v>53</v>
      </c>
      <c r="AV387" t="s">
        <v>2798</v>
      </c>
      <c r="AW387" t="s">
        <v>2799</v>
      </c>
      <c r="AX387">
        <v>1</v>
      </c>
    </row>
    <row r="388" spans="1:50" x14ac:dyDescent="0.3">
      <c r="A388" t="s">
        <v>22</v>
      </c>
      <c r="B388">
        <v>796</v>
      </c>
      <c r="D388">
        <v>3087</v>
      </c>
      <c r="E388" t="s">
        <v>2800</v>
      </c>
      <c r="G388" t="s">
        <v>2801</v>
      </c>
      <c r="J388" t="s">
        <v>2802</v>
      </c>
      <c r="K388" t="s">
        <v>2803</v>
      </c>
      <c r="M388" t="s">
        <v>2804</v>
      </c>
      <c r="P388" t="s">
        <v>778</v>
      </c>
      <c r="S388" t="s">
        <v>2541</v>
      </c>
      <c r="V388" t="s">
        <v>2791</v>
      </c>
      <c r="W388" t="s">
        <v>780</v>
      </c>
      <c r="X388" t="s">
        <v>897</v>
      </c>
      <c r="Z388" s="31">
        <v>46053</v>
      </c>
      <c r="AC388">
        <v>24</v>
      </c>
      <c r="AD388" t="s">
        <v>22</v>
      </c>
      <c r="AE388" s="31">
        <v>46036</v>
      </c>
      <c r="AF388" s="61">
        <v>0.42770833333333341</v>
      </c>
      <c r="AH388" t="s">
        <v>795</v>
      </c>
      <c r="AI388" s="31">
        <v>46060</v>
      </c>
      <c r="AJ388" s="61">
        <v>0.31616898148148148</v>
      </c>
      <c r="AK388" t="s">
        <v>1226</v>
      </c>
      <c r="AL388" t="s">
        <v>2805</v>
      </c>
      <c r="AO388" t="s">
        <v>22</v>
      </c>
      <c r="AR388" s="31">
        <v>46060</v>
      </c>
      <c r="AS388" t="s">
        <v>2119</v>
      </c>
      <c r="AX388">
        <v>1</v>
      </c>
    </row>
    <row r="389" spans="1:50" x14ac:dyDescent="0.3">
      <c r="A389" t="s">
        <v>22</v>
      </c>
      <c r="B389">
        <v>799</v>
      </c>
      <c r="D389">
        <v>3091</v>
      </c>
      <c r="E389" t="s">
        <v>2806</v>
      </c>
      <c r="G389" t="s">
        <v>2807</v>
      </c>
      <c r="J389" t="s">
        <v>2648</v>
      </c>
      <c r="K389" t="s">
        <v>2649</v>
      </c>
      <c r="M389" t="s">
        <v>1111</v>
      </c>
      <c r="P389" t="s">
        <v>778</v>
      </c>
      <c r="V389" t="s">
        <v>2407</v>
      </c>
      <c r="W389" t="s">
        <v>780</v>
      </c>
      <c r="X389" t="s">
        <v>816</v>
      </c>
      <c r="Z389" s="31">
        <v>46037</v>
      </c>
      <c r="AA389">
        <v>1600</v>
      </c>
      <c r="AB389">
        <v>252471</v>
      </c>
      <c r="AC389">
        <v>9</v>
      </c>
      <c r="AD389" t="s">
        <v>22</v>
      </c>
      <c r="AE389" s="31">
        <v>46036</v>
      </c>
      <c r="AF389" s="61">
        <v>0.78824074074074069</v>
      </c>
      <c r="AH389" t="s">
        <v>818</v>
      </c>
      <c r="AI389" s="31">
        <v>46045</v>
      </c>
      <c r="AJ389" s="61">
        <v>0.46164351851851848</v>
      </c>
      <c r="AM389" t="s">
        <v>2808</v>
      </c>
      <c r="AN389" t="s">
        <v>2808</v>
      </c>
      <c r="AO389" t="s">
        <v>22</v>
      </c>
      <c r="AP389" t="s">
        <v>2808</v>
      </c>
      <c r="AR389" s="31">
        <v>46037</v>
      </c>
      <c r="AX389">
        <v>1</v>
      </c>
    </row>
    <row r="390" spans="1:50" x14ac:dyDescent="0.3">
      <c r="A390" t="s">
        <v>31</v>
      </c>
      <c r="B390">
        <v>800</v>
      </c>
      <c r="D390">
        <v>3092</v>
      </c>
      <c r="G390" t="s">
        <v>2809</v>
      </c>
      <c r="H390">
        <v>9205460000120</v>
      </c>
      <c r="J390" t="s">
        <v>2810</v>
      </c>
      <c r="K390" t="s">
        <v>2811</v>
      </c>
      <c r="M390" t="s">
        <v>1111</v>
      </c>
      <c r="P390" t="s">
        <v>778</v>
      </c>
      <c r="Q390" t="s">
        <v>2812</v>
      </c>
      <c r="R390" t="s">
        <v>1067</v>
      </c>
      <c r="S390" t="s">
        <v>2541</v>
      </c>
      <c r="V390" t="s">
        <v>2559</v>
      </c>
      <c r="W390" t="s">
        <v>780</v>
      </c>
      <c r="X390" t="s">
        <v>781</v>
      </c>
      <c r="Z390" s="31">
        <v>46053</v>
      </c>
      <c r="AC390">
        <v>7</v>
      </c>
      <c r="AD390" t="s">
        <v>22</v>
      </c>
      <c r="AE390" s="31">
        <v>46038</v>
      </c>
      <c r="AF390" s="61">
        <v>0.39675925925925931</v>
      </c>
      <c r="AH390" t="s">
        <v>795</v>
      </c>
      <c r="AI390" s="31">
        <v>46045</v>
      </c>
      <c r="AJ390" s="61">
        <v>0.71688657407407408</v>
      </c>
      <c r="AK390" t="s">
        <v>1226</v>
      </c>
      <c r="AO390" t="s">
        <v>31</v>
      </c>
      <c r="AR390" s="31">
        <v>46045</v>
      </c>
      <c r="AX390">
        <v>1</v>
      </c>
    </row>
    <row r="391" spans="1:50" x14ac:dyDescent="0.3">
      <c r="A391" t="s">
        <v>44</v>
      </c>
      <c r="B391">
        <v>803</v>
      </c>
      <c r="D391">
        <v>3094</v>
      </c>
      <c r="E391" t="s">
        <v>2813</v>
      </c>
      <c r="G391" t="s">
        <v>2814</v>
      </c>
      <c r="J391" t="s">
        <v>2815</v>
      </c>
      <c r="K391" t="s">
        <v>2816</v>
      </c>
      <c r="M391" t="s">
        <v>2817</v>
      </c>
      <c r="P391" t="s">
        <v>778</v>
      </c>
      <c r="S391" t="s">
        <v>2541</v>
      </c>
      <c r="V391" t="s">
        <v>2559</v>
      </c>
      <c r="W391" t="s">
        <v>780</v>
      </c>
      <c r="X391" t="s">
        <v>897</v>
      </c>
      <c r="Z391" s="31">
        <v>46053</v>
      </c>
      <c r="AC391">
        <v>20</v>
      </c>
      <c r="AD391" t="s">
        <v>22</v>
      </c>
      <c r="AE391" s="31">
        <v>46038</v>
      </c>
      <c r="AF391" s="61">
        <v>0.67024305555555552</v>
      </c>
      <c r="AH391" t="s">
        <v>795</v>
      </c>
      <c r="AI391" s="31">
        <v>46058</v>
      </c>
      <c r="AJ391" s="61">
        <v>0.52137731481481486</v>
      </c>
      <c r="AK391" t="s">
        <v>796</v>
      </c>
      <c r="AL391" t="s">
        <v>2818</v>
      </c>
      <c r="AO391" t="s">
        <v>44</v>
      </c>
      <c r="AR391" s="31">
        <v>46042</v>
      </c>
      <c r="AX391">
        <v>1</v>
      </c>
    </row>
    <row r="392" spans="1:50" x14ac:dyDescent="0.3">
      <c r="A392" t="s">
        <v>31</v>
      </c>
      <c r="B392">
        <v>804</v>
      </c>
      <c r="D392">
        <v>3099</v>
      </c>
      <c r="G392" t="s">
        <v>2819</v>
      </c>
      <c r="H392">
        <v>33036815000180</v>
      </c>
      <c r="J392" t="s">
        <v>2820</v>
      </c>
      <c r="K392" t="s">
        <v>2821</v>
      </c>
      <c r="M392" t="s">
        <v>2822</v>
      </c>
      <c r="P392" t="s">
        <v>778</v>
      </c>
      <c r="S392" t="s">
        <v>2541</v>
      </c>
      <c r="V392" t="s">
        <v>2559</v>
      </c>
      <c r="W392" t="s">
        <v>780</v>
      </c>
      <c r="X392" t="s">
        <v>781</v>
      </c>
      <c r="Z392" s="31">
        <v>46053</v>
      </c>
      <c r="AC392">
        <v>5</v>
      </c>
      <c r="AD392" t="s">
        <v>22</v>
      </c>
      <c r="AE392" s="31">
        <v>46038</v>
      </c>
      <c r="AF392" s="61">
        <v>0.67128472222222224</v>
      </c>
      <c r="AH392" t="s">
        <v>795</v>
      </c>
      <c r="AI392" s="31">
        <v>46043</v>
      </c>
      <c r="AJ392" s="61">
        <v>0.48775462962962962</v>
      </c>
      <c r="AK392" t="s">
        <v>1226</v>
      </c>
      <c r="AO392" t="s">
        <v>31</v>
      </c>
      <c r="AR392" s="31">
        <v>46043</v>
      </c>
      <c r="AX392">
        <v>1</v>
      </c>
    </row>
    <row r="393" spans="1:50" x14ac:dyDescent="0.3">
      <c r="A393" t="s">
        <v>44</v>
      </c>
      <c r="B393">
        <v>805</v>
      </c>
      <c r="D393">
        <v>3093</v>
      </c>
      <c r="E393" t="s">
        <v>2823</v>
      </c>
      <c r="G393" t="s">
        <v>2824</v>
      </c>
      <c r="H393">
        <v>53629067000156</v>
      </c>
      <c r="J393" t="s">
        <v>2825</v>
      </c>
      <c r="K393" t="s">
        <v>2826</v>
      </c>
      <c r="M393" t="s">
        <v>2827</v>
      </c>
      <c r="P393" t="s">
        <v>778</v>
      </c>
      <c r="Q393" t="s">
        <v>2828</v>
      </c>
      <c r="R393" t="s">
        <v>1699</v>
      </c>
      <c r="S393" t="s">
        <v>814</v>
      </c>
      <c r="V393" t="s">
        <v>1186</v>
      </c>
      <c r="W393" t="s">
        <v>780</v>
      </c>
      <c r="X393" t="s">
        <v>793</v>
      </c>
      <c r="Z393" s="31">
        <v>46053</v>
      </c>
      <c r="AA393">
        <v>72080</v>
      </c>
      <c r="AB393">
        <v>18676</v>
      </c>
      <c r="AC393">
        <v>34</v>
      </c>
      <c r="AD393" t="s">
        <v>22</v>
      </c>
      <c r="AE393" s="31">
        <v>46038</v>
      </c>
      <c r="AF393" s="61">
        <v>0.67234953703703704</v>
      </c>
      <c r="AH393" t="s">
        <v>782</v>
      </c>
      <c r="AI393" s="31"/>
      <c r="AJ393" s="61"/>
      <c r="AN393" t="s">
        <v>2829</v>
      </c>
      <c r="AO393" t="s">
        <v>44</v>
      </c>
      <c r="AP393" t="s">
        <v>2829</v>
      </c>
      <c r="AR393" s="31">
        <v>46049</v>
      </c>
      <c r="AX393">
        <v>1</v>
      </c>
    </row>
    <row r="394" spans="1:50" x14ac:dyDescent="0.3">
      <c r="A394" t="s">
        <v>31</v>
      </c>
      <c r="B394">
        <v>818</v>
      </c>
      <c r="D394">
        <v>3101</v>
      </c>
      <c r="E394" t="s">
        <v>2830</v>
      </c>
      <c r="G394" t="s">
        <v>2831</v>
      </c>
      <c r="J394" t="s">
        <v>2832</v>
      </c>
      <c r="K394" t="s">
        <v>2833</v>
      </c>
      <c r="M394" t="s">
        <v>2834</v>
      </c>
      <c r="P394" t="s">
        <v>778</v>
      </c>
      <c r="S394" t="s">
        <v>2541</v>
      </c>
      <c r="V394" t="s">
        <v>2791</v>
      </c>
      <c r="W394" t="s">
        <v>780</v>
      </c>
      <c r="X394" t="s">
        <v>857</v>
      </c>
      <c r="Z394" s="31">
        <v>46112</v>
      </c>
      <c r="AC394">
        <v>9</v>
      </c>
      <c r="AD394" t="s">
        <v>22</v>
      </c>
      <c r="AE394" s="31">
        <v>46041</v>
      </c>
      <c r="AF394" s="61">
        <v>0.4798263888888889</v>
      </c>
      <c r="AH394" t="s">
        <v>795</v>
      </c>
      <c r="AI394" s="31">
        <v>46050</v>
      </c>
      <c r="AJ394" s="61">
        <v>0.68680555555555556</v>
      </c>
      <c r="AK394" t="s">
        <v>858</v>
      </c>
      <c r="AO394" t="s">
        <v>31</v>
      </c>
      <c r="AR394" s="31">
        <v>46050</v>
      </c>
      <c r="AX394">
        <v>1</v>
      </c>
    </row>
    <row r="395" spans="1:50" x14ac:dyDescent="0.3">
      <c r="A395" t="s">
        <v>44</v>
      </c>
      <c r="B395">
        <v>819</v>
      </c>
      <c r="D395">
        <v>3102</v>
      </c>
      <c r="E395" t="s">
        <v>2835</v>
      </c>
      <c r="G395" t="s">
        <v>2836</v>
      </c>
      <c r="H395">
        <v>49827202000109</v>
      </c>
      <c r="J395" t="s">
        <v>2837</v>
      </c>
      <c r="K395" t="s">
        <v>2838</v>
      </c>
      <c r="M395" t="s">
        <v>2839</v>
      </c>
      <c r="P395" t="s">
        <v>778</v>
      </c>
      <c r="Q395" t="s">
        <v>2840</v>
      </c>
      <c r="R395" t="s">
        <v>2841</v>
      </c>
      <c r="S395" t="s">
        <v>814</v>
      </c>
      <c r="V395" t="s">
        <v>2842</v>
      </c>
      <c r="W395" t="s">
        <v>780</v>
      </c>
      <c r="X395" t="s">
        <v>857</v>
      </c>
      <c r="Z395" s="31">
        <v>46053</v>
      </c>
      <c r="AA395">
        <v>72080</v>
      </c>
      <c r="AB395">
        <v>881079</v>
      </c>
      <c r="AC395">
        <v>17</v>
      </c>
      <c r="AD395" t="s">
        <v>22</v>
      </c>
      <c r="AE395" s="31">
        <v>46041</v>
      </c>
      <c r="AF395" s="61">
        <v>0.4817939814814815</v>
      </c>
      <c r="AH395" t="s">
        <v>795</v>
      </c>
      <c r="AI395" s="31">
        <v>46058</v>
      </c>
      <c r="AJ395" s="61">
        <v>0.59219907407407413</v>
      </c>
      <c r="AK395" t="s">
        <v>867</v>
      </c>
      <c r="AL395" t="s">
        <v>2843</v>
      </c>
      <c r="AN395" t="s">
        <v>2829</v>
      </c>
      <c r="AO395" t="s">
        <v>44</v>
      </c>
      <c r="AP395" t="s">
        <v>2590</v>
      </c>
      <c r="AR395" s="31">
        <v>46048</v>
      </c>
      <c r="AX395">
        <v>1</v>
      </c>
    </row>
    <row r="396" spans="1:50" x14ac:dyDescent="0.3">
      <c r="A396" t="s">
        <v>31</v>
      </c>
      <c r="B396">
        <v>820</v>
      </c>
      <c r="D396">
        <v>3103</v>
      </c>
      <c r="G396" t="s">
        <v>2844</v>
      </c>
      <c r="J396" t="s">
        <v>2845</v>
      </c>
      <c r="K396" t="s">
        <v>2846</v>
      </c>
      <c r="M396" t="s">
        <v>2847</v>
      </c>
      <c r="P396" t="s">
        <v>778</v>
      </c>
      <c r="S396" t="s">
        <v>2541</v>
      </c>
      <c r="V396" t="s">
        <v>2559</v>
      </c>
      <c r="W396" t="s">
        <v>780</v>
      </c>
      <c r="X396" t="s">
        <v>781</v>
      </c>
      <c r="Z396" s="31">
        <v>46053</v>
      </c>
      <c r="AC396">
        <v>19</v>
      </c>
      <c r="AD396" t="s">
        <v>22</v>
      </c>
      <c r="AE396" s="31">
        <v>46041</v>
      </c>
      <c r="AF396" s="61">
        <v>0.48258101851851848</v>
      </c>
      <c r="AH396" t="s">
        <v>795</v>
      </c>
      <c r="AI396" s="31">
        <v>46060</v>
      </c>
      <c r="AJ396" s="61">
        <v>0.32299768518518518</v>
      </c>
      <c r="AK396" t="s">
        <v>1226</v>
      </c>
      <c r="AO396" t="s">
        <v>31</v>
      </c>
      <c r="AR396" s="31">
        <v>46049</v>
      </c>
      <c r="AX396">
        <v>1</v>
      </c>
    </row>
    <row r="397" spans="1:50" x14ac:dyDescent="0.3">
      <c r="A397" t="s">
        <v>22</v>
      </c>
      <c r="B397">
        <v>821</v>
      </c>
      <c r="D397">
        <v>3119</v>
      </c>
      <c r="E397" t="s">
        <v>2848</v>
      </c>
      <c r="G397" t="s">
        <v>2849</v>
      </c>
      <c r="H397">
        <v>7658378000126</v>
      </c>
      <c r="J397" t="s">
        <v>2850</v>
      </c>
      <c r="K397" t="s">
        <v>2851</v>
      </c>
      <c r="M397" t="s">
        <v>2852</v>
      </c>
      <c r="P397" t="s">
        <v>778</v>
      </c>
      <c r="Q397" t="s">
        <v>2853</v>
      </c>
      <c r="S397" t="s">
        <v>814</v>
      </c>
      <c r="V397" t="s">
        <v>2391</v>
      </c>
      <c r="W397" t="s">
        <v>780</v>
      </c>
      <c r="X397" t="s">
        <v>857</v>
      </c>
      <c r="Z397" s="31">
        <v>46053</v>
      </c>
      <c r="AC397">
        <v>24</v>
      </c>
      <c r="AD397" t="s">
        <v>22</v>
      </c>
      <c r="AE397" s="31">
        <v>46042</v>
      </c>
      <c r="AF397" s="61">
        <v>0.36244212962962957</v>
      </c>
      <c r="AH397" t="s">
        <v>795</v>
      </c>
      <c r="AI397" s="31">
        <v>46066</v>
      </c>
      <c r="AJ397" s="61">
        <v>0.73247685185185185</v>
      </c>
      <c r="AK397" t="s">
        <v>796</v>
      </c>
      <c r="AN397" t="s">
        <v>405</v>
      </c>
      <c r="AO397" t="s">
        <v>22</v>
      </c>
      <c r="AP397" t="s">
        <v>405</v>
      </c>
      <c r="AR397" s="31">
        <v>46045</v>
      </c>
      <c r="AS397" t="s">
        <v>2119</v>
      </c>
      <c r="AU397" t="s">
        <v>2854</v>
      </c>
      <c r="AX397">
        <v>1</v>
      </c>
    </row>
    <row r="398" spans="1:50" x14ac:dyDescent="0.3">
      <c r="A398" t="s">
        <v>31</v>
      </c>
      <c r="B398">
        <v>823</v>
      </c>
      <c r="D398">
        <v>3118</v>
      </c>
      <c r="E398" t="s">
        <v>2855</v>
      </c>
      <c r="G398" t="s">
        <v>385</v>
      </c>
      <c r="H398">
        <v>44530589000105</v>
      </c>
      <c r="J398" t="s">
        <v>2856</v>
      </c>
      <c r="K398" t="s">
        <v>2857</v>
      </c>
      <c r="M398" t="s">
        <v>2858</v>
      </c>
      <c r="P398" t="s">
        <v>778</v>
      </c>
      <c r="Q398" t="s">
        <v>993</v>
      </c>
      <c r="R398" t="s">
        <v>932</v>
      </c>
      <c r="S398" t="s">
        <v>814</v>
      </c>
      <c r="V398" t="s">
        <v>2859</v>
      </c>
      <c r="W398" t="s">
        <v>780</v>
      </c>
      <c r="X398" t="s">
        <v>897</v>
      </c>
      <c r="Z398" s="31">
        <v>46173</v>
      </c>
      <c r="AC398">
        <v>30</v>
      </c>
      <c r="AD398" t="s">
        <v>22</v>
      </c>
      <c r="AE398" s="31">
        <v>46042</v>
      </c>
      <c r="AF398" s="61">
        <v>0.36586805555555563</v>
      </c>
      <c r="AH398" t="s">
        <v>782</v>
      </c>
      <c r="AI398" s="31"/>
      <c r="AJ398" s="61"/>
      <c r="AO398" t="s">
        <v>31</v>
      </c>
      <c r="AR398" s="31">
        <v>46071</v>
      </c>
      <c r="AS398" t="s">
        <v>2119</v>
      </c>
      <c r="AX398">
        <v>1</v>
      </c>
    </row>
    <row r="399" spans="1:50" x14ac:dyDescent="0.3">
      <c r="A399" t="s">
        <v>31</v>
      </c>
      <c r="B399">
        <v>847</v>
      </c>
      <c r="D399">
        <v>3129</v>
      </c>
      <c r="E399" t="s">
        <v>2860</v>
      </c>
      <c r="G399" t="s">
        <v>2861</v>
      </c>
      <c r="J399" t="s">
        <v>2862</v>
      </c>
      <c r="K399" t="s">
        <v>2863</v>
      </c>
      <c r="M399" t="s">
        <v>2864</v>
      </c>
      <c r="P399" t="s">
        <v>778</v>
      </c>
      <c r="S399" t="s">
        <v>2541</v>
      </c>
      <c r="V399" t="s">
        <v>2559</v>
      </c>
      <c r="W399" t="s">
        <v>780</v>
      </c>
      <c r="X399" t="s">
        <v>781</v>
      </c>
      <c r="Z399" s="31">
        <v>46053</v>
      </c>
      <c r="AC399">
        <v>0</v>
      </c>
      <c r="AD399" t="s">
        <v>22</v>
      </c>
      <c r="AE399" s="31">
        <v>46043</v>
      </c>
      <c r="AF399" s="61">
        <v>0.45225694444444442</v>
      </c>
      <c r="AH399" t="s">
        <v>795</v>
      </c>
      <c r="AI399" s="31">
        <v>46043</v>
      </c>
      <c r="AJ399" s="61">
        <v>0.46807870370370369</v>
      </c>
      <c r="AK399" t="s">
        <v>1226</v>
      </c>
      <c r="AO399" t="s">
        <v>31</v>
      </c>
      <c r="AR399" s="31"/>
      <c r="AX399">
        <v>1</v>
      </c>
    </row>
    <row r="400" spans="1:50" x14ac:dyDescent="0.3">
      <c r="A400" t="s">
        <v>44</v>
      </c>
      <c r="B400">
        <v>848</v>
      </c>
      <c r="D400">
        <v>3148</v>
      </c>
      <c r="E400" t="s">
        <v>2865</v>
      </c>
      <c r="G400" t="s">
        <v>2866</v>
      </c>
      <c r="J400" t="s">
        <v>2867</v>
      </c>
      <c r="K400" t="s">
        <v>2868</v>
      </c>
      <c r="M400" t="s">
        <v>2869</v>
      </c>
      <c r="P400" t="s">
        <v>778</v>
      </c>
      <c r="S400" t="s">
        <v>2541</v>
      </c>
      <c r="V400" t="s">
        <v>2559</v>
      </c>
      <c r="W400" t="s">
        <v>780</v>
      </c>
      <c r="X400" t="s">
        <v>781</v>
      </c>
      <c r="Z400" s="31">
        <v>46053</v>
      </c>
      <c r="AC400">
        <v>15</v>
      </c>
      <c r="AD400" t="s">
        <v>22</v>
      </c>
      <c r="AE400" s="31">
        <v>46043</v>
      </c>
      <c r="AF400" s="61">
        <v>0.45456018518518521</v>
      </c>
      <c r="AH400" t="s">
        <v>795</v>
      </c>
      <c r="AI400" s="31">
        <v>46058</v>
      </c>
      <c r="AJ400" s="61">
        <v>0.51791666666666669</v>
      </c>
      <c r="AK400" t="s">
        <v>1358</v>
      </c>
      <c r="AL400" t="s">
        <v>2870</v>
      </c>
      <c r="AO400" t="s">
        <v>44</v>
      </c>
      <c r="AR400" s="31">
        <v>46045</v>
      </c>
      <c r="AX400">
        <v>1</v>
      </c>
    </row>
    <row r="401" spans="1:50" x14ac:dyDescent="0.3">
      <c r="A401" t="s">
        <v>31</v>
      </c>
      <c r="B401">
        <v>849</v>
      </c>
      <c r="D401">
        <v>3149</v>
      </c>
      <c r="G401" t="s">
        <v>2871</v>
      </c>
      <c r="H401">
        <v>27343071000143</v>
      </c>
      <c r="J401" t="s">
        <v>2872</v>
      </c>
      <c r="K401" t="s">
        <v>2873</v>
      </c>
      <c r="M401" t="s">
        <v>2874</v>
      </c>
      <c r="P401" t="s">
        <v>778</v>
      </c>
      <c r="S401" t="s">
        <v>2541</v>
      </c>
      <c r="V401" t="s">
        <v>2559</v>
      </c>
      <c r="W401" t="s">
        <v>780</v>
      </c>
      <c r="X401" t="s">
        <v>781</v>
      </c>
      <c r="Z401" s="31">
        <v>46053</v>
      </c>
      <c r="AC401">
        <v>17</v>
      </c>
      <c r="AD401" t="s">
        <v>22</v>
      </c>
      <c r="AE401" s="31">
        <v>46043</v>
      </c>
      <c r="AF401" s="61">
        <v>0.51600694444444439</v>
      </c>
      <c r="AH401" t="s">
        <v>795</v>
      </c>
      <c r="AI401" s="31">
        <v>46060</v>
      </c>
      <c r="AJ401" s="61">
        <v>0.32187500000000002</v>
      </c>
      <c r="AK401" t="s">
        <v>1226</v>
      </c>
      <c r="AO401" t="s">
        <v>31</v>
      </c>
      <c r="AR401" s="31"/>
      <c r="AX401">
        <v>1</v>
      </c>
    </row>
    <row r="402" spans="1:50" x14ac:dyDescent="0.3">
      <c r="A402" t="s">
        <v>31</v>
      </c>
      <c r="B402">
        <v>850</v>
      </c>
      <c r="D402">
        <v>3150</v>
      </c>
      <c r="G402" t="s">
        <v>2871</v>
      </c>
      <c r="H402">
        <v>27343071000143</v>
      </c>
      <c r="J402" t="s">
        <v>2875</v>
      </c>
      <c r="K402" t="s">
        <v>2876</v>
      </c>
      <c r="M402" t="s">
        <v>2877</v>
      </c>
      <c r="P402" t="s">
        <v>778</v>
      </c>
      <c r="Q402" t="s">
        <v>923</v>
      </c>
      <c r="S402" t="s">
        <v>814</v>
      </c>
      <c r="V402" t="s">
        <v>2878</v>
      </c>
      <c r="W402" t="s">
        <v>780</v>
      </c>
      <c r="X402" t="s">
        <v>897</v>
      </c>
      <c r="Z402" s="31">
        <v>46053</v>
      </c>
      <c r="AC402">
        <v>1</v>
      </c>
      <c r="AD402" t="s">
        <v>22</v>
      </c>
      <c r="AE402" s="31">
        <v>46043</v>
      </c>
      <c r="AF402" s="61">
        <v>0.5166898148148148</v>
      </c>
      <c r="AH402" t="s">
        <v>795</v>
      </c>
      <c r="AI402" s="31">
        <v>46044</v>
      </c>
      <c r="AJ402" s="61">
        <v>0.41939814814814808</v>
      </c>
      <c r="AK402" t="s">
        <v>867</v>
      </c>
      <c r="AO402" t="s">
        <v>31</v>
      </c>
      <c r="AR402" s="31"/>
      <c r="AX402">
        <v>1</v>
      </c>
    </row>
    <row r="403" spans="1:50" x14ac:dyDescent="0.3">
      <c r="A403" t="s">
        <v>44</v>
      </c>
      <c r="B403">
        <v>851</v>
      </c>
      <c r="D403">
        <v>3151</v>
      </c>
      <c r="E403" t="s">
        <v>2879</v>
      </c>
      <c r="G403" t="s">
        <v>2880</v>
      </c>
      <c r="J403" t="s">
        <v>2881</v>
      </c>
      <c r="K403" t="s">
        <v>2882</v>
      </c>
      <c r="M403" t="s">
        <v>2883</v>
      </c>
      <c r="P403" t="s">
        <v>778</v>
      </c>
      <c r="S403" t="s">
        <v>2541</v>
      </c>
      <c r="V403" t="s">
        <v>2791</v>
      </c>
      <c r="W403" t="s">
        <v>780</v>
      </c>
      <c r="X403" t="s">
        <v>897</v>
      </c>
      <c r="Z403" s="31">
        <v>46053</v>
      </c>
      <c r="AC403">
        <v>15</v>
      </c>
      <c r="AD403" t="s">
        <v>22</v>
      </c>
      <c r="AE403" s="31">
        <v>46043</v>
      </c>
      <c r="AF403" s="61">
        <v>0.52098379629629632</v>
      </c>
      <c r="AH403" t="s">
        <v>795</v>
      </c>
      <c r="AI403" s="31">
        <v>46058</v>
      </c>
      <c r="AJ403" s="61">
        <v>0.59001157407407412</v>
      </c>
      <c r="AK403" t="s">
        <v>796</v>
      </c>
      <c r="AL403" t="s">
        <v>796</v>
      </c>
      <c r="AO403" t="s">
        <v>44</v>
      </c>
      <c r="AR403" s="31">
        <v>46049</v>
      </c>
      <c r="AX403">
        <v>1</v>
      </c>
    </row>
    <row r="404" spans="1:50" x14ac:dyDescent="0.3">
      <c r="A404" t="s">
        <v>31</v>
      </c>
      <c r="B404">
        <v>853</v>
      </c>
      <c r="D404">
        <v>3154</v>
      </c>
      <c r="E404" t="s">
        <v>2884</v>
      </c>
      <c r="G404" t="s">
        <v>2885</v>
      </c>
      <c r="H404">
        <v>8439142000161</v>
      </c>
      <c r="J404" t="s">
        <v>2886</v>
      </c>
      <c r="K404" t="s">
        <v>2887</v>
      </c>
      <c r="M404" t="s">
        <v>2888</v>
      </c>
      <c r="P404" t="s">
        <v>778</v>
      </c>
      <c r="S404" t="s">
        <v>2541</v>
      </c>
      <c r="V404" t="s">
        <v>2791</v>
      </c>
      <c r="W404" t="s">
        <v>780</v>
      </c>
      <c r="X404" t="s">
        <v>793</v>
      </c>
      <c r="Z404" s="31">
        <v>46112</v>
      </c>
      <c r="AA404">
        <v>58800</v>
      </c>
      <c r="AB404">
        <v>873144</v>
      </c>
      <c r="AC404">
        <v>8</v>
      </c>
      <c r="AD404" t="s">
        <v>22</v>
      </c>
      <c r="AE404" s="31">
        <v>46043</v>
      </c>
      <c r="AF404" s="61">
        <v>0.91557870370370376</v>
      </c>
      <c r="AH404" t="s">
        <v>795</v>
      </c>
      <c r="AI404" s="31">
        <v>46051</v>
      </c>
      <c r="AJ404" s="61">
        <v>0.67262731481481486</v>
      </c>
      <c r="AK404" t="s">
        <v>867</v>
      </c>
      <c r="AN404" t="s">
        <v>2889</v>
      </c>
      <c r="AO404" t="s">
        <v>31</v>
      </c>
      <c r="AP404" t="s">
        <v>2890</v>
      </c>
      <c r="AQ404" t="s">
        <v>2891</v>
      </c>
      <c r="AR404" s="31">
        <v>46050</v>
      </c>
      <c r="AX404">
        <v>1</v>
      </c>
    </row>
    <row r="405" spans="1:50" x14ac:dyDescent="0.3">
      <c r="A405" t="s">
        <v>31</v>
      </c>
      <c r="B405">
        <v>854</v>
      </c>
      <c r="D405">
        <v>3155</v>
      </c>
      <c r="G405" t="s">
        <v>2892</v>
      </c>
      <c r="J405" t="s">
        <v>2893</v>
      </c>
      <c r="K405" t="s">
        <v>2894</v>
      </c>
      <c r="M405" t="s">
        <v>2895</v>
      </c>
      <c r="P405" t="s">
        <v>778</v>
      </c>
      <c r="S405" t="s">
        <v>2541</v>
      </c>
      <c r="V405" t="s">
        <v>2559</v>
      </c>
      <c r="W405" t="s">
        <v>780</v>
      </c>
      <c r="X405" t="s">
        <v>781</v>
      </c>
      <c r="Z405" s="31">
        <v>46044</v>
      </c>
      <c r="AC405">
        <v>0</v>
      </c>
      <c r="AD405" t="s">
        <v>22</v>
      </c>
      <c r="AE405" s="31">
        <v>46044</v>
      </c>
      <c r="AF405" s="61">
        <v>0.62604166666666672</v>
      </c>
      <c r="AH405" t="s">
        <v>795</v>
      </c>
      <c r="AI405" s="31">
        <v>46044</v>
      </c>
      <c r="AJ405" s="61">
        <v>0.65458333333333329</v>
      </c>
      <c r="AK405" t="s">
        <v>1226</v>
      </c>
      <c r="AO405" t="s">
        <v>31</v>
      </c>
      <c r="AR405" s="31"/>
      <c r="AX405">
        <v>1</v>
      </c>
    </row>
    <row r="406" spans="1:50" x14ac:dyDescent="0.3">
      <c r="A406" t="s">
        <v>44</v>
      </c>
      <c r="B406">
        <v>860</v>
      </c>
      <c r="D406">
        <v>3164</v>
      </c>
      <c r="E406" t="s">
        <v>2896</v>
      </c>
      <c r="G406" t="s">
        <v>2897</v>
      </c>
      <c r="H406">
        <v>1399482000167</v>
      </c>
      <c r="J406" t="s">
        <v>2898</v>
      </c>
      <c r="K406" t="s">
        <v>2899</v>
      </c>
      <c r="M406" t="s">
        <v>2900</v>
      </c>
      <c r="P406" t="s">
        <v>778</v>
      </c>
      <c r="S406" t="s">
        <v>2541</v>
      </c>
      <c r="V406" t="s">
        <v>2791</v>
      </c>
      <c r="W406" t="s">
        <v>780</v>
      </c>
      <c r="X406" t="s">
        <v>897</v>
      </c>
      <c r="Z406" s="31">
        <v>46053</v>
      </c>
      <c r="AC406">
        <v>13</v>
      </c>
      <c r="AD406" t="s">
        <v>22</v>
      </c>
      <c r="AE406" s="31">
        <v>46045</v>
      </c>
      <c r="AF406" s="61">
        <v>0.4199074074074074</v>
      </c>
      <c r="AH406" t="s">
        <v>795</v>
      </c>
      <c r="AI406" s="31">
        <v>46058</v>
      </c>
      <c r="AJ406" s="61">
        <v>0.58894675925925921</v>
      </c>
      <c r="AK406" t="s">
        <v>796</v>
      </c>
      <c r="AL406" t="s">
        <v>2901</v>
      </c>
      <c r="AO406" t="s">
        <v>44</v>
      </c>
      <c r="AR406" s="31">
        <v>46051</v>
      </c>
      <c r="AX406">
        <v>1</v>
      </c>
    </row>
    <row r="407" spans="1:50" x14ac:dyDescent="0.3">
      <c r="A407" t="s">
        <v>31</v>
      </c>
      <c r="B407">
        <v>861</v>
      </c>
      <c r="D407">
        <v>3165</v>
      </c>
      <c r="E407" t="s">
        <v>2902</v>
      </c>
      <c r="G407" t="s">
        <v>2903</v>
      </c>
      <c r="J407" t="s">
        <v>2904</v>
      </c>
      <c r="K407" t="s">
        <v>2905</v>
      </c>
      <c r="M407" t="s">
        <v>2906</v>
      </c>
      <c r="P407" t="s">
        <v>778</v>
      </c>
      <c r="S407" t="s">
        <v>2541</v>
      </c>
      <c r="V407" t="s">
        <v>2559</v>
      </c>
      <c r="W407" t="s">
        <v>780</v>
      </c>
      <c r="X407" t="s">
        <v>781</v>
      </c>
      <c r="Z407" s="31">
        <v>46053</v>
      </c>
      <c r="AC407">
        <v>21</v>
      </c>
      <c r="AD407" t="s">
        <v>22</v>
      </c>
      <c r="AE407" s="31">
        <v>46045</v>
      </c>
      <c r="AF407" s="61">
        <v>0.44262731481481482</v>
      </c>
      <c r="AH407" t="s">
        <v>795</v>
      </c>
      <c r="AI407" s="31">
        <v>46066</v>
      </c>
      <c r="AJ407" s="61">
        <v>0.7257986111111111</v>
      </c>
      <c r="AK407" t="s">
        <v>1226</v>
      </c>
      <c r="AO407" t="s">
        <v>31</v>
      </c>
      <c r="AR407" s="31">
        <v>46066</v>
      </c>
      <c r="AX407">
        <v>1</v>
      </c>
    </row>
    <row r="408" spans="1:50" x14ac:dyDescent="0.3">
      <c r="A408" t="s">
        <v>22</v>
      </c>
      <c r="B408">
        <v>862</v>
      </c>
      <c r="D408">
        <v>3166</v>
      </c>
      <c r="E408" t="s">
        <v>2907</v>
      </c>
      <c r="G408" t="s">
        <v>413</v>
      </c>
      <c r="H408">
        <v>82808122000173</v>
      </c>
      <c r="J408" t="s">
        <v>2908</v>
      </c>
      <c r="K408" t="s">
        <v>2909</v>
      </c>
      <c r="M408" t="s">
        <v>2910</v>
      </c>
      <c r="P408" t="s">
        <v>778</v>
      </c>
      <c r="Q408" t="s">
        <v>2911</v>
      </c>
      <c r="R408" t="s">
        <v>932</v>
      </c>
      <c r="V408" t="s">
        <v>1419</v>
      </c>
      <c r="W408" t="s">
        <v>780</v>
      </c>
      <c r="X408" t="s">
        <v>807</v>
      </c>
      <c r="Z408" s="31">
        <v>46081</v>
      </c>
      <c r="AA408">
        <v>655029</v>
      </c>
      <c r="AB408">
        <v>170178</v>
      </c>
      <c r="AC408">
        <v>27</v>
      </c>
      <c r="AD408" t="s">
        <v>22</v>
      </c>
      <c r="AE408" s="31">
        <v>46045</v>
      </c>
      <c r="AF408" s="61">
        <v>0.47480324074074082</v>
      </c>
      <c r="AH408" t="s">
        <v>782</v>
      </c>
      <c r="AI408" s="31"/>
      <c r="AJ408" s="61"/>
      <c r="AN408" t="s">
        <v>384</v>
      </c>
      <c r="AO408" t="s">
        <v>22</v>
      </c>
      <c r="AP408" t="s">
        <v>384</v>
      </c>
      <c r="AR408" s="31">
        <v>46060</v>
      </c>
      <c r="AS408" t="s">
        <v>1423</v>
      </c>
      <c r="AT408" t="s">
        <v>2912</v>
      </c>
      <c r="AU408" t="s">
        <v>2913</v>
      </c>
      <c r="AV408" t="s">
        <v>2914</v>
      </c>
      <c r="AW408" t="s">
        <v>2915</v>
      </c>
      <c r="AX408">
        <v>1</v>
      </c>
    </row>
    <row r="409" spans="1:50" x14ac:dyDescent="0.3">
      <c r="A409" t="s">
        <v>22</v>
      </c>
      <c r="B409">
        <v>864</v>
      </c>
      <c r="D409">
        <v>3169</v>
      </c>
      <c r="E409" t="s">
        <v>2916</v>
      </c>
      <c r="G409" t="s">
        <v>2917</v>
      </c>
      <c r="J409" t="s">
        <v>704</v>
      </c>
      <c r="K409" t="s">
        <v>2132</v>
      </c>
      <c r="M409" t="s">
        <v>2918</v>
      </c>
      <c r="P409" t="s">
        <v>778</v>
      </c>
      <c r="S409" t="s">
        <v>2919</v>
      </c>
      <c r="V409" t="s">
        <v>1718</v>
      </c>
      <c r="W409" t="s">
        <v>780</v>
      </c>
      <c r="X409" t="s">
        <v>807</v>
      </c>
      <c r="Z409" s="31">
        <v>46053</v>
      </c>
      <c r="AA409">
        <v>10000</v>
      </c>
      <c r="AB409">
        <v>2000</v>
      </c>
      <c r="AC409">
        <v>27</v>
      </c>
      <c r="AD409" t="s">
        <v>22</v>
      </c>
      <c r="AE409" s="31">
        <v>46045</v>
      </c>
      <c r="AF409" s="61">
        <v>0.68347222222222226</v>
      </c>
      <c r="AH409" t="s">
        <v>782</v>
      </c>
      <c r="AI409" s="31"/>
      <c r="AJ409" s="61"/>
      <c r="AN409" t="s">
        <v>2920</v>
      </c>
      <c r="AO409" t="s">
        <v>22</v>
      </c>
      <c r="AP409" t="s">
        <v>2920</v>
      </c>
      <c r="AR409" s="31"/>
      <c r="AS409" t="s">
        <v>2119</v>
      </c>
      <c r="AT409" t="s">
        <v>2921</v>
      </c>
      <c r="AU409" t="s">
        <v>2922</v>
      </c>
      <c r="AV409" t="s">
        <v>2923</v>
      </c>
      <c r="AW409" t="s">
        <v>2924</v>
      </c>
      <c r="AX409">
        <v>1</v>
      </c>
    </row>
    <row r="410" spans="1:50" x14ac:dyDescent="0.3">
      <c r="A410" t="s">
        <v>22</v>
      </c>
      <c r="B410">
        <v>865</v>
      </c>
      <c r="D410">
        <v>3170</v>
      </c>
      <c r="E410" t="s">
        <v>2925</v>
      </c>
      <c r="G410" t="s">
        <v>2926</v>
      </c>
      <c r="H410">
        <v>13303103000172</v>
      </c>
      <c r="J410" t="s">
        <v>2927</v>
      </c>
      <c r="K410" t="s">
        <v>2928</v>
      </c>
      <c r="M410" t="s">
        <v>2929</v>
      </c>
      <c r="P410" t="s">
        <v>778</v>
      </c>
      <c r="Q410" t="s">
        <v>2930</v>
      </c>
      <c r="R410" t="s">
        <v>932</v>
      </c>
      <c r="S410" t="s">
        <v>1191</v>
      </c>
      <c r="V410" t="s">
        <v>1419</v>
      </c>
      <c r="W410" t="s">
        <v>780</v>
      </c>
      <c r="X410" t="s">
        <v>807</v>
      </c>
      <c r="Z410" s="31">
        <v>46081</v>
      </c>
      <c r="AA410">
        <v>7931116</v>
      </c>
      <c r="AB410">
        <v>614544</v>
      </c>
      <c r="AC410">
        <v>27</v>
      </c>
      <c r="AD410" t="s">
        <v>22</v>
      </c>
      <c r="AE410" s="31">
        <v>46045</v>
      </c>
      <c r="AF410" s="61">
        <v>0.70285879629629633</v>
      </c>
      <c r="AH410" t="s">
        <v>782</v>
      </c>
      <c r="AI410" s="31"/>
      <c r="AJ410" s="61"/>
      <c r="AN410" t="s">
        <v>2920</v>
      </c>
      <c r="AO410" t="s">
        <v>22</v>
      </c>
      <c r="AP410" t="s">
        <v>2920</v>
      </c>
      <c r="AR410" s="31"/>
      <c r="AS410" t="s">
        <v>1423</v>
      </c>
      <c r="AT410" t="s">
        <v>2931</v>
      </c>
      <c r="AU410" t="s">
        <v>2932</v>
      </c>
      <c r="AV410" t="s">
        <v>2933</v>
      </c>
      <c r="AW410" t="s">
        <v>2934</v>
      </c>
      <c r="AX410">
        <v>1</v>
      </c>
    </row>
    <row r="411" spans="1:50" x14ac:dyDescent="0.3">
      <c r="A411" t="s">
        <v>31</v>
      </c>
      <c r="B411">
        <v>866</v>
      </c>
      <c r="D411">
        <v>3177</v>
      </c>
      <c r="E411" t="s">
        <v>2935</v>
      </c>
      <c r="G411" t="s">
        <v>2936</v>
      </c>
      <c r="J411" t="s">
        <v>2937</v>
      </c>
      <c r="K411" t="s">
        <v>2938</v>
      </c>
      <c r="M411" t="s">
        <v>2939</v>
      </c>
      <c r="P411" t="s">
        <v>778</v>
      </c>
      <c r="S411" t="s">
        <v>2541</v>
      </c>
      <c r="V411" t="s">
        <v>2791</v>
      </c>
      <c r="W411" t="s">
        <v>780</v>
      </c>
      <c r="X411" t="s">
        <v>781</v>
      </c>
      <c r="Z411" s="31">
        <v>46053</v>
      </c>
      <c r="AC411">
        <v>3</v>
      </c>
      <c r="AD411" t="s">
        <v>22</v>
      </c>
      <c r="AE411" s="31">
        <v>46048</v>
      </c>
      <c r="AF411" s="61">
        <v>0.55048611111111112</v>
      </c>
      <c r="AH411" t="s">
        <v>795</v>
      </c>
      <c r="AI411" s="31">
        <v>46051</v>
      </c>
      <c r="AJ411" s="61">
        <v>0.66991898148148143</v>
      </c>
      <c r="AK411" t="s">
        <v>934</v>
      </c>
      <c r="AO411" t="s">
        <v>31</v>
      </c>
      <c r="AR411" s="31">
        <v>46049</v>
      </c>
      <c r="AX411">
        <v>1</v>
      </c>
    </row>
    <row r="412" spans="1:50" x14ac:dyDescent="0.3">
      <c r="A412" t="s">
        <v>44</v>
      </c>
      <c r="B412">
        <v>867</v>
      </c>
      <c r="D412">
        <v>3176</v>
      </c>
      <c r="E412" t="s">
        <v>2940</v>
      </c>
      <c r="G412" t="s">
        <v>2941</v>
      </c>
      <c r="H412">
        <v>16743404000105</v>
      </c>
      <c r="J412" t="s">
        <v>2942</v>
      </c>
      <c r="K412" t="s">
        <v>2943</v>
      </c>
      <c r="M412" t="s">
        <v>2944</v>
      </c>
      <c r="P412" t="s">
        <v>778</v>
      </c>
      <c r="Q412" t="s">
        <v>2945</v>
      </c>
      <c r="R412" t="s">
        <v>1105</v>
      </c>
      <c r="S412" t="s">
        <v>2541</v>
      </c>
      <c r="V412" t="s">
        <v>2542</v>
      </c>
      <c r="W412" t="s">
        <v>780</v>
      </c>
      <c r="X412" t="s">
        <v>793</v>
      </c>
      <c r="Z412" s="31">
        <v>46081</v>
      </c>
      <c r="AA412">
        <v>61904</v>
      </c>
      <c r="AB412">
        <v>10192</v>
      </c>
      <c r="AC412">
        <v>24</v>
      </c>
      <c r="AD412" t="s">
        <v>22</v>
      </c>
      <c r="AE412" s="31">
        <v>46048</v>
      </c>
      <c r="AF412" s="61">
        <v>0.55230324074074078</v>
      </c>
      <c r="AH412" t="s">
        <v>782</v>
      </c>
      <c r="AI412" s="31"/>
      <c r="AJ412" s="61"/>
      <c r="AN412" t="s">
        <v>2889</v>
      </c>
      <c r="AO412" t="s">
        <v>44</v>
      </c>
      <c r="AP412" t="s">
        <v>2889</v>
      </c>
      <c r="AR412" s="31">
        <v>46050</v>
      </c>
      <c r="AS412" t="s">
        <v>2119</v>
      </c>
      <c r="AX412">
        <v>1</v>
      </c>
    </row>
    <row r="413" spans="1:50" x14ac:dyDescent="0.3">
      <c r="A413" t="s">
        <v>31</v>
      </c>
      <c r="B413">
        <v>868</v>
      </c>
      <c r="D413">
        <v>3174</v>
      </c>
      <c r="E413" t="s">
        <v>2946</v>
      </c>
      <c r="G413" t="s">
        <v>2947</v>
      </c>
      <c r="J413" t="s">
        <v>2948</v>
      </c>
      <c r="K413" t="s">
        <v>2949</v>
      </c>
      <c r="M413" t="s">
        <v>2950</v>
      </c>
      <c r="P413" t="s">
        <v>778</v>
      </c>
      <c r="S413" t="s">
        <v>2541</v>
      </c>
      <c r="V413" t="s">
        <v>2559</v>
      </c>
      <c r="W413" t="s">
        <v>780</v>
      </c>
      <c r="X413" t="s">
        <v>781</v>
      </c>
      <c r="Z413" s="31">
        <v>46053</v>
      </c>
      <c r="AC413">
        <v>0</v>
      </c>
      <c r="AD413" t="s">
        <v>22</v>
      </c>
      <c r="AE413" s="31">
        <v>46048</v>
      </c>
      <c r="AF413" s="61">
        <v>0.55403935185185182</v>
      </c>
      <c r="AH413" t="s">
        <v>795</v>
      </c>
      <c r="AI413" s="31">
        <v>46048</v>
      </c>
      <c r="AJ413" s="61">
        <v>0.60412037037037036</v>
      </c>
      <c r="AK413" t="s">
        <v>1226</v>
      </c>
      <c r="AO413" t="s">
        <v>31</v>
      </c>
      <c r="AR413" s="31"/>
      <c r="AX413">
        <v>1</v>
      </c>
    </row>
    <row r="414" spans="1:50" x14ac:dyDescent="0.3">
      <c r="A414" t="s">
        <v>44</v>
      </c>
      <c r="B414">
        <v>869</v>
      </c>
      <c r="D414">
        <v>3175</v>
      </c>
      <c r="E414" t="s">
        <v>2951</v>
      </c>
      <c r="G414" t="s">
        <v>2952</v>
      </c>
      <c r="J414" t="s">
        <v>2953</v>
      </c>
      <c r="K414" t="s">
        <v>2954</v>
      </c>
      <c r="M414" t="s">
        <v>2955</v>
      </c>
      <c r="P414" t="s">
        <v>778</v>
      </c>
      <c r="S414" t="s">
        <v>2541</v>
      </c>
      <c r="V414" t="s">
        <v>2791</v>
      </c>
      <c r="W414" t="s">
        <v>780</v>
      </c>
      <c r="X414" t="s">
        <v>781</v>
      </c>
      <c r="Z414" s="31">
        <v>46053</v>
      </c>
      <c r="AC414">
        <v>10</v>
      </c>
      <c r="AD414" t="s">
        <v>22</v>
      </c>
      <c r="AE414" s="31">
        <v>46048</v>
      </c>
      <c r="AF414" s="61">
        <v>0.5553703703703704</v>
      </c>
      <c r="AH414" t="s">
        <v>795</v>
      </c>
      <c r="AI414" s="31">
        <v>46058</v>
      </c>
      <c r="AJ414" s="61">
        <v>0.51664351851851853</v>
      </c>
      <c r="AK414" t="s">
        <v>796</v>
      </c>
      <c r="AL414" t="s">
        <v>967</v>
      </c>
      <c r="AO414" t="s">
        <v>44</v>
      </c>
      <c r="AR414" s="31">
        <v>46049</v>
      </c>
      <c r="AX414">
        <v>1</v>
      </c>
    </row>
    <row r="415" spans="1:50" x14ac:dyDescent="0.3">
      <c r="A415" t="s">
        <v>31</v>
      </c>
      <c r="B415">
        <v>870</v>
      </c>
      <c r="D415">
        <v>3173</v>
      </c>
      <c r="E415" t="s">
        <v>2956</v>
      </c>
      <c r="G415" t="s">
        <v>2957</v>
      </c>
      <c r="J415" t="s">
        <v>2958</v>
      </c>
      <c r="K415" t="s">
        <v>2959</v>
      </c>
      <c r="M415" t="s">
        <v>2960</v>
      </c>
      <c r="P415" t="s">
        <v>778</v>
      </c>
      <c r="S415" t="s">
        <v>2541</v>
      </c>
      <c r="V415" t="s">
        <v>2542</v>
      </c>
      <c r="W415" t="s">
        <v>780</v>
      </c>
      <c r="X415" t="s">
        <v>897</v>
      </c>
      <c r="Z415" s="31">
        <v>46053</v>
      </c>
      <c r="AC415">
        <v>22</v>
      </c>
      <c r="AD415" t="s">
        <v>22</v>
      </c>
      <c r="AE415" s="31">
        <v>46048</v>
      </c>
      <c r="AF415" s="61">
        <v>0.55634259259259256</v>
      </c>
      <c r="AH415" t="s">
        <v>795</v>
      </c>
      <c r="AI415" s="31">
        <v>46070</v>
      </c>
      <c r="AJ415" s="61">
        <v>0.67465277777777777</v>
      </c>
      <c r="AK415" t="s">
        <v>867</v>
      </c>
      <c r="AO415" t="s">
        <v>31</v>
      </c>
      <c r="AR415" s="31">
        <v>46070</v>
      </c>
      <c r="AS415" t="s">
        <v>2119</v>
      </c>
      <c r="AX415">
        <v>1</v>
      </c>
    </row>
    <row r="416" spans="1:50" x14ac:dyDescent="0.3">
      <c r="A416" t="s">
        <v>22</v>
      </c>
      <c r="B416">
        <v>871</v>
      </c>
      <c r="D416">
        <v>3172</v>
      </c>
      <c r="E416" t="s">
        <v>2961</v>
      </c>
      <c r="G416" t="s">
        <v>2962</v>
      </c>
      <c r="H416">
        <v>19933187000104</v>
      </c>
      <c r="J416" t="s">
        <v>2963</v>
      </c>
      <c r="K416" t="s">
        <v>2964</v>
      </c>
      <c r="M416" t="s">
        <v>2965</v>
      </c>
      <c r="P416" t="s">
        <v>778</v>
      </c>
      <c r="S416" t="s">
        <v>2541</v>
      </c>
      <c r="V416" t="s">
        <v>2542</v>
      </c>
      <c r="W416" t="s">
        <v>780</v>
      </c>
      <c r="X416" t="s">
        <v>897</v>
      </c>
      <c r="Z416" s="31">
        <v>46053</v>
      </c>
      <c r="AC416">
        <v>24</v>
      </c>
      <c r="AD416" t="s">
        <v>22</v>
      </c>
      <c r="AE416" s="31">
        <v>46048</v>
      </c>
      <c r="AF416" s="61">
        <v>0.55686342592592597</v>
      </c>
      <c r="AH416" t="s">
        <v>782</v>
      </c>
      <c r="AI416" s="31"/>
      <c r="AJ416" s="61"/>
      <c r="AO416" t="s">
        <v>22</v>
      </c>
      <c r="AR416" s="31">
        <v>46050</v>
      </c>
      <c r="AS416" t="s">
        <v>2119</v>
      </c>
      <c r="AX416">
        <v>1</v>
      </c>
    </row>
    <row r="417" spans="1:50" x14ac:dyDescent="0.3">
      <c r="A417" t="s">
        <v>22</v>
      </c>
      <c r="B417">
        <v>872</v>
      </c>
      <c r="D417">
        <v>3178</v>
      </c>
      <c r="E417" t="s">
        <v>2966</v>
      </c>
      <c r="G417" t="s">
        <v>422</v>
      </c>
      <c r="J417" t="s">
        <v>2967</v>
      </c>
      <c r="K417" t="s">
        <v>2968</v>
      </c>
      <c r="M417" t="s">
        <v>2969</v>
      </c>
      <c r="P417" t="s">
        <v>778</v>
      </c>
      <c r="Q417" t="s">
        <v>923</v>
      </c>
      <c r="S417" t="s">
        <v>814</v>
      </c>
      <c r="V417" t="s">
        <v>2970</v>
      </c>
      <c r="W417" t="s">
        <v>780</v>
      </c>
      <c r="X417" t="s">
        <v>807</v>
      </c>
      <c r="Z417" s="31">
        <v>46081</v>
      </c>
      <c r="AA417">
        <v>66000</v>
      </c>
      <c r="AB417">
        <v>58688</v>
      </c>
      <c r="AC417">
        <v>24</v>
      </c>
      <c r="AD417" t="s">
        <v>22</v>
      </c>
      <c r="AE417" s="31">
        <v>46048</v>
      </c>
      <c r="AF417" s="61">
        <v>0.71504629629629635</v>
      </c>
      <c r="AH417" t="s">
        <v>782</v>
      </c>
      <c r="AI417" s="31"/>
      <c r="AJ417" s="61"/>
      <c r="AN417" t="s">
        <v>423</v>
      </c>
      <c r="AO417" t="s">
        <v>22</v>
      </c>
      <c r="AP417" t="s">
        <v>423</v>
      </c>
      <c r="AR417" s="31">
        <v>46059</v>
      </c>
      <c r="AS417" t="s">
        <v>1423</v>
      </c>
      <c r="AT417" t="s">
        <v>2971</v>
      </c>
      <c r="AU417" t="s">
        <v>2972</v>
      </c>
      <c r="AV417" t="s">
        <v>2973</v>
      </c>
      <c r="AW417" t="s">
        <v>2974</v>
      </c>
      <c r="AX417">
        <v>1</v>
      </c>
    </row>
    <row r="418" spans="1:50" x14ac:dyDescent="0.3">
      <c r="A418" t="s">
        <v>44</v>
      </c>
      <c r="B418">
        <v>873</v>
      </c>
      <c r="D418">
        <v>3179</v>
      </c>
      <c r="E418" t="s">
        <v>2975</v>
      </c>
      <c r="G418" t="s">
        <v>2976</v>
      </c>
      <c r="J418" t="s">
        <v>2977</v>
      </c>
      <c r="K418" t="s">
        <v>2978</v>
      </c>
      <c r="M418" t="s">
        <v>2979</v>
      </c>
      <c r="P418" t="s">
        <v>778</v>
      </c>
      <c r="S418" t="s">
        <v>2541</v>
      </c>
      <c r="V418" t="s">
        <v>2791</v>
      </c>
      <c r="W418" t="s">
        <v>780</v>
      </c>
      <c r="X418" t="s">
        <v>781</v>
      </c>
      <c r="Z418" s="31"/>
      <c r="AC418">
        <v>9</v>
      </c>
      <c r="AD418" t="s">
        <v>22</v>
      </c>
      <c r="AE418" s="31">
        <v>46049</v>
      </c>
      <c r="AF418" s="61">
        <v>0.36055555555555557</v>
      </c>
      <c r="AH418" t="s">
        <v>795</v>
      </c>
      <c r="AI418" s="31">
        <v>46058</v>
      </c>
      <c r="AJ418" s="61">
        <v>0.5122916666666667</v>
      </c>
      <c r="AK418" t="s">
        <v>796</v>
      </c>
      <c r="AL418" t="s">
        <v>2980</v>
      </c>
      <c r="AO418" t="s">
        <v>44</v>
      </c>
      <c r="AR418" s="31">
        <v>46051</v>
      </c>
      <c r="AX418">
        <v>1</v>
      </c>
    </row>
    <row r="419" spans="1:50" x14ac:dyDescent="0.3">
      <c r="A419" t="s">
        <v>31</v>
      </c>
      <c r="B419">
        <v>874</v>
      </c>
      <c r="D419">
        <v>3180</v>
      </c>
      <c r="G419" t="s">
        <v>2981</v>
      </c>
      <c r="J419" t="s">
        <v>2982</v>
      </c>
      <c r="K419" t="s">
        <v>2983</v>
      </c>
      <c r="M419" t="s">
        <v>2984</v>
      </c>
      <c r="P419" t="s">
        <v>778</v>
      </c>
      <c r="S419" t="s">
        <v>2541</v>
      </c>
      <c r="V419" t="s">
        <v>2559</v>
      </c>
      <c r="W419" t="s">
        <v>780</v>
      </c>
      <c r="X419" t="s">
        <v>781</v>
      </c>
      <c r="Z419" s="31">
        <v>46053</v>
      </c>
      <c r="AC419">
        <v>2</v>
      </c>
      <c r="AD419" t="s">
        <v>22</v>
      </c>
      <c r="AE419" s="31">
        <v>46049</v>
      </c>
      <c r="AF419" s="61">
        <v>0.36130787037037038</v>
      </c>
      <c r="AH419" t="s">
        <v>795</v>
      </c>
      <c r="AI419" s="31">
        <v>46051</v>
      </c>
      <c r="AJ419" s="61">
        <v>0.66635416666666669</v>
      </c>
      <c r="AK419" t="s">
        <v>1226</v>
      </c>
      <c r="AO419" t="s">
        <v>31</v>
      </c>
      <c r="AR419" s="31"/>
      <c r="AX419">
        <v>1</v>
      </c>
    </row>
    <row r="420" spans="1:50" x14ac:dyDescent="0.3">
      <c r="A420" t="s">
        <v>44</v>
      </c>
      <c r="B420">
        <v>876</v>
      </c>
      <c r="D420">
        <v>3182</v>
      </c>
      <c r="F420" t="s">
        <v>2985</v>
      </c>
      <c r="G420" t="s">
        <v>2986</v>
      </c>
      <c r="H420">
        <v>5937946000100</v>
      </c>
      <c r="J420" t="s">
        <v>2985</v>
      </c>
      <c r="K420" t="s">
        <v>2987</v>
      </c>
      <c r="M420" t="s">
        <v>2988</v>
      </c>
      <c r="P420" t="s">
        <v>778</v>
      </c>
      <c r="Q420" t="s">
        <v>2989</v>
      </c>
      <c r="R420" t="s">
        <v>932</v>
      </c>
      <c r="S420" t="s">
        <v>805</v>
      </c>
      <c r="V420" t="s">
        <v>1581</v>
      </c>
      <c r="W420" t="s">
        <v>780</v>
      </c>
      <c r="X420" t="s">
        <v>816</v>
      </c>
      <c r="Z420" s="31">
        <v>46081</v>
      </c>
      <c r="AA420">
        <v>16960</v>
      </c>
      <c r="AB420">
        <v>32775</v>
      </c>
      <c r="AC420">
        <v>16</v>
      </c>
      <c r="AD420" t="s">
        <v>44</v>
      </c>
      <c r="AE420" s="31">
        <v>46050</v>
      </c>
      <c r="AF420" s="61">
        <v>0.37962962962962971</v>
      </c>
      <c r="AH420" t="s">
        <v>818</v>
      </c>
      <c r="AI420" s="31">
        <v>46066</v>
      </c>
      <c r="AJ420" s="61">
        <v>0.51166666666666671</v>
      </c>
      <c r="AN420" t="s">
        <v>2990</v>
      </c>
      <c r="AO420" t="s">
        <v>44</v>
      </c>
      <c r="AP420" t="s">
        <v>2991</v>
      </c>
      <c r="AR420" s="31"/>
      <c r="AS420" t="s">
        <v>1012</v>
      </c>
      <c r="AX420">
        <v>1</v>
      </c>
    </row>
    <row r="421" spans="1:50" x14ac:dyDescent="0.3">
      <c r="A421" t="s">
        <v>22</v>
      </c>
      <c r="B421">
        <v>877</v>
      </c>
      <c r="D421">
        <v>3187</v>
      </c>
      <c r="E421" t="s">
        <v>2992</v>
      </c>
      <c r="G421" t="s">
        <v>430</v>
      </c>
      <c r="J421" t="s">
        <v>2993</v>
      </c>
      <c r="K421" t="s">
        <v>2994</v>
      </c>
      <c r="M421" t="s">
        <v>1111</v>
      </c>
      <c r="P421" t="s">
        <v>778</v>
      </c>
      <c r="S421" t="s">
        <v>2919</v>
      </c>
      <c r="V421" t="s">
        <v>1581</v>
      </c>
      <c r="W421" t="s">
        <v>780</v>
      </c>
      <c r="X421" t="s">
        <v>816</v>
      </c>
      <c r="Z421" s="31">
        <v>46081</v>
      </c>
      <c r="AA421">
        <v>13100</v>
      </c>
      <c r="AB421">
        <v>1700</v>
      </c>
      <c r="AC421">
        <v>22</v>
      </c>
      <c r="AD421" t="s">
        <v>22</v>
      </c>
      <c r="AE421" s="31">
        <v>46050</v>
      </c>
      <c r="AF421" s="61">
        <v>0.66311342592592593</v>
      </c>
      <c r="AH421" t="s">
        <v>782</v>
      </c>
      <c r="AI421" s="31"/>
      <c r="AJ421" s="61"/>
      <c r="AN421" t="s">
        <v>384</v>
      </c>
      <c r="AO421" t="s">
        <v>22</v>
      </c>
      <c r="AP421" t="s">
        <v>449</v>
      </c>
      <c r="AR421" s="31">
        <v>46029</v>
      </c>
      <c r="AS421" t="s">
        <v>1012</v>
      </c>
      <c r="AT421" t="s">
        <v>2995</v>
      </c>
      <c r="AU421" t="s">
        <v>69</v>
      </c>
      <c r="AV421" t="s">
        <v>2490</v>
      </c>
      <c r="AW421" t="s">
        <v>2491</v>
      </c>
      <c r="AX421">
        <v>1</v>
      </c>
    </row>
    <row r="422" spans="1:50" x14ac:dyDescent="0.3">
      <c r="A422" t="s">
        <v>44</v>
      </c>
      <c r="B422">
        <v>879</v>
      </c>
      <c r="D422">
        <v>3192</v>
      </c>
      <c r="E422" t="s">
        <v>2996</v>
      </c>
      <c r="F422" t="s">
        <v>2997</v>
      </c>
      <c r="G422" t="s">
        <v>2998</v>
      </c>
      <c r="H422">
        <v>42371959000183</v>
      </c>
      <c r="J422" t="s">
        <v>2997</v>
      </c>
      <c r="K422" t="s">
        <v>2999</v>
      </c>
      <c r="M422" t="s">
        <v>3000</v>
      </c>
      <c r="P422" t="s">
        <v>778</v>
      </c>
      <c r="Q422" t="s">
        <v>1596</v>
      </c>
      <c r="R422" t="s">
        <v>790</v>
      </c>
      <c r="S422" t="s">
        <v>805</v>
      </c>
      <c r="V422" t="s">
        <v>1718</v>
      </c>
      <c r="W422" t="s">
        <v>780</v>
      </c>
      <c r="X422" t="s">
        <v>793</v>
      </c>
      <c r="Z422" s="31">
        <v>46081</v>
      </c>
      <c r="AA422">
        <v>69536</v>
      </c>
      <c r="AB422">
        <v>149652</v>
      </c>
      <c r="AC422">
        <v>21</v>
      </c>
      <c r="AD422" t="s">
        <v>44</v>
      </c>
      <c r="AE422" s="31">
        <v>46051</v>
      </c>
      <c r="AF422" s="61">
        <v>0.41417824074074072</v>
      </c>
      <c r="AH422" t="s">
        <v>782</v>
      </c>
      <c r="AI422" s="31"/>
      <c r="AJ422" s="61"/>
      <c r="AN422" t="s">
        <v>2889</v>
      </c>
      <c r="AO422" t="s">
        <v>44</v>
      </c>
      <c r="AP422" t="s">
        <v>2890</v>
      </c>
      <c r="AR422" s="31"/>
      <c r="AS422" t="s">
        <v>2119</v>
      </c>
      <c r="AX422">
        <v>1</v>
      </c>
    </row>
    <row r="423" spans="1:50" x14ac:dyDescent="0.3">
      <c r="A423" t="s">
        <v>44</v>
      </c>
      <c r="B423">
        <v>882</v>
      </c>
      <c r="D423">
        <v>3199</v>
      </c>
      <c r="E423" t="s">
        <v>3001</v>
      </c>
      <c r="G423" t="s">
        <v>3002</v>
      </c>
      <c r="J423" t="s">
        <v>3003</v>
      </c>
      <c r="K423" t="s">
        <v>1471</v>
      </c>
      <c r="M423" t="s">
        <v>1111</v>
      </c>
      <c r="P423" t="s">
        <v>778</v>
      </c>
      <c r="V423" t="s">
        <v>1419</v>
      </c>
      <c r="W423" t="s">
        <v>780</v>
      </c>
      <c r="X423" t="s">
        <v>807</v>
      </c>
      <c r="Z423" s="31">
        <v>46081</v>
      </c>
      <c r="AA423">
        <v>90000</v>
      </c>
      <c r="AB423">
        <v>921279</v>
      </c>
      <c r="AC423">
        <v>15</v>
      </c>
      <c r="AD423" t="s">
        <v>44</v>
      </c>
      <c r="AE423" s="31">
        <v>46051</v>
      </c>
      <c r="AF423" s="61">
        <v>0.67391203703703706</v>
      </c>
      <c r="AH423" t="s">
        <v>795</v>
      </c>
      <c r="AI423" s="31">
        <v>46066</v>
      </c>
      <c r="AJ423" s="61">
        <v>0.51680555555555552</v>
      </c>
      <c r="AK423" t="s">
        <v>858</v>
      </c>
      <c r="AL423" t="s">
        <v>3001</v>
      </c>
      <c r="AN423" t="s">
        <v>2576</v>
      </c>
      <c r="AO423" t="s">
        <v>44</v>
      </c>
      <c r="AP423" t="s">
        <v>2576</v>
      </c>
      <c r="AR423" s="31">
        <v>46066</v>
      </c>
      <c r="AS423" t="s">
        <v>1423</v>
      </c>
      <c r="AX423">
        <v>1</v>
      </c>
    </row>
    <row r="424" spans="1:50" x14ac:dyDescent="0.3">
      <c r="A424" t="s">
        <v>44</v>
      </c>
      <c r="B424">
        <v>883</v>
      </c>
      <c r="D424">
        <v>3200</v>
      </c>
      <c r="E424" t="s">
        <v>3001</v>
      </c>
      <c r="G424" t="s">
        <v>1469</v>
      </c>
      <c r="J424" t="s">
        <v>3004</v>
      </c>
      <c r="K424" t="s">
        <v>1471</v>
      </c>
      <c r="M424" t="s">
        <v>1111</v>
      </c>
      <c r="P424" t="s">
        <v>778</v>
      </c>
      <c r="V424" t="s">
        <v>1419</v>
      </c>
      <c r="W424" t="s">
        <v>780</v>
      </c>
      <c r="X424" t="s">
        <v>807</v>
      </c>
      <c r="Z424" s="31">
        <v>46081</v>
      </c>
      <c r="AA424">
        <v>1600</v>
      </c>
      <c r="AB424">
        <v>599515</v>
      </c>
      <c r="AC424">
        <v>15</v>
      </c>
      <c r="AD424" t="s">
        <v>44</v>
      </c>
      <c r="AE424" s="31">
        <v>46051</v>
      </c>
      <c r="AF424" s="61">
        <v>0.6811342592592593</v>
      </c>
      <c r="AH424" t="s">
        <v>795</v>
      </c>
      <c r="AI424" s="31">
        <v>46066</v>
      </c>
      <c r="AJ424" s="61">
        <v>0.51790509259259254</v>
      </c>
      <c r="AK424" t="s">
        <v>858</v>
      </c>
      <c r="AL424" t="s">
        <v>3001</v>
      </c>
      <c r="AN424" t="s">
        <v>2576</v>
      </c>
      <c r="AO424" t="s">
        <v>44</v>
      </c>
      <c r="AP424" t="s">
        <v>2576</v>
      </c>
      <c r="AR424" s="31">
        <v>46066</v>
      </c>
      <c r="AS424" t="s">
        <v>1423</v>
      </c>
      <c r="AX424">
        <v>1</v>
      </c>
    </row>
    <row r="425" spans="1:50" x14ac:dyDescent="0.3">
      <c r="A425" t="s">
        <v>44</v>
      </c>
      <c r="B425">
        <v>884</v>
      </c>
      <c r="D425">
        <v>3202</v>
      </c>
      <c r="G425" t="s">
        <v>3005</v>
      </c>
      <c r="J425" t="s">
        <v>3004</v>
      </c>
      <c r="K425" t="s">
        <v>1471</v>
      </c>
      <c r="M425" t="s">
        <v>1111</v>
      </c>
      <c r="P425" t="s">
        <v>778</v>
      </c>
      <c r="V425" t="s">
        <v>1419</v>
      </c>
      <c r="W425" t="s">
        <v>780</v>
      </c>
      <c r="X425" t="s">
        <v>807</v>
      </c>
      <c r="Z425" s="31">
        <v>46081</v>
      </c>
      <c r="AA425">
        <v>16960</v>
      </c>
      <c r="AB425">
        <v>32775</v>
      </c>
      <c r="AC425">
        <v>21</v>
      </c>
      <c r="AD425" t="s">
        <v>44</v>
      </c>
      <c r="AE425" s="31">
        <v>46051</v>
      </c>
      <c r="AF425" s="61">
        <v>0.69284722222222217</v>
      </c>
      <c r="AH425" t="s">
        <v>782</v>
      </c>
      <c r="AI425" s="31"/>
      <c r="AJ425" s="61"/>
      <c r="AN425" t="s">
        <v>2889</v>
      </c>
      <c r="AO425" t="s">
        <v>44</v>
      </c>
      <c r="AP425" t="s">
        <v>2576</v>
      </c>
      <c r="AR425" s="31">
        <v>46050</v>
      </c>
      <c r="AS425" t="s">
        <v>1423</v>
      </c>
      <c r="AX425">
        <v>1</v>
      </c>
    </row>
    <row r="426" spans="1:50" x14ac:dyDescent="0.3">
      <c r="A426" t="s">
        <v>44</v>
      </c>
      <c r="B426">
        <v>885</v>
      </c>
      <c r="D426">
        <v>3205</v>
      </c>
      <c r="E426" t="s">
        <v>3006</v>
      </c>
      <c r="G426" t="s">
        <v>3007</v>
      </c>
      <c r="H426">
        <v>4312818000109</v>
      </c>
      <c r="J426" t="s">
        <v>3008</v>
      </c>
      <c r="P426" t="s">
        <v>778</v>
      </c>
      <c r="Q426" t="s">
        <v>1094</v>
      </c>
      <c r="R426" t="s">
        <v>790</v>
      </c>
      <c r="V426" t="s">
        <v>1718</v>
      </c>
      <c r="W426" t="s">
        <v>780</v>
      </c>
      <c r="X426" t="s">
        <v>807</v>
      </c>
      <c r="Z426" s="31">
        <v>46081</v>
      </c>
      <c r="AA426">
        <v>1600</v>
      </c>
      <c r="AB426">
        <v>384454</v>
      </c>
      <c r="AC426">
        <v>20</v>
      </c>
      <c r="AD426" t="s">
        <v>44</v>
      </c>
      <c r="AE426" s="31">
        <v>46052</v>
      </c>
      <c r="AF426" s="61">
        <v>0.61850694444444443</v>
      </c>
      <c r="AH426" t="s">
        <v>782</v>
      </c>
      <c r="AI426" s="31"/>
      <c r="AJ426" s="61"/>
      <c r="AN426" t="s">
        <v>2829</v>
      </c>
      <c r="AO426" t="s">
        <v>44</v>
      </c>
      <c r="AR426" s="31">
        <v>46051</v>
      </c>
      <c r="AS426" t="s">
        <v>2119</v>
      </c>
      <c r="AX426">
        <v>1</v>
      </c>
    </row>
    <row r="427" spans="1:50" x14ac:dyDescent="0.3">
      <c r="A427" t="s">
        <v>44</v>
      </c>
      <c r="B427">
        <v>886</v>
      </c>
      <c r="D427">
        <v>3207</v>
      </c>
      <c r="G427" t="s">
        <v>3009</v>
      </c>
      <c r="J427" t="s">
        <v>3010</v>
      </c>
      <c r="K427" t="s">
        <v>3011</v>
      </c>
      <c r="M427" t="s">
        <v>2827</v>
      </c>
      <c r="P427" t="s">
        <v>778</v>
      </c>
      <c r="V427" t="s">
        <v>2791</v>
      </c>
      <c r="W427" t="s">
        <v>780</v>
      </c>
      <c r="X427" t="s">
        <v>793</v>
      </c>
      <c r="Z427" s="31"/>
      <c r="AA427">
        <v>1600</v>
      </c>
      <c r="AB427">
        <v>252471</v>
      </c>
      <c r="AC427">
        <v>20</v>
      </c>
      <c r="AD427" t="s">
        <v>44</v>
      </c>
      <c r="AE427" s="31">
        <v>46052</v>
      </c>
      <c r="AF427" s="61">
        <v>0.64193287037037039</v>
      </c>
      <c r="AH427" t="s">
        <v>782</v>
      </c>
      <c r="AI427" s="31"/>
      <c r="AJ427" s="61"/>
      <c r="AN427" t="s">
        <v>2829</v>
      </c>
      <c r="AR427" s="31"/>
      <c r="AX427">
        <v>1</v>
      </c>
    </row>
    <row r="428" spans="1:50" x14ac:dyDescent="0.3">
      <c r="A428" t="s">
        <v>44</v>
      </c>
      <c r="B428">
        <v>887</v>
      </c>
      <c r="D428">
        <v>3208</v>
      </c>
      <c r="G428" t="s">
        <v>3012</v>
      </c>
      <c r="J428" t="s">
        <v>3013</v>
      </c>
      <c r="K428" t="s">
        <v>3014</v>
      </c>
      <c r="M428" t="s">
        <v>2839</v>
      </c>
      <c r="P428" t="s">
        <v>778</v>
      </c>
      <c r="V428" t="s">
        <v>3015</v>
      </c>
      <c r="W428" t="s">
        <v>780</v>
      </c>
      <c r="X428" t="s">
        <v>857</v>
      </c>
      <c r="Z428" s="31"/>
      <c r="AA428">
        <v>1600</v>
      </c>
      <c r="AB428">
        <v>254271</v>
      </c>
      <c r="AC428">
        <v>6</v>
      </c>
      <c r="AD428" t="s">
        <v>44</v>
      </c>
      <c r="AE428" s="31">
        <v>46052</v>
      </c>
      <c r="AF428" s="61">
        <v>0.66526620370370371</v>
      </c>
      <c r="AH428" t="s">
        <v>795</v>
      </c>
      <c r="AI428" s="31">
        <v>46058</v>
      </c>
      <c r="AJ428" s="61">
        <v>0.59289351851851857</v>
      </c>
      <c r="AK428" t="s">
        <v>867</v>
      </c>
      <c r="AL428" t="s">
        <v>2843</v>
      </c>
      <c r="AN428" t="s">
        <v>2829</v>
      </c>
      <c r="AP428" t="s">
        <v>2590</v>
      </c>
      <c r="AR428" s="31">
        <v>46048</v>
      </c>
      <c r="AX428">
        <v>1</v>
      </c>
    </row>
    <row r="429" spans="1:50" x14ac:dyDescent="0.3">
      <c r="A429" t="s">
        <v>44</v>
      </c>
      <c r="B429">
        <v>888</v>
      </c>
      <c r="D429">
        <v>3209</v>
      </c>
      <c r="G429" t="s">
        <v>3016</v>
      </c>
      <c r="J429" t="s">
        <v>3017</v>
      </c>
      <c r="K429" t="s">
        <v>3018</v>
      </c>
      <c r="M429" t="s">
        <v>2636</v>
      </c>
      <c r="P429" t="s">
        <v>778</v>
      </c>
      <c r="V429" t="s">
        <v>2791</v>
      </c>
      <c r="W429" t="s">
        <v>780</v>
      </c>
      <c r="X429" t="s">
        <v>857</v>
      </c>
      <c r="Z429" s="31"/>
      <c r="AA429">
        <v>1600</v>
      </c>
      <c r="AB429">
        <v>252471</v>
      </c>
      <c r="AC429">
        <v>6</v>
      </c>
      <c r="AD429" t="s">
        <v>44</v>
      </c>
      <c r="AE429" s="31">
        <v>46052</v>
      </c>
      <c r="AF429" s="61">
        <v>0.67311342592592593</v>
      </c>
      <c r="AH429" t="s">
        <v>795</v>
      </c>
      <c r="AI429" s="31">
        <v>46058</v>
      </c>
      <c r="AJ429" s="61">
        <v>0.51517361111111115</v>
      </c>
      <c r="AK429" t="s">
        <v>934</v>
      </c>
      <c r="AL429" t="s">
        <v>3019</v>
      </c>
      <c r="AN429" t="s">
        <v>2591</v>
      </c>
      <c r="AP429" t="s">
        <v>2591</v>
      </c>
      <c r="AR429" s="31">
        <v>46051</v>
      </c>
      <c r="AX429">
        <v>1</v>
      </c>
    </row>
    <row r="430" spans="1:50" x14ac:dyDescent="0.3">
      <c r="A430" t="s">
        <v>44</v>
      </c>
      <c r="B430">
        <v>889</v>
      </c>
      <c r="D430">
        <v>3210</v>
      </c>
      <c r="G430" t="s">
        <v>3020</v>
      </c>
      <c r="J430" t="s">
        <v>3021</v>
      </c>
      <c r="K430" t="s">
        <v>2943</v>
      </c>
      <c r="M430" t="s">
        <v>2944</v>
      </c>
      <c r="P430" t="s">
        <v>778</v>
      </c>
      <c r="V430" t="s">
        <v>2542</v>
      </c>
      <c r="W430" t="s">
        <v>780</v>
      </c>
      <c r="X430" t="s">
        <v>793</v>
      </c>
      <c r="Z430" s="31"/>
      <c r="AA430">
        <v>1600</v>
      </c>
      <c r="AB430">
        <v>252471</v>
      </c>
      <c r="AC430">
        <v>20</v>
      </c>
      <c r="AD430" t="s">
        <v>44</v>
      </c>
      <c r="AE430" s="31">
        <v>46052</v>
      </c>
      <c r="AF430" s="61">
        <v>0.69487268518518519</v>
      </c>
      <c r="AH430" t="s">
        <v>782</v>
      </c>
      <c r="AI430" s="31"/>
      <c r="AJ430" s="61"/>
      <c r="AN430" t="s">
        <v>2889</v>
      </c>
      <c r="AO430" t="s">
        <v>44</v>
      </c>
      <c r="AP430" t="s">
        <v>2889</v>
      </c>
      <c r="AR430" s="31"/>
      <c r="AS430" t="s">
        <v>2119</v>
      </c>
      <c r="AX430">
        <v>1</v>
      </c>
    </row>
    <row r="431" spans="1:50" x14ac:dyDescent="0.3">
      <c r="A431" t="s">
        <v>44</v>
      </c>
      <c r="B431">
        <v>890</v>
      </c>
      <c r="D431">
        <v>3190</v>
      </c>
      <c r="E431" t="s">
        <v>3022</v>
      </c>
      <c r="G431" t="s">
        <v>3023</v>
      </c>
      <c r="H431">
        <v>747901000222</v>
      </c>
      <c r="J431" t="s">
        <v>3024</v>
      </c>
      <c r="K431" t="s">
        <v>3025</v>
      </c>
      <c r="M431" t="s">
        <v>3026</v>
      </c>
      <c r="P431" t="s">
        <v>778</v>
      </c>
      <c r="S431" t="s">
        <v>2541</v>
      </c>
      <c r="V431" t="s">
        <v>2542</v>
      </c>
      <c r="W431" t="s">
        <v>780</v>
      </c>
      <c r="X431" t="s">
        <v>857</v>
      </c>
      <c r="Z431" s="31">
        <v>46081</v>
      </c>
      <c r="AC431">
        <v>20</v>
      </c>
      <c r="AD431" t="s">
        <v>22</v>
      </c>
      <c r="AE431" s="31">
        <v>46052</v>
      </c>
      <c r="AF431" s="61">
        <v>0.70134259259259257</v>
      </c>
      <c r="AH431" t="s">
        <v>782</v>
      </c>
      <c r="AI431" s="31"/>
      <c r="AJ431" s="61"/>
      <c r="AO431" t="s">
        <v>44</v>
      </c>
      <c r="AR431" s="31">
        <v>46055</v>
      </c>
      <c r="AS431" t="s">
        <v>2119</v>
      </c>
      <c r="AX431">
        <v>1</v>
      </c>
    </row>
    <row r="432" spans="1:50" x14ac:dyDescent="0.3">
      <c r="A432" t="s">
        <v>31</v>
      </c>
      <c r="B432">
        <v>891</v>
      </c>
      <c r="D432">
        <v>3191</v>
      </c>
      <c r="E432" t="s">
        <v>3027</v>
      </c>
      <c r="G432" t="s">
        <v>3028</v>
      </c>
      <c r="J432" t="s">
        <v>3029</v>
      </c>
      <c r="K432" t="s">
        <v>3030</v>
      </c>
      <c r="M432" t="s">
        <v>3031</v>
      </c>
      <c r="P432" t="s">
        <v>778</v>
      </c>
      <c r="S432" t="s">
        <v>2541</v>
      </c>
      <c r="V432" t="s">
        <v>2542</v>
      </c>
      <c r="W432" t="s">
        <v>780</v>
      </c>
      <c r="X432" t="s">
        <v>897</v>
      </c>
      <c r="Z432" s="31">
        <v>46081</v>
      </c>
      <c r="AC432">
        <v>20</v>
      </c>
      <c r="AD432" t="s">
        <v>22</v>
      </c>
      <c r="AE432" s="31">
        <v>46052</v>
      </c>
      <c r="AF432" s="61">
        <v>0.70265046296296296</v>
      </c>
      <c r="AH432" t="s">
        <v>782</v>
      </c>
      <c r="AI432" s="31"/>
      <c r="AJ432" s="61"/>
      <c r="AO432" t="s">
        <v>31</v>
      </c>
      <c r="AR432" s="31">
        <v>46071</v>
      </c>
      <c r="AS432" t="s">
        <v>2119</v>
      </c>
      <c r="AX432">
        <v>1</v>
      </c>
    </row>
    <row r="433" spans="1:50" x14ac:dyDescent="0.3">
      <c r="A433" t="s">
        <v>44</v>
      </c>
      <c r="B433">
        <v>892</v>
      </c>
      <c r="D433">
        <v>3196</v>
      </c>
      <c r="E433" t="s">
        <v>3032</v>
      </c>
      <c r="G433" t="s">
        <v>397</v>
      </c>
      <c r="H433">
        <v>54888350000165</v>
      </c>
      <c r="J433" t="s">
        <v>3033</v>
      </c>
      <c r="K433" t="s">
        <v>3034</v>
      </c>
      <c r="M433" t="s">
        <v>3035</v>
      </c>
      <c r="P433" t="s">
        <v>778</v>
      </c>
      <c r="S433" t="s">
        <v>2541</v>
      </c>
      <c r="V433" t="s">
        <v>2542</v>
      </c>
      <c r="W433" t="s">
        <v>780</v>
      </c>
      <c r="X433" t="s">
        <v>897</v>
      </c>
      <c r="Z433" s="31">
        <v>46081</v>
      </c>
      <c r="AC433">
        <v>20</v>
      </c>
      <c r="AD433" t="s">
        <v>22</v>
      </c>
      <c r="AE433" s="31">
        <v>46052</v>
      </c>
      <c r="AF433" s="61">
        <v>0.70391203703703709</v>
      </c>
      <c r="AH433" t="s">
        <v>782</v>
      </c>
      <c r="AI433" s="31"/>
      <c r="AJ433" s="61"/>
      <c r="AO433" t="s">
        <v>44</v>
      </c>
      <c r="AR433" s="31">
        <v>46064</v>
      </c>
      <c r="AS433" t="s">
        <v>2119</v>
      </c>
      <c r="AX433">
        <v>1</v>
      </c>
    </row>
    <row r="434" spans="1:50" x14ac:dyDescent="0.3">
      <c r="A434" t="s">
        <v>22</v>
      </c>
      <c r="B434">
        <v>893</v>
      </c>
      <c r="D434">
        <v>3203</v>
      </c>
      <c r="E434" t="s">
        <v>3036</v>
      </c>
      <c r="G434" t="s">
        <v>3037</v>
      </c>
      <c r="H434">
        <v>10258712000169</v>
      </c>
      <c r="J434" t="s">
        <v>3038</v>
      </c>
      <c r="K434" t="s">
        <v>3039</v>
      </c>
      <c r="M434" t="s">
        <v>3040</v>
      </c>
      <c r="P434" t="s">
        <v>778</v>
      </c>
      <c r="Q434" t="s">
        <v>923</v>
      </c>
      <c r="S434" t="s">
        <v>814</v>
      </c>
      <c r="V434" t="s">
        <v>3041</v>
      </c>
      <c r="W434" t="s">
        <v>780</v>
      </c>
      <c r="X434" t="s">
        <v>793</v>
      </c>
      <c r="Z434" s="31">
        <v>46081</v>
      </c>
      <c r="AC434">
        <v>20</v>
      </c>
      <c r="AD434" t="s">
        <v>22</v>
      </c>
      <c r="AE434" s="31">
        <v>46052</v>
      </c>
      <c r="AF434" s="61">
        <v>0.7107175925925926</v>
      </c>
      <c r="AH434" t="s">
        <v>782</v>
      </c>
      <c r="AI434" s="31"/>
      <c r="AJ434" s="61"/>
      <c r="AO434" t="s">
        <v>22</v>
      </c>
      <c r="AR434" s="31"/>
      <c r="AS434" t="s">
        <v>2119</v>
      </c>
      <c r="AX434">
        <v>1</v>
      </c>
    </row>
    <row r="435" spans="1:50" x14ac:dyDescent="0.3">
      <c r="A435" t="s">
        <v>22</v>
      </c>
      <c r="B435">
        <v>894</v>
      </c>
      <c r="D435">
        <v>3204</v>
      </c>
      <c r="G435" t="s">
        <v>3042</v>
      </c>
      <c r="J435" t="s">
        <v>3043</v>
      </c>
      <c r="K435" t="s">
        <v>3044</v>
      </c>
      <c r="M435" t="s">
        <v>3045</v>
      </c>
      <c r="P435" t="s">
        <v>778</v>
      </c>
      <c r="S435" t="s">
        <v>2541</v>
      </c>
      <c r="V435" t="s">
        <v>2542</v>
      </c>
      <c r="W435" t="s">
        <v>780</v>
      </c>
      <c r="X435" t="s">
        <v>781</v>
      </c>
      <c r="Z435" s="31">
        <v>46081</v>
      </c>
      <c r="AC435">
        <v>20</v>
      </c>
      <c r="AD435" t="s">
        <v>22</v>
      </c>
      <c r="AE435" s="31">
        <v>46052</v>
      </c>
      <c r="AF435" s="61">
        <v>0.71299768518518514</v>
      </c>
      <c r="AH435" t="s">
        <v>782</v>
      </c>
      <c r="AI435" s="31"/>
      <c r="AJ435" s="61"/>
      <c r="AO435" t="s">
        <v>22</v>
      </c>
      <c r="AR435" s="31"/>
      <c r="AS435" t="s">
        <v>2119</v>
      </c>
      <c r="AX435">
        <v>1</v>
      </c>
    </row>
    <row r="436" spans="1:50" x14ac:dyDescent="0.3">
      <c r="A436" t="s">
        <v>31</v>
      </c>
      <c r="B436">
        <v>895</v>
      </c>
      <c r="D436">
        <v>3201</v>
      </c>
      <c r="F436" t="s">
        <v>3046</v>
      </c>
      <c r="G436" t="s">
        <v>3047</v>
      </c>
      <c r="H436">
        <v>28229707000193</v>
      </c>
      <c r="J436" t="s">
        <v>3046</v>
      </c>
      <c r="K436" t="s">
        <v>3048</v>
      </c>
      <c r="M436" t="s">
        <v>3049</v>
      </c>
      <c r="P436" t="s">
        <v>778</v>
      </c>
      <c r="Q436" t="s">
        <v>1837</v>
      </c>
      <c r="R436" t="s">
        <v>790</v>
      </c>
      <c r="S436" t="s">
        <v>805</v>
      </c>
      <c r="V436" t="s">
        <v>2859</v>
      </c>
      <c r="W436" t="s">
        <v>780</v>
      </c>
      <c r="X436" t="s">
        <v>857</v>
      </c>
      <c r="Z436" s="31"/>
      <c r="AC436">
        <v>17</v>
      </c>
      <c r="AD436" t="s">
        <v>31</v>
      </c>
      <c r="AE436" s="31">
        <v>46055</v>
      </c>
      <c r="AF436" s="61">
        <v>0.40783564814814821</v>
      </c>
      <c r="AH436" t="s">
        <v>782</v>
      </c>
      <c r="AI436" s="31"/>
      <c r="AJ436" s="61"/>
      <c r="AO436" t="s">
        <v>31</v>
      </c>
      <c r="AP436" t="s">
        <v>403</v>
      </c>
      <c r="AR436" s="31">
        <v>46070</v>
      </c>
      <c r="AS436" t="s">
        <v>2119</v>
      </c>
      <c r="AU436" t="s">
        <v>3050</v>
      </c>
      <c r="AX436">
        <v>1</v>
      </c>
    </row>
    <row r="437" spans="1:50" x14ac:dyDescent="0.3">
      <c r="A437" t="s">
        <v>31</v>
      </c>
      <c r="B437">
        <v>901</v>
      </c>
      <c r="D437">
        <v>3218</v>
      </c>
      <c r="E437" t="s">
        <v>3051</v>
      </c>
      <c r="G437" t="s">
        <v>3052</v>
      </c>
      <c r="J437" t="s">
        <v>3053</v>
      </c>
      <c r="K437" t="s">
        <v>3054</v>
      </c>
      <c r="M437" t="s">
        <v>3055</v>
      </c>
      <c r="P437" t="s">
        <v>778</v>
      </c>
      <c r="S437" t="s">
        <v>2541</v>
      </c>
      <c r="V437" t="s">
        <v>2632</v>
      </c>
      <c r="W437" t="s">
        <v>780</v>
      </c>
      <c r="X437" t="s">
        <v>897</v>
      </c>
      <c r="Z437" s="31">
        <v>46081</v>
      </c>
      <c r="AC437">
        <v>2</v>
      </c>
      <c r="AD437" t="s">
        <v>22</v>
      </c>
      <c r="AE437" s="31">
        <v>46058</v>
      </c>
      <c r="AF437" s="61">
        <v>0.35667824074074073</v>
      </c>
      <c r="AH437" t="s">
        <v>795</v>
      </c>
      <c r="AI437" s="31">
        <v>46060</v>
      </c>
      <c r="AJ437" s="61">
        <v>0.89652777777777781</v>
      </c>
      <c r="AK437" t="s">
        <v>1226</v>
      </c>
      <c r="AO437" t="s">
        <v>31</v>
      </c>
      <c r="AR437" s="31"/>
      <c r="AS437" t="s">
        <v>2119</v>
      </c>
      <c r="AX437">
        <v>1</v>
      </c>
    </row>
    <row r="438" spans="1:50" x14ac:dyDescent="0.3">
      <c r="A438" t="s">
        <v>44</v>
      </c>
      <c r="B438">
        <v>902</v>
      </c>
      <c r="D438">
        <v>3211</v>
      </c>
      <c r="G438" t="s">
        <v>3056</v>
      </c>
      <c r="H438">
        <v>7324070000144</v>
      </c>
      <c r="J438" t="s">
        <v>3057</v>
      </c>
      <c r="K438" t="s">
        <v>3058</v>
      </c>
      <c r="M438" t="s">
        <v>3059</v>
      </c>
      <c r="P438" t="s">
        <v>778</v>
      </c>
      <c r="Q438" t="s">
        <v>2812</v>
      </c>
      <c r="R438" t="s">
        <v>1067</v>
      </c>
      <c r="S438" t="s">
        <v>2541</v>
      </c>
      <c r="V438" t="s">
        <v>2542</v>
      </c>
      <c r="W438" t="s">
        <v>780</v>
      </c>
      <c r="X438" t="s">
        <v>897</v>
      </c>
      <c r="Z438" s="31">
        <v>46081</v>
      </c>
      <c r="AC438">
        <v>14</v>
      </c>
      <c r="AD438" t="s">
        <v>22</v>
      </c>
      <c r="AE438" s="31">
        <v>46058</v>
      </c>
      <c r="AF438" s="61">
        <v>0.35793981481481479</v>
      </c>
      <c r="AH438" t="s">
        <v>782</v>
      </c>
      <c r="AI438" s="31"/>
      <c r="AJ438" s="61"/>
      <c r="AO438" t="s">
        <v>44</v>
      </c>
      <c r="AR438" s="31">
        <v>46058</v>
      </c>
      <c r="AS438" t="s">
        <v>2119</v>
      </c>
      <c r="AX438">
        <v>1</v>
      </c>
    </row>
    <row r="439" spans="1:50" x14ac:dyDescent="0.3">
      <c r="A439" t="s">
        <v>22</v>
      </c>
      <c r="B439">
        <v>903</v>
      </c>
      <c r="D439">
        <v>3217</v>
      </c>
      <c r="E439" t="s">
        <v>3060</v>
      </c>
      <c r="G439" t="s">
        <v>3061</v>
      </c>
      <c r="J439" t="s">
        <v>3062</v>
      </c>
      <c r="K439" t="s">
        <v>3063</v>
      </c>
      <c r="M439" t="s">
        <v>3064</v>
      </c>
      <c r="P439" t="s">
        <v>778</v>
      </c>
      <c r="S439" t="s">
        <v>2541</v>
      </c>
      <c r="V439" t="s">
        <v>2542</v>
      </c>
      <c r="W439" t="s">
        <v>780</v>
      </c>
      <c r="X439" t="s">
        <v>897</v>
      </c>
      <c r="Z439" s="31">
        <v>46081</v>
      </c>
      <c r="AC439">
        <v>12</v>
      </c>
      <c r="AD439" t="s">
        <v>22</v>
      </c>
      <c r="AE439" s="31">
        <v>46058</v>
      </c>
      <c r="AF439" s="61">
        <v>0.36140046296296302</v>
      </c>
      <c r="AH439" t="s">
        <v>795</v>
      </c>
      <c r="AI439" s="31">
        <v>46070</v>
      </c>
      <c r="AJ439" s="61">
        <v>0.49578703703703703</v>
      </c>
      <c r="AK439" t="s">
        <v>796</v>
      </c>
      <c r="AO439" t="s">
        <v>22</v>
      </c>
      <c r="AR439" s="31"/>
      <c r="AS439" t="s">
        <v>2119</v>
      </c>
      <c r="AX439">
        <v>1</v>
      </c>
    </row>
    <row r="440" spans="1:50" x14ac:dyDescent="0.3">
      <c r="A440" t="s">
        <v>22</v>
      </c>
      <c r="B440">
        <v>906</v>
      </c>
      <c r="D440">
        <v>3226</v>
      </c>
      <c r="G440" t="s">
        <v>3065</v>
      </c>
      <c r="J440" t="s">
        <v>3066</v>
      </c>
      <c r="K440" t="s">
        <v>3067</v>
      </c>
      <c r="M440" t="s">
        <v>3068</v>
      </c>
      <c r="P440" t="s">
        <v>778</v>
      </c>
      <c r="S440" t="s">
        <v>2541</v>
      </c>
      <c r="V440" t="s">
        <v>2542</v>
      </c>
      <c r="W440" t="s">
        <v>780</v>
      </c>
      <c r="X440" t="s">
        <v>857</v>
      </c>
      <c r="Z440" s="31">
        <v>46081</v>
      </c>
      <c r="AC440">
        <v>12</v>
      </c>
      <c r="AD440" t="s">
        <v>22</v>
      </c>
      <c r="AE440" s="31">
        <v>46060</v>
      </c>
      <c r="AF440" s="61">
        <v>0.29451388888888891</v>
      </c>
      <c r="AH440" t="s">
        <v>782</v>
      </c>
      <c r="AI440" s="31"/>
      <c r="AJ440" s="61"/>
      <c r="AO440" t="s">
        <v>22</v>
      </c>
      <c r="AR440" s="31"/>
      <c r="AS440" t="s">
        <v>2119</v>
      </c>
      <c r="AU440" t="s">
        <v>321</v>
      </c>
      <c r="AX440">
        <v>1</v>
      </c>
    </row>
    <row r="441" spans="1:50" x14ac:dyDescent="0.3">
      <c r="A441" t="s">
        <v>22</v>
      </c>
      <c r="B441">
        <v>907</v>
      </c>
      <c r="D441">
        <v>3222</v>
      </c>
      <c r="E441" t="s">
        <v>3069</v>
      </c>
      <c r="G441" t="s">
        <v>3070</v>
      </c>
      <c r="J441" t="s">
        <v>3071</v>
      </c>
      <c r="K441" t="s">
        <v>3072</v>
      </c>
      <c r="M441" t="s">
        <v>3073</v>
      </c>
      <c r="P441" t="s">
        <v>778</v>
      </c>
      <c r="Q441" t="s">
        <v>923</v>
      </c>
      <c r="S441" t="s">
        <v>814</v>
      </c>
      <c r="V441" t="s">
        <v>2391</v>
      </c>
      <c r="W441" t="s">
        <v>780</v>
      </c>
      <c r="X441" t="s">
        <v>857</v>
      </c>
      <c r="Z441" s="31">
        <v>46081</v>
      </c>
      <c r="AC441">
        <v>6</v>
      </c>
      <c r="AD441" t="s">
        <v>22</v>
      </c>
      <c r="AE441" s="31">
        <v>46060</v>
      </c>
      <c r="AF441" s="61">
        <v>0.30134259259259261</v>
      </c>
      <c r="AH441" t="s">
        <v>782</v>
      </c>
      <c r="AI441" s="31">
        <v>46066</v>
      </c>
      <c r="AJ441" s="61">
        <v>0.72048611111111116</v>
      </c>
      <c r="AL441" t="s">
        <v>1058</v>
      </c>
      <c r="AO441" t="s">
        <v>22</v>
      </c>
      <c r="AP441" t="s">
        <v>405</v>
      </c>
      <c r="AR441" s="31"/>
      <c r="AS441" t="s">
        <v>2119</v>
      </c>
      <c r="AX441">
        <v>1</v>
      </c>
    </row>
    <row r="442" spans="1:50" x14ac:dyDescent="0.3">
      <c r="A442" t="s">
        <v>22</v>
      </c>
      <c r="B442">
        <v>908</v>
      </c>
      <c r="D442">
        <v>3228</v>
      </c>
      <c r="E442" t="s">
        <v>3074</v>
      </c>
      <c r="G442" t="s">
        <v>445</v>
      </c>
      <c r="J442" t="s">
        <v>3075</v>
      </c>
      <c r="K442" t="s">
        <v>3076</v>
      </c>
      <c r="M442" t="s">
        <v>1111</v>
      </c>
      <c r="P442" t="s">
        <v>778</v>
      </c>
      <c r="S442" t="s">
        <v>933</v>
      </c>
      <c r="V442" t="s">
        <v>1419</v>
      </c>
      <c r="W442" t="s">
        <v>780</v>
      </c>
      <c r="X442" t="s">
        <v>807</v>
      </c>
      <c r="Z442" s="31">
        <v>46081</v>
      </c>
      <c r="AA442">
        <v>895029</v>
      </c>
      <c r="AB442">
        <v>128835</v>
      </c>
      <c r="AC442">
        <v>12</v>
      </c>
      <c r="AD442" t="s">
        <v>22</v>
      </c>
      <c r="AE442" s="31">
        <v>46060</v>
      </c>
      <c r="AF442" s="61">
        <v>0.41621527777777778</v>
      </c>
      <c r="AH442" t="s">
        <v>782</v>
      </c>
      <c r="AI442" s="31"/>
      <c r="AJ442" s="61"/>
      <c r="AN442" t="s">
        <v>384</v>
      </c>
      <c r="AO442" t="s">
        <v>22</v>
      </c>
      <c r="AP442" t="s">
        <v>384</v>
      </c>
      <c r="AR442" s="31"/>
      <c r="AS442" t="s">
        <v>1423</v>
      </c>
      <c r="AT442" t="s">
        <v>2912</v>
      </c>
      <c r="AU442" t="s">
        <v>2913</v>
      </c>
      <c r="AV442" t="s">
        <v>3077</v>
      </c>
      <c r="AW442" t="s">
        <v>3078</v>
      </c>
      <c r="AX442">
        <v>1</v>
      </c>
    </row>
    <row r="443" spans="1:50" x14ac:dyDescent="0.3">
      <c r="A443" t="s">
        <v>22</v>
      </c>
      <c r="B443">
        <v>909</v>
      </c>
      <c r="D443">
        <v>3229</v>
      </c>
      <c r="E443" t="s">
        <v>3079</v>
      </c>
      <c r="G443" t="s">
        <v>451</v>
      </c>
      <c r="J443" t="s">
        <v>3080</v>
      </c>
      <c r="K443" t="s">
        <v>3081</v>
      </c>
      <c r="M443" t="s">
        <v>1111</v>
      </c>
      <c r="P443" t="s">
        <v>778</v>
      </c>
      <c r="V443" t="s">
        <v>1419</v>
      </c>
      <c r="W443" t="s">
        <v>780</v>
      </c>
      <c r="X443" t="s">
        <v>807</v>
      </c>
      <c r="Z443" s="31">
        <v>46081</v>
      </c>
      <c r="AA443">
        <v>655029</v>
      </c>
      <c r="AB443">
        <v>1134384</v>
      </c>
      <c r="AC443">
        <v>12</v>
      </c>
      <c r="AD443" t="s">
        <v>22</v>
      </c>
      <c r="AE443" s="31">
        <v>46060</v>
      </c>
      <c r="AF443" s="61">
        <v>0.41700231481481481</v>
      </c>
      <c r="AH443" t="s">
        <v>782</v>
      </c>
      <c r="AI443" s="31"/>
      <c r="AJ443" s="61"/>
      <c r="AN443" t="s">
        <v>452</v>
      </c>
      <c r="AO443" t="s">
        <v>22</v>
      </c>
      <c r="AP443" t="s">
        <v>452</v>
      </c>
      <c r="AR443" s="31"/>
      <c r="AS443" t="s">
        <v>1423</v>
      </c>
      <c r="AT443" t="s">
        <v>3082</v>
      </c>
      <c r="AU443" t="s">
        <v>2913</v>
      </c>
      <c r="AV443" t="s">
        <v>2914</v>
      </c>
      <c r="AW443" t="s">
        <v>3083</v>
      </c>
      <c r="AX443">
        <v>1</v>
      </c>
    </row>
    <row r="444" spans="1:50" x14ac:dyDescent="0.3">
      <c r="A444" t="s">
        <v>44</v>
      </c>
      <c r="B444">
        <v>912</v>
      </c>
      <c r="D444">
        <v>3248</v>
      </c>
      <c r="E444" t="s">
        <v>3084</v>
      </c>
      <c r="F444" t="s">
        <v>3085</v>
      </c>
      <c r="G444" t="s">
        <v>3086</v>
      </c>
      <c r="H444">
        <v>12391174000101</v>
      </c>
      <c r="J444" t="s">
        <v>3085</v>
      </c>
      <c r="K444" t="s">
        <v>3087</v>
      </c>
      <c r="M444" t="s">
        <v>3088</v>
      </c>
      <c r="P444" t="s">
        <v>778</v>
      </c>
      <c r="Q444" t="s">
        <v>3089</v>
      </c>
      <c r="R444" t="s">
        <v>932</v>
      </c>
      <c r="S444" t="s">
        <v>805</v>
      </c>
      <c r="W444" t="s">
        <v>780</v>
      </c>
      <c r="X444" t="s">
        <v>857</v>
      </c>
      <c r="Z444" s="31"/>
      <c r="AC444">
        <v>8</v>
      </c>
      <c r="AD444" t="s">
        <v>44</v>
      </c>
      <c r="AE444" s="31">
        <v>46064</v>
      </c>
      <c r="AF444" s="61">
        <v>0.41652777777777777</v>
      </c>
      <c r="AH444" t="s">
        <v>782</v>
      </c>
      <c r="AI444" s="31"/>
      <c r="AJ444" s="61"/>
      <c r="AP444" t="s">
        <v>393</v>
      </c>
      <c r="AR444" s="31"/>
      <c r="AS444" t="s">
        <v>1423</v>
      </c>
      <c r="AX444">
        <v>1</v>
      </c>
    </row>
    <row r="445" spans="1:50" x14ac:dyDescent="0.3">
      <c r="A445" t="s">
        <v>44</v>
      </c>
      <c r="B445">
        <v>915</v>
      </c>
      <c r="D445">
        <v>3253</v>
      </c>
      <c r="E445" t="s">
        <v>3090</v>
      </c>
      <c r="G445" t="s">
        <v>402</v>
      </c>
      <c r="J445" t="s">
        <v>3091</v>
      </c>
      <c r="K445" t="s">
        <v>1325</v>
      </c>
      <c r="M445" t="s">
        <v>1326</v>
      </c>
      <c r="P445" t="s">
        <v>778</v>
      </c>
      <c r="V445" t="s">
        <v>1718</v>
      </c>
      <c r="W445" t="s">
        <v>780</v>
      </c>
      <c r="X445" t="s">
        <v>793</v>
      </c>
      <c r="Z445" s="31">
        <v>46142</v>
      </c>
      <c r="AA445">
        <v>10240</v>
      </c>
      <c r="AB445">
        <v>2000</v>
      </c>
      <c r="AC445">
        <v>8</v>
      </c>
      <c r="AD445" t="s">
        <v>44</v>
      </c>
      <c r="AE445" s="31">
        <v>46064</v>
      </c>
      <c r="AF445" s="61">
        <v>0.43546296296296289</v>
      </c>
      <c r="AH445" t="s">
        <v>782</v>
      </c>
      <c r="AI445" s="31"/>
      <c r="AJ445" s="61"/>
      <c r="AN445" t="s">
        <v>403</v>
      </c>
      <c r="AP445" t="s">
        <v>403</v>
      </c>
      <c r="AR445" s="31"/>
      <c r="AS445" t="s">
        <v>2119</v>
      </c>
      <c r="AX445">
        <v>1</v>
      </c>
    </row>
    <row r="446" spans="1:50" x14ac:dyDescent="0.3">
      <c r="A446" t="s">
        <v>22</v>
      </c>
      <c r="B446">
        <v>919</v>
      </c>
      <c r="D446">
        <v>3227</v>
      </c>
      <c r="G446" t="s">
        <v>459</v>
      </c>
      <c r="J446" t="s">
        <v>3092</v>
      </c>
      <c r="K446" t="s">
        <v>3093</v>
      </c>
      <c r="M446" t="s">
        <v>3094</v>
      </c>
      <c r="P446" t="s">
        <v>778</v>
      </c>
      <c r="S446" t="s">
        <v>2541</v>
      </c>
      <c r="V446" t="s">
        <v>2791</v>
      </c>
      <c r="W446" t="s">
        <v>780</v>
      </c>
      <c r="X446" t="s">
        <v>781</v>
      </c>
      <c r="Z446" s="31"/>
      <c r="AC446">
        <v>8</v>
      </c>
      <c r="AD446" t="s">
        <v>22</v>
      </c>
      <c r="AE446" s="31">
        <v>46064</v>
      </c>
      <c r="AF446" s="61">
        <v>0.4732986111111111</v>
      </c>
      <c r="AH446" t="s">
        <v>782</v>
      </c>
      <c r="AI446" s="31"/>
      <c r="AJ446" s="61"/>
      <c r="AR446" s="31"/>
      <c r="AS446" t="s">
        <v>2119</v>
      </c>
      <c r="AX446">
        <v>1</v>
      </c>
    </row>
    <row r="447" spans="1:50" x14ac:dyDescent="0.3">
      <c r="A447" t="s">
        <v>31</v>
      </c>
      <c r="B447">
        <v>920</v>
      </c>
      <c r="D447">
        <v>3230</v>
      </c>
      <c r="E447" t="s">
        <v>3095</v>
      </c>
      <c r="G447" t="s">
        <v>379</v>
      </c>
      <c r="J447" t="s">
        <v>3096</v>
      </c>
      <c r="K447" t="s">
        <v>3097</v>
      </c>
      <c r="M447" t="s">
        <v>3098</v>
      </c>
      <c r="P447" t="s">
        <v>778</v>
      </c>
      <c r="S447" t="s">
        <v>2541</v>
      </c>
      <c r="V447" t="s">
        <v>2791</v>
      </c>
      <c r="W447" t="s">
        <v>780</v>
      </c>
      <c r="X447" t="s">
        <v>897</v>
      </c>
      <c r="Z447" s="31"/>
      <c r="AC447">
        <v>8</v>
      </c>
      <c r="AD447" t="s">
        <v>22</v>
      </c>
      <c r="AE447" s="31">
        <v>46064</v>
      </c>
      <c r="AF447" s="61">
        <v>0.47391203703703699</v>
      </c>
      <c r="AH447" t="s">
        <v>782</v>
      </c>
      <c r="AI447" s="31"/>
      <c r="AJ447" s="61"/>
      <c r="AO447" t="s">
        <v>31</v>
      </c>
      <c r="AR447" s="31">
        <v>46071</v>
      </c>
      <c r="AS447" t="s">
        <v>2119</v>
      </c>
      <c r="AX447">
        <v>1</v>
      </c>
    </row>
    <row r="448" spans="1:50" x14ac:dyDescent="0.3">
      <c r="A448" t="s">
        <v>22</v>
      </c>
      <c r="B448">
        <v>921</v>
      </c>
      <c r="D448">
        <v>3231</v>
      </c>
      <c r="G448" t="s">
        <v>3099</v>
      </c>
      <c r="J448" t="s">
        <v>3100</v>
      </c>
      <c r="K448" t="s">
        <v>3101</v>
      </c>
      <c r="M448" t="s">
        <v>3102</v>
      </c>
      <c r="P448" t="s">
        <v>778</v>
      </c>
      <c r="S448" t="s">
        <v>2541</v>
      </c>
      <c r="V448" t="s">
        <v>2559</v>
      </c>
      <c r="W448" t="s">
        <v>780</v>
      </c>
      <c r="X448" t="s">
        <v>781</v>
      </c>
      <c r="Z448" s="31"/>
      <c r="AC448">
        <v>8</v>
      </c>
      <c r="AD448" t="s">
        <v>22</v>
      </c>
      <c r="AE448" s="31">
        <v>46064</v>
      </c>
      <c r="AF448" s="61">
        <v>0.47487268518518522</v>
      </c>
      <c r="AH448" t="s">
        <v>782</v>
      </c>
      <c r="AI448" s="31"/>
      <c r="AJ448" s="61"/>
      <c r="AO448" t="s">
        <v>22</v>
      </c>
      <c r="AR448" s="31"/>
      <c r="AS448" t="s">
        <v>2119</v>
      </c>
      <c r="AX448">
        <v>1</v>
      </c>
    </row>
    <row r="449" spans="1:50" x14ac:dyDescent="0.3">
      <c r="A449" t="s">
        <v>22</v>
      </c>
      <c r="B449">
        <v>922</v>
      </c>
      <c r="D449">
        <v>3232</v>
      </c>
      <c r="G449" t="s">
        <v>3103</v>
      </c>
      <c r="J449" t="s">
        <v>3104</v>
      </c>
      <c r="K449" t="s">
        <v>3105</v>
      </c>
      <c r="M449" t="s">
        <v>3106</v>
      </c>
      <c r="P449" t="s">
        <v>778</v>
      </c>
      <c r="S449" t="s">
        <v>2541</v>
      </c>
      <c r="V449" t="s">
        <v>2791</v>
      </c>
      <c r="W449" t="s">
        <v>780</v>
      </c>
      <c r="X449" t="s">
        <v>857</v>
      </c>
      <c r="Z449" s="31"/>
      <c r="AC449">
        <v>8</v>
      </c>
      <c r="AD449" t="s">
        <v>22</v>
      </c>
      <c r="AE449" s="31">
        <v>46064</v>
      </c>
      <c r="AF449" s="61">
        <v>0.47547453703703701</v>
      </c>
      <c r="AH449" t="s">
        <v>782</v>
      </c>
      <c r="AI449" s="31"/>
      <c r="AJ449" s="61"/>
      <c r="AO449" t="s">
        <v>22</v>
      </c>
      <c r="AR449" s="31"/>
      <c r="AS449" t="s">
        <v>2119</v>
      </c>
      <c r="AX449">
        <v>1</v>
      </c>
    </row>
    <row r="450" spans="1:50" x14ac:dyDescent="0.3">
      <c r="A450" t="s">
        <v>31</v>
      </c>
      <c r="B450">
        <v>923</v>
      </c>
      <c r="D450">
        <v>3236</v>
      </c>
      <c r="G450" t="s">
        <v>3107</v>
      </c>
      <c r="J450" t="s">
        <v>3108</v>
      </c>
      <c r="K450" t="s">
        <v>3109</v>
      </c>
      <c r="M450" t="s">
        <v>3110</v>
      </c>
      <c r="P450" t="s">
        <v>778</v>
      </c>
      <c r="S450" t="s">
        <v>2541</v>
      </c>
      <c r="V450" t="s">
        <v>2791</v>
      </c>
      <c r="W450" t="s">
        <v>780</v>
      </c>
      <c r="X450" t="s">
        <v>781</v>
      </c>
      <c r="Z450" s="31"/>
      <c r="AC450">
        <v>8</v>
      </c>
      <c r="AD450" t="s">
        <v>22</v>
      </c>
      <c r="AE450" s="31">
        <v>46064</v>
      </c>
      <c r="AF450" s="61">
        <v>0.47722222222222221</v>
      </c>
      <c r="AH450" t="s">
        <v>782</v>
      </c>
      <c r="AI450" s="31"/>
      <c r="AJ450" s="61"/>
      <c r="AO450" t="s">
        <v>31</v>
      </c>
      <c r="AR450" s="31">
        <v>46070</v>
      </c>
      <c r="AS450" t="s">
        <v>2119</v>
      </c>
      <c r="AX450">
        <v>1</v>
      </c>
    </row>
    <row r="451" spans="1:50" x14ac:dyDescent="0.3">
      <c r="A451" t="s">
        <v>44</v>
      </c>
      <c r="B451">
        <v>924</v>
      </c>
      <c r="D451">
        <v>3238</v>
      </c>
      <c r="E451" t="s">
        <v>3111</v>
      </c>
      <c r="G451" t="s">
        <v>3112</v>
      </c>
      <c r="J451" t="s">
        <v>3112</v>
      </c>
      <c r="K451" t="s">
        <v>3113</v>
      </c>
      <c r="M451" t="s">
        <v>3114</v>
      </c>
      <c r="P451" t="s">
        <v>778</v>
      </c>
      <c r="S451" t="s">
        <v>2541</v>
      </c>
      <c r="V451" t="s">
        <v>3115</v>
      </c>
      <c r="W451" t="s">
        <v>780</v>
      </c>
      <c r="X451" t="s">
        <v>897</v>
      </c>
      <c r="Z451" s="31"/>
      <c r="AC451">
        <v>8</v>
      </c>
      <c r="AD451" t="s">
        <v>22</v>
      </c>
      <c r="AE451" s="31">
        <v>46064</v>
      </c>
      <c r="AF451" s="61">
        <v>0.47901620370370368</v>
      </c>
      <c r="AH451" t="s">
        <v>782</v>
      </c>
      <c r="AI451" s="31"/>
      <c r="AJ451" s="61"/>
      <c r="AR451" s="31"/>
      <c r="AS451" t="s">
        <v>2119</v>
      </c>
      <c r="AX451">
        <v>1</v>
      </c>
    </row>
    <row r="452" spans="1:50" x14ac:dyDescent="0.3">
      <c r="A452" t="s">
        <v>44</v>
      </c>
      <c r="B452">
        <v>925</v>
      </c>
      <c r="D452">
        <v>3244</v>
      </c>
      <c r="E452" t="s">
        <v>3116</v>
      </c>
      <c r="G452" t="s">
        <v>412</v>
      </c>
      <c r="H452">
        <v>32534969000139</v>
      </c>
      <c r="J452" t="s">
        <v>3117</v>
      </c>
      <c r="K452" t="s">
        <v>3118</v>
      </c>
      <c r="M452" t="s">
        <v>3119</v>
      </c>
      <c r="P452" t="s">
        <v>778</v>
      </c>
      <c r="R452" t="s">
        <v>3120</v>
      </c>
      <c r="S452" t="s">
        <v>1191</v>
      </c>
      <c r="V452" t="s">
        <v>3115</v>
      </c>
      <c r="W452" t="s">
        <v>780</v>
      </c>
      <c r="X452" t="s">
        <v>897</v>
      </c>
      <c r="Z452" s="31"/>
      <c r="AC452">
        <v>8</v>
      </c>
      <c r="AD452" t="s">
        <v>22</v>
      </c>
      <c r="AE452" s="31">
        <v>46064</v>
      </c>
      <c r="AF452" s="61">
        <v>0.47952546296296289</v>
      </c>
      <c r="AH452" t="s">
        <v>782</v>
      </c>
      <c r="AI452" s="31"/>
      <c r="AJ452" s="61"/>
      <c r="AR452" s="31"/>
      <c r="AS452" t="s">
        <v>2119</v>
      </c>
      <c r="AX452">
        <v>1</v>
      </c>
    </row>
    <row r="453" spans="1:50" x14ac:dyDescent="0.3">
      <c r="A453" t="s">
        <v>44</v>
      </c>
      <c r="B453">
        <v>926</v>
      </c>
      <c r="D453">
        <v>3237</v>
      </c>
      <c r="E453" t="s">
        <v>3121</v>
      </c>
      <c r="G453" t="s">
        <v>3122</v>
      </c>
      <c r="J453" t="s">
        <v>3123</v>
      </c>
      <c r="K453" t="s">
        <v>3124</v>
      </c>
      <c r="M453" t="s">
        <v>3125</v>
      </c>
      <c r="P453" t="s">
        <v>778</v>
      </c>
      <c r="S453" t="s">
        <v>2541</v>
      </c>
      <c r="V453" t="s">
        <v>3115</v>
      </c>
      <c r="W453" t="s">
        <v>780</v>
      </c>
      <c r="X453" t="s">
        <v>897</v>
      </c>
      <c r="Z453" s="31"/>
      <c r="AC453">
        <v>8</v>
      </c>
      <c r="AD453" t="s">
        <v>22</v>
      </c>
      <c r="AE453" s="31">
        <v>46064</v>
      </c>
      <c r="AF453" s="61">
        <v>0.48769675925925932</v>
      </c>
      <c r="AH453" t="s">
        <v>782</v>
      </c>
      <c r="AI453" s="31"/>
      <c r="AJ453" s="61"/>
      <c r="AR453" s="31"/>
      <c r="AS453" t="s">
        <v>2119</v>
      </c>
      <c r="AX453">
        <v>1</v>
      </c>
    </row>
    <row r="454" spans="1:50" x14ac:dyDescent="0.3">
      <c r="A454" t="s">
        <v>31</v>
      </c>
      <c r="B454">
        <v>927</v>
      </c>
      <c r="D454">
        <v>3239</v>
      </c>
      <c r="E454" t="s">
        <v>3126</v>
      </c>
      <c r="G454" t="s">
        <v>3127</v>
      </c>
      <c r="J454" t="s">
        <v>3128</v>
      </c>
      <c r="K454" t="s">
        <v>3129</v>
      </c>
      <c r="M454" t="s">
        <v>3130</v>
      </c>
      <c r="P454" t="s">
        <v>778</v>
      </c>
      <c r="S454" t="s">
        <v>2541</v>
      </c>
      <c r="V454" t="s">
        <v>2559</v>
      </c>
      <c r="W454" t="s">
        <v>780</v>
      </c>
      <c r="X454" t="s">
        <v>781</v>
      </c>
      <c r="Z454" s="31"/>
      <c r="AC454">
        <v>2</v>
      </c>
      <c r="AD454" t="s">
        <v>22</v>
      </c>
      <c r="AE454" s="31">
        <v>46064</v>
      </c>
      <c r="AF454" s="61">
        <v>0.48925925925925928</v>
      </c>
      <c r="AH454" t="s">
        <v>795</v>
      </c>
      <c r="AI454" s="31">
        <v>46066</v>
      </c>
      <c r="AJ454" s="61">
        <v>0.72755787037037034</v>
      </c>
      <c r="AK454" t="s">
        <v>1226</v>
      </c>
      <c r="AO454" t="s">
        <v>31</v>
      </c>
      <c r="AR454" s="31">
        <v>46066</v>
      </c>
      <c r="AS454" t="s">
        <v>2119</v>
      </c>
      <c r="AX454">
        <v>1</v>
      </c>
    </row>
    <row r="455" spans="1:50" x14ac:dyDescent="0.3">
      <c r="A455" t="s">
        <v>44</v>
      </c>
      <c r="B455">
        <v>928</v>
      </c>
      <c r="D455">
        <v>3242</v>
      </c>
      <c r="E455" t="s">
        <v>3131</v>
      </c>
      <c r="G455" t="s">
        <v>2809</v>
      </c>
      <c r="H455">
        <v>9205460000120</v>
      </c>
      <c r="J455" t="s">
        <v>2810</v>
      </c>
      <c r="K455" t="s">
        <v>2811</v>
      </c>
      <c r="P455" t="s">
        <v>778</v>
      </c>
      <c r="Q455" t="s">
        <v>2812</v>
      </c>
      <c r="R455" t="s">
        <v>1067</v>
      </c>
      <c r="S455" t="s">
        <v>1191</v>
      </c>
      <c r="V455" t="s">
        <v>2791</v>
      </c>
      <c r="W455" t="s">
        <v>780</v>
      </c>
      <c r="X455" t="s">
        <v>897</v>
      </c>
      <c r="Z455" s="31"/>
      <c r="AC455">
        <v>8</v>
      </c>
      <c r="AD455" t="s">
        <v>22</v>
      </c>
      <c r="AE455" s="31">
        <v>46064</v>
      </c>
      <c r="AF455" s="61">
        <v>0.49402777777777779</v>
      </c>
      <c r="AH455" t="s">
        <v>782</v>
      </c>
      <c r="AI455" s="31"/>
      <c r="AJ455" s="61"/>
      <c r="AR455" s="31">
        <v>46071</v>
      </c>
      <c r="AS455" t="s">
        <v>2119</v>
      </c>
      <c r="AX455">
        <v>1</v>
      </c>
    </row>
    <row r="456" spans="1:50" x14ac:dyDescent="0.3">
      <c r="A456" t="s">
        <v>44</v>
      </c>
      <c r="B456">
        <v>929</v>
      </c>
      <c r="D456">
        <v>3235</v>
      </c>
      <c r="G456" t="s">
        <v>3132</v>
      </c>
      <c r="J456" t="s">
        <v>3133</v>
      </c>
      <c r="K456" t="s">
        <v>3134</v>
      </c>
      <c r="M456" t="s">
        <v>3135</v>
      </c>
      <c r="P456" t="s">
        <v>778</v>
      </c>
      <c r="Q456" t="s">
        <v>1765</v>
      </c>
      <c r="S456" t="s">
        <v>814</v>
      </c>
      <c r="V456" t="s">
        <v>1186</v>
      </c>
      <c r="W456" t="s">
        <v>780</v>
      </c>
      <c r="X456" t="s">
        <v>857</v>
      </c>
      <c r="Z456" s="31"/>
      <c r="AC456">
        <v>8</v>
      </c>
      <c r="AD456" t="s">
        <v>22</v>
      </c>
      <c r="AE456" s="31">
        <v>46064</v>
      </c>
      <c r="AF456" s="61">
        <v>0.49530092592592601</v>
      </c>
      <c r="AH456" t="s">
        <v>782</v>
      </c>
      <c r="AI456" s="31"/>
      <c r="AJ456" s="61"/>
      <c r="AP456" t="s">
        <v>420</v>
      </c>
      <c r="AR456" s="31"/>
      <c r="AS456" t="s">
        <v>2119</v>
      </c>
      <c r="AX456">
        <v>1</v>
      </c>
    </row>
    <row r="457" spans="1:50" x14ac:dyDescent="0.3">
      <c r="A457" t="s">
        <v>31</v>
      </c>
      <c r="B457">
        <v>930</v>
      </c>
      <c r="D457">
        <v>3243</v>
      </c>
      <c r="E457" t="s">
        <v>3136</v>
      </c>
      <c r="G457" t="s">
        <v>3137</v>
      </c>
      <c r="H457">
        <v>14590342000113</v>
      </c>
      <c r="J457" t="s">
        <v>3138</v>
      </c>
      <c r="K457" t="s">
        <v>3139</v>
      </c>
      <c r="M457" t="s">
        <v>3140</v>
      </c>
      <c r="P457" t="s">
        <v>778</v>
      </c>
      <c r="Q457" t="s">
        <v>3141</v>
      </c>
      <c r="S457" t="s">
        <v>814</v>
      </c>
      <c r="V457" t="s">
        <v>2842</v>
      </c>
      <c r="W457" t="s">
        <v>780</v>
      </c>
      <c r="X457" t="s">
        <v>793</v>
      </c>
      <c r="Z457" s="31"/>
      <c r="AC457">
        <v>8</v>
      </c>
      <c r="AD457" t="s">
        <v>22</v>
      </c>
      <c r="AE457" s="31">
        <v>46064</v>
      </c>
      <c r="AF457" s="61">
        <v>0.49583333333333329</v>
      </c>
      <c r="AH457" t="s">
        <v>782</v>
      </c>
      <c r="AI457" s="31"/>
      <c r="AJ457" s="61"/>
      <c r="AO457" t="s">
        <v>31</v>
      </c>
      <c r="AR457" s="31">
        <v>46065</v>
      </c>
      <c r="AS457" t="s">
        <v>2119</v>
      </c>
      <c r="AU457" t="s">
        <v>3142</v>
      </c>
      <c r="AX457">
        <v>1</v>
      </c>
    </row>
    <row r="458" spans="1:50" x14ac:dyDescent="0.3">
      <c r="A458" t="s">
        <v>44</v>
      </c>
      <c r="B458">
        <v>931</v>
      </c>
      <c r="D458">
        <v>3233</v>
      </c>
      <c r="E458" t="s">
        <v>3143</v>
      </c>
      <c r="G458" t="s">
        <v>3144</v>
      </c>
      <c r="H458">
        <v>36096287000142</v>
      </c>
      <c r="J458" t="s">
        <v>3145</v>
      </c>
      <c r="K458" t="s">
        <v>3146</v>
      </c>
      <c r="M458" t="s">
        <v>3147</v>
      </c>
      <c r="P458" t="s">
        <v>778</v>
      </c>
      <c r="Q458" t="s">
        <v>3148</v>
      </c>
      <c r="S458" t="s">
        <v>814</v>
      </c>
      <c r="V458" t="s">
        <v>3149</v>
      </c>
      <c r="W458" t="s">
        <v>780</v>
      </c>
      <c r="X458" t="s">
        <v>897</v>
      </c>
      <c r="Z458" s="31"/>
      <c r="AC458">
        <v>0</v>
      </c>
      <c r="AD458" t="s">
        <v>22</v>
      </c>
      <c r="AE458" s="31">
        <v>46064</v>
      </c>
      <c r="AF458" s="61">
        <v>0.49716435185185193</v>
      </c>
      <c r="AH458" t="s">
        <v>795</v>
      </c>
      <c r="AI458" s="31">
        <v>46064</v>
      </c>
      <c r="AJ458" s="61">
        <v>0.64505787037037032</v>
      </c>
      <c r="AK458" t="s">
        <v>1226</v>
      </c>
      <c r="AL458" t="s">
        <v>2245</v>
      </c>
      <c r="AR458" s="31"/>
      <c r="AS458" t="s">
        <v>2119</v>
      </c>
      <c r="AX458">
        <v>1</v>
      </c>
    </row>
    <row r="459" spans="1:50" x14ac:dyDescent="0.3">
      <c r="A459" t="s">
        <v>31</v>
      </c>
      <c r="B459">
        <v>932</v>
      </c>
      <c r="D459">
        <v>3234</v>
      </c>
      <c r="E459" t="s">
        <v>3150</v>
      </c>
      <c r="G459" t="s">
        <v>391</v>
      </c>
      <c r="H459">
        <v>1498495000193</v>
      </c>
      <c r="J459" t="s">
        <v>3151</v>
      </c>
      <c r="K459" t="s">
        <v>3152</v>
      </c>
      <c r="M459" t="s">
        <v>3153</v>
      </c>
      <c r="P459" t="s">
        <v>778</v>
      </c>
      <c r="Q459" t="s">
        <v>3154</v>
      </c>
      <c r="S459" t="s">
        <v>814</v>
      </c>
      <c r="V459" t="s">
        <v>2878</v>
      </c>
      <c r="W459" t="s">
        <v>780</v>
      </c>
      <c r="X459" t="s">
        <v>857</v>
      </c>
      <c r="Z459" s="31">
        <v>46142</v>
      </c>
      <c r="AC459">
        <v>8</v>
      </c>
      <c r="AD459" t="s">
        <v>22</v>
      </c>
      <c r="AE459" s="31">
        <v>46064</v>
      </c>
      <c r="AF459" s="61">
        <v>0.49763888888888891</v>
      </c>
      <c r="AH459" t="s">
        <v>782</v>
      </c>
      <c r="AI459" s="31"/>
      <c r="AJ459" s="61"/>
      <c r="AO459" t="s">
        <v>31</v>
      </c>
      <c r="AR459" s="31">
        <v>46071</v>
      </c>
      <c r="AS459" t="s">
        <v>2119</v>
      </c>
      <c r="AU459" t="s">
        <v>63</v>
      </c>
      <c r="AX459">
        <v>1</v>
      </c>
    </row>
    <row r="460" spans="1:50" x14ac:dyDescent="0.3">
      <c r="A460" t="s">
        <v>44</v>
      </c>
      <c r="B460">
        <v>933</v>
      </c>
      <c r="D460">
        <v>3262</v>
      </c>
      <c r="F460" t="s">
        <v>3155</v>
      </c>
      <c r="G460" t="s">
        <v>222</v>
      </c>
      <c r="H460">
        <v>35754976000215</v>
      </c>
      <c r="J460" t="s">
        <v>3155</v>
      </c>
      <c r="K460" t="s">
        <v>3156</v>
      </c>
      <c r="M460" t="s">
        <v>3157</v>
      </c>
      <c r="P460" t="s">
        <v>778</v>
      </c>
      <c r="Q460" t="s">
        <v>3158</v>
      </c>
      <c r="R460" t="s">
        <v>932</v>
      </c>
      <c r="S460" t="s">
        <v>805</v>
      </c>
      <c r="W460" t="s">
        <v>780</v>
      </c>
      <c r="X460" t="s">
        <v>857</v>
      </c>
      <c r="Z460" s="31"/>
      <c r="AC460">
        <v>8</v>
      </c>
      <c r="AD460" t="s">
        <v>44</v>
      </c>
      <c r="AE460" s="31">
        <v>46064</v>
      </c>
      <c r="AF460" s="61">
        <v>0.75549768518518523</v>
      </c>
      <c r="AH460" t="s">
        <v>782</v>
      </c>
      <c r="AI460" s="31"/>
      <c r="AJ460" s="61"/>
      <c r="AR460" s="31"/>
      <c r="AS460" t="s">
        <v>1423</v>
      </c>
      <c r="AX460">
        <v>1</v>
      </c>
    </row>
    <row r="461" spans="1:50" x14ac:dyDescent="0.3">
      <c r="A461" t="s">
        <v>44</v>
      </c>
      <c r="B461">
        <v>934</v>
      </c>
      <c r="D461">
        <v>3263</v>
      </c>
      <c r="F461" t="s">
        <v>3159</v>
      </c>
      <c r="G461" t="s">
        <v>3160</v>
      </c>
      <c r="H461">
        <v>51540058000169</v>
      </c>
      <c r="J461" t="s">
        <v>3159</v>
      </c>
      <c r="K461" t="s">
        <v>3161</v>
      </c>
      <c r="M461" t="s">
        <v>3162</v>
      </c>
      <c r="P461" t="s">
        <v>778</v>
      </c>
      <c r="Q461" t="s">
        <v>1094</v>
      </c>
      <c r="R461" t="s">
        <v>790</v>
      </c>
      <c r="S461" t="s">
        <v>805</v>
      </c>
      <c r="W461" t="s">
        <v>780</v>
      </c>
      <c r="X461" t="s">
        <v>857</v>
      </c>
      <c r="Z461" s="31"/>
      <c r="AC461">
        <v>8</v>
      </c>
      <c r="AD461" t="s">
        <v>44</v>
      </c>
      <c r="AE461" s="31">
        <v>46064</v>
      </c>
      <c r="AF461" s="61">
        <v>0.76371527777777781</v>
      </c>
      <c r="AH461" t="s">
        <v>782</v>
      </c>
      <c r="AI461" s="31"/>
      <c r="AJ461" s="61"/>
      <c r="AR461" s="31"/>
      <c r="AS461" t="s">
        <v>3163</v>
      </c>
      <c r="AX461">
        <v>1</v>
      </c>
    </row>
    <row r="462" spans="1:50" x14ac:dyDescent="0.3">
      <c r="A462" t="s">
        <v>22</v>
      </c>
      <c r="B462">
        <v>935</v>
      </c>
      <c r="D462">
        <v>3259</v>
      </c>
      <c r="E462" t="s">
        <v>3164</v>
      </c>
      <c r="G462" t="s">
        <v>3165</v>
      </c>
      <c r="J462" t="s">
        <v>3166</v>
      </c>
      <c r="K462" t="s">
        <v>3167</v>
      </c>
      <c r="M462" t="s">
        <v>3168</v>
      </c>
      <c r="P462" t="s">
        <v>778</v>
      </c>
      <c r="Q462" t="s">
        <v>3169</v>
      </c>
      <c r="S462" t="s">
        <v>814</v>
      </c>
      <c r="V462" t="s">
        <v>1186</v>
      </c>
      <c r="W462" t="s">
        <v>780</v>
      </c>
      <c r="X462" t="s">
        <v>897</v>
      </c>
      <c r="Z462" s="31">
        <v>46081</v>
      </c>
      <c r="AC462">
        <v>1</v>
      </c>
      <c r="AD462" t="s">
        <v>22</v>
      </c>
      <c r="AE462" s="31">
        <v>46065</v>
      </c>
      <c r="AF462" s="61">
        <v>0.1035185185185185</v>
      </c>
      <c r="AH462" t="s">
        <v>795</v>
      </c>
      <c r="AI462" s="31">
        <v>46066</v>
      </c>
      <c r="AJ462" s="61">
        <v>0.72414351851851855</v>
      </c>
      <c r="AK462" t="s">
        <v>867</v>
      </c>
      <c r="AO462" t="s">
        <v>22</v>
      </c>
      <c r="AP462" t="s">
        <v>405</v>
      </c>
      <c r="AR462" s="31"/>
      <c r="AS462" t="s">
        <v>2119</v>
      </c>
      <c r="AU462" t="s">
        <v>321</v>
      </c>
      <c r="AX462">
        <v>1</v>
      </c>
    </row>
    <row r="463" spans="1:50" x14ac:dyDescent="0.3">
      <c r="A463" t="s">
        <v>44</v>
      </c>
      <c r="B463">
        <v>936</v>
      </c>
      <c r="D463">
        <v>3268</v>
      </c>
      <c r="G463" t="s">
        <v>3170</v>
      </c>
      <c r="J463" t="s">
        <v>3171</v>
      </c>
      <c r="K463" t="s">
        <v>3172</v>
      </c>
      <c r="M463" t="s">
        <v>3135</v>
      </c>
      <c r="P463" t="s">
        <v>778</v>
      </c>
      <c r="W463" t="s">
        <v>780</v>
      </c>
      <c r="X463" t="s">
        <v>857</v>
      </c>
      <c r="Z463" s="31"/>
      <c r="AC463">
        <v>6</v>
      </c>
      <c r="AD463" t="s">
        <v>44</v>
      </c>
      <c r="AE463" s="31">
        <v>46066</v>
      </c>
      <c r="AF463" s="61">
        <v>0.61993055555555554</v>
      </c>
      <c r="AH463" t="s">
        <v>782</v>
      </c>
      <c r="AI463" s="31"/>
      <c r="AJ463" s="61"/>
      <c r="AP463" t="s">
        <v>405</v>
      </c>
      <c r="AR463" s="31"/>
      <c r="AS463" t="s">
        <v>1423</v>
      </c>
      <c r="AX463">
        <v>1</v>
      </c>
    </row>
    <row r="464" spans="1:50" x14ac:dyDescent="0.3">
      <c r="A464" t="s">
        <v>44</v>
      </c>
      <c r="B464">
        <v>937</v>
      </c>
      <c r="D464">
        <v>3267</v>
      </c>
      <c r="G464" t="s">
        <v>3173</v>
      </c>
      <c r="H464">
        <v>3318893000106</v>
      </c>
      <c r="J464" t="s">
        <v>3174</v>
      </c>
      <c r="K464" t="s">
        <v>3175</v>
      </c>
      <c r="M464" t="s">
        <v>3176</v>
      </c>
      <c r="P464" t="s">
        <v>778</v>
      </c>
      <c r="S464" t="s">
        <v>2541</v>
      </c>
      <c r="V464" t="s">
        <v>3177</v>
      </c>
      <c r="W464" t="s">
        <v>780</v>
      </c>
      <c r="X464" t="s">
        <v>897</v>
      </c>
      <c r="Z464" s="31">
        <v>46081</v>
      </c>
      <c r="AC464">
        <v>6</v>
      </c>
      <c r="AD464" t="s">
        <v>22</v>
      </c>
      <c r="AE464" s="31">
        <v>46066</v>
      </c>
      <c r="AF464" s="61">
        <v>0.91548611111111111</v>
      </c>
      <c r="AH464" t="s">
        <v>782</v>
      </c>
      <c r="AI464" s="31"/>
      <c r="AJ464" s="61"/>
      <c r="AO464" t="s">
        <v>44</v>
      </c>
      <c r="AR464" s="31"/>
      <c r="AS464" t="s">
        <v>2119</v>
      </c>
      <c r="AX464">
        <v>1</v>
      </c>
    </row>
    <row r="465" spans="1:50" x14ac:dyDescent="0.3">
      <c r="A465" t="s">
        <v>22</v>
      </c>
      <c r="B465">
        <v>938</v>
      </c>
      <c r="D465">
        <v>3266</v>
      </c>
      <c r="G465" t="s">
        <v>3178</v>
      </c>
      <c r="H465">
        <v>11994847000155</v>
      </c>
      <c r="J465" t="s">
        <v>3179</v>
      </c>
      <c r="K465" t="s">
        <v>3180</v>
      </c>
      <c r="M465" t="s">
        <v>3181</v>
      </c>
      <c r="P465" t="s">
        <v>778</v>
      </c>
      <c r="Q465" t="s">
        <v>3182</v>
      </c>
      <c r="S465" t="s">
        <v>814</v>
      </c>
      <c r="V465" t="s">
        <v>1198</v>
      </c>
      <c r="W465" t="s">
        <v>780</v>
      </c>
      <c r="X465" t="s">
        <v>857</v>
      </c>
      <c r="Z465" s="31">
        <v>46081</v>
      </c>
      <c r="AC465">
        <v>6</v>
      </c>
      <c r="AD465" t="s">
        <v>22</v>
      </c>
      <c r="AE465" s="31">
        <v>46066</v>
      </c>
      <c r="AF465" s="61">
        <v>0.91730324074074077</v>
      </c>
      <c r="AH465" t="s">
        <v>782</v>
      </c>
      <c r="AI465" s="31"/>
      <c r="AJ465" s="61"/>
      <c r="AO465" t="s">
        <v>22</v>
      </c>
      <c r="AR465" s="31"/>
      <c r="AS465" t="s">
        <v>2119</v>
      </c>
      <c r="AX465">
        <v>1</v>
      </c>
    </row>
    <row r="466" spans="1:50" x14ac:dyDescent="0.3">
      <c r="A466" t="s">
        <v>31</v>
      </c>
      <c r="B466">
        <v>945</v>
      </c>
      <c r="D466">
        <v>3271</v>
      </c>
      <c r="G466" t="s">
        <v>3183</v>
      </c>
      <c r="J466" t="s">
        <v>3184</v>
      </c>
      <c r="K466" t="s">
        <v>3185</v>
      </c>
      <c r="M466" t="s">
        <v>3186</v>
      </c>
      <c r="P466" t="s">
        <v>778</v>
      </c>
      <c r="Q466" t="s">
        <v>3187</v>
      </c>
      <c r="S466" t="s">
        <v>814</v>
      </c>
      <c r="V466" t="s">
        <v>1186</v>
      </c>
      <c r="W466" t="s">
        <v>780</v>
      </c>
      <c r="X466" t="s">
        <v>781</v>
      </c>
      <c r="Z466" s="31"/>
      <c r="AC466">
        <v>2</v>
      </c>
      <c r="AD466" t="s">
        <v>22</v>
      </c>
      <c r="AE466" s="31">
        <v>46070</v>
      </c>
      <c r="AF466" s="61">
        <v>0.74156250000000001</v>
      </c>
      <c r="AH466" t="s">
        <v>782</v>
      </c>
      <c r="AI466" s="31"/>
      <c r="AJ466" s="61"/>
      <c r="AO466" t="s">
        <v>31</v>
      </c>
      <c r="AR466" s="31">
        <v>46071</v>
      </c>
      <c r="AS466" t="s">
        <v>2119</v>
      </c>
      <c r="AU466" t="s">
        <v>47</v>
      </c>
      <c r="AX466">
        <v>1</v>
      </c>
    </row>
    <row r="467" spans="1:50" x14ac:dyDescent="0.3">
      <c r="A467" t="s">
        <v>22</v>
      </c>
      <c r="B467">
        <v>946</v>
      </c>
      <c r="D467">
        <v>3270</v>
      </c>
      <c r="G467" t="s">
        <v>3188</v>
      </c>
      <c r="J467" t="s">
        <v>3189</v>
      </c>
      <c r="K467" t="s">
        <v>3190</v>
      </c>
      <c r="M467" t="s">
        <v>3191</v>
      </c>
      <c r="P467" t="s">
        <v>778</v>
      </c>
      <c r="S467" t="s">
        <v>2541</v>
      </c>
      <c r="V467" t="s">
        <v>2791</v>
      </c>
      <c r="W467" t="s">
        <v>780</v>
      </c>
      <c r="X467" t="s">
        <v>781</v>
      </c>
      <c r="Z467" s="31"/>
      <c r="AC467">
        <v>1</v>
      </c>
      <c r="AD467" t="s">
        <v>22</v>
      </c>
      <c r="AE467" s="31">
        <v>46071</v>
      </c>
      <c r="AF467" s="61">
        <v>0.36913194444444453</v>
      </c>
      <c r="AH467" t="s">
        <v>782</v>
      </c>
      <c r="AI467" s="31"/>
      <c r="AJ467" s="61"/>
      <c r="AO467" t="s">
        <v>22</v>
      </c>
      <c r="AR467" s="31"/>
      <c r="AS467" t="s">
        <v>2119</v>
      </c>
      <c r="AU467" t="s">
        <v>321</v>
      </c>
      <c r="AX467">
        <v>1</v>
      </c>
    </row>
    <row r="468" spans="1:50" x14ac:dyDescent="0.3">
      <c r="A468" t="s">
        <v>44</v>
      </c>
      <c r="B468">
        <v>948</v>
      </c>
      <c r="D468">
        <v>3278</v>
      </c>
      <c r="G468" t="s">
        <v>444</v>
      </c>
      <c r="J468" t="s">
        <v>3192</v>
      </c>
      <c r="K468" t="s">
        <v>3193</v>
      </c>
      <c r="M468" t="s">
        <v>3194</v>
      </c>
      <c r="P468" t="s">
        <v>778</v>
      </c>
      <c r="S468" t="s">
        <v>2541</v>
      </c>
      <c r="V468" t="s">
        <v>3115</v>
      </c>
      <c r="W468" t="s">
        <v>780</v>
      </c>
      <c r="X468" t="s">
        <v>781</v>
      </c>
      <c r="Z468" s="31">
        <v>46081</v>
      </c>
      <c r="AC468">
        <v>0</v>
      </c>
      <c r="AD468" t="s">
        <v>22</v>
      </c>
      <c r="AE468" s="31">
        <v>46072</v>
      </c>
      <c r="AF468" s="61">
        <v>0.34339120370370368</v>
      </c>
      <c r="AH468" t="s">
        <v>782</v>
      </c>
      <c r="AI468" s="31"/>
      <c r="AJ468" s="61"/>
      <c r="AO468" t="s">
        <v>44</v>
      </c>
      <c r="AR468" s="31"/>
      <c r="AS468" t="s">
        <v>3195</v>
      </c>
      <c r="AX468">
        <v>1</v>
      </c>
    </row>
    <row r="469" spans="1:50" x14ac:dyDescent="0.3">
      <c r="A469" t="s">
        <v>31</v>
      </c>
      <c r="B469">
        <v>949</v>
      </c>
      <c r="D469">
        <v>3279</v>
      </c>
      <c r="G469" t="s">
        <v>2704</v>
      </c>
      <c r="J469" t="s">
        <v>334</v>
      </c>
      <c r="K469" t="s">
        <v>2705</v>
      </c>
      <c r="M469" t="s">
        <v>3196</v>
      </c>
      <c r="P469" t="s">
        <v>778</v>
      </c>
      <c r="R469" t="s">
        <v>3197</v>
      </c>
      <c r="S469" t="s">
        <v>1191</v>
      </c>
      <c r="V469" t="s">
        <v>3115</v>
      </c>
      <c r="W469" t="s">
        <v>780</v>
      </c>
      <c r="X469" t="s">
        <v>781</v>
      </c>
      <c r="Z469" s="31">
        <v>46081</v>
      </c>
      <c r="AC469">
        <v>0</v>
      </c>
      <c r="AD469" t="s">
        <v>22</v>
      </c>
      <c r="AE469" s="31">
        <v>46072</v>
      </c>
      <c r="AF469" s="61">
        <v>0.3442013888888889</v>
      </c>
      <c r="AH469" t="s">
        <v>782</v>
      </c>
      <c r="AI469" s="31"/>
      <c r="AJ469" s="61"/>
      <c r="AO469" t="s">
        <v>31</v>
      </c>
      <c r="AR469" s="31"/>
      <c r="AS469" t="s">
        <v>2119</v>
      </c>
      <c r="AX469">
        <v>1</v>
      </c>
    </row>
    <row r="470" spans="1:50" x14ac:dyDescent="0.3">
      <c r="A470" t="s">
        <v>31</v>
      </c>
      <c r="B470">
        <v>950</v>
      </c>
      <c r="D470">
        <v>3280</v>
      </c>
      <c r="G470" t="s">
        <v>3198</v>
      </c>
      <c r="H470">
        <v>3459449000100</v>
      </c>
      <c r="J470" t="s">
        <v>3199</v>
      </c>
      <c r="K470" t="s">
        <v>3200</v>
      </c>
      <c r="M470" t="s">
        <v>3201</v>
      </c>
      <c r="P470" t="s">
        <v>778</v>
      </c>
      <c r="S470" t="s">
        <v>2541</v>
      </c>
      <c r="V470" t="s">
        <v>3115</v>
      </c>
      <c r="W470" t="s">
        <v>780</v>
      </c>
      <c r="X470" t="s">
        <v>781</v>
      </c>
      <c r="Z470" s="31">
        <v>46081</v>
      </c>
      <c r="AC470">
        <v>0</v>
      </c>
      <c r="AD470" t="s">
        <v>22</v>
      </c>
      <c r="AE470" s="31">
        <v>46072</v>
      </c>
      <c r="AF470" s="61">
        <v>0.34534722222222219</v>
      </c>
      <c r="AH470" t="s">
        <v>782</v>
      </c>
      <c r="AI470" s="31"/>
      <c r="AJ470" s="61"/>
      <c r="AO470" t="s">
        <v>31</v>
      </c>
      <c r="AR470" s="31"/>
      <c r="AS470" t="s">
        <v>3195</v>
      </c>
      <c r="AX470">
        <v>1</v>
      </c>
    </row>
    <row r="471" spans="1:50" x14ac:dyDescent="0.3">
      <c r="A471" t="s">
        <v>44</v>
      </c>
      <c r="B471">
        <v>951</v>
      </c>
      <c r="D471">
        <v>3282</v>
      </c>
      <c r="G471" t="s">
        <v>3202</v>
      </c>
      <c r="J471" t="s">
        <v>3203</v>
      </c>
      <c r="K471" t="s">
        <v>3204</v>
      </c>
      <c r="M471" t="s">
        <v>3205</v>
      </c>
      <c r="P471" t="s">
        <v>778</v>
      </c>
      <c r="S471" t="s">
        <v>2541</v>
      </c>
      <c r="V471" t="s">
        <v>3115</v>
      </c>
      <c r="W471" t="s">
        <v>780</v>
      </c>
      <c r="X471" t="s">
        <v>781</v>
      </c>
      <c r="Z471" s="31">
        <v>46072</v>
      </c>
      <c r="AC471">
        <v>0</v>
      </c>
      <c r="AD471" t="s">
        <v>22</v>
      </c>
      <c r="AE471" s="31">
        <v>46072</v>
      </c>
      <c r="AF471" s="61">
        <v>0.3463310185185185</v>
      </c>
      <c r="AH471" t="s">
        <v>782</v>
      </c>
      <c r="AI471" s="31"/>
      <c r="AJ471" s="61"/>
      <c r="AO471" t="s">
        <v>44</v>
      </c>
      <c r="AR471" s="31"/>
      <c r="AS471" t="s">
        <v>2119</v>
      </c>
      <c r="AX471">
        <v>1</v>
      </c>
    </row>
    <row r="472" spans="1:50" x14ac:dyDescent="0.3">
      <c r="A472" t="s">
        <v>22</v>
      </c>
      <c r="B472">
        <v>952</v>
      </c>
      <c r="D472">
        <v>3283</v>
      </c>
      <c r="G472" t="s">
        <v>387</v>
      </c>
      <c r="J472" t="s">
        <v>3206</v>
      </c>
      <c r="K472" t="s">
        <v>3207</v>
      </c>
      <c r="M472" t="s">
        <v>3208</v>
      </c>
      <c r="P472" t="s">
        <v>778</v>
      </c>
      <c r="S472" t="s">
        <v>2541</v>
      </c>
      <c r="V472" t="s">
        <v>3115</v>
      </c>
      <c r="W472" t="s">
        <v>780</v>
      </c>
      <c r="X472" t="s">
        <v>781</v>
      </c>
      <c r="Z472" s="31">
        <v>46072</v>
      </c>
      <c r="AC472">
        <v>0</v>
      </c>
      <c r="AD472" t="s">
        <v>22</v>
      </c>
      <c r="AE472" s="31">
        <v>46072</v>
      </c>
      <c r="AF472" s="61">
        <v>0.34706018518518522</v>
      </c>
      <c r="AH472" t="s">
        <v>782</v>
      </c>
      <c r="AI472" s="31"/>
      <c r="AJ472" s="61"/>
      <c r="AO472" t="s">
        <v>22</v>
      </c>
      <c r="AR472" s="31"/>
      <c r="AS472" t="s">
        <v>2119</v>
      </c>
      <c r="AX472">
        <v>1</v>
      </c>
    </row>
    <row r="473" spans="1:50" x14ac:dyDescent="0.3">
      <c r="A473" t="s">
        <v>22</v>
      </c>
      <c r="B473">
        <v>953</v>
      </c>
      <c r="D473">
        <v>3284</v>
      </c>
      <c r="G473" t="s">
        <v>3209</v>
      </c>
      <c r="J473" t="s">
        <v>3210</v>
      </c>
      <c r="K473" t="s">
        <v>3211</v>
      </c>
      <c r="M473" t="s">
        <v>3212</v>
      </c>
      <c r="P473" t="s">
        <v>778</v>
      </c>
      <c r="S473" t="s">
        <v>2541</v>
      </c>
      <c r="V473" t="s">
        <v>3115</v>
      </c>
      <c r="W473" t="s">
        <v>780</v>
      </c>
      <c r="X473" t="s">
        <v>781</v>
      </c>
      <c r="Z473" s="31">
        <v>46081</v>
      </c>
      <c r="AC473">
        <v>0</v>
      </c>
      <c r="AD473" t="s">
        <v>22</v>
      </c>
      <c r="AE473" s="31">
        <v>46072</v>
      </c>
      <c r="AF473" s="61">
        <v>0.34765046296296298</v>
      </c>
      <c r="AH473" t="s">
        <v>782</v>
      </c>
      <c r="AI473" s="31"/>
      <c r="AJ473" s="61"/>
      <c r="AO473" t="s">
        <v>22</v>
      </c>
      <c r="AR473" s="31"/>
      <c r="AS473" t="s">
        <v>3213</v>
      </c>
      <c r="AX473">
        <v>1</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594"/>
  <sheetViews>
    <sheetView topLeftCell="A2" workbookViewId="0">
      <selection activeCell="AQ21" sqref="AQ21"/>
    </sheetView>
  </sheetViews>
  <sheetFormatPr defaultRowHeight="14.4" x14ac:dyDescent="0.3"/>
  <cols>
    <col min="1" max="1" width="80.88671875" bestFit="1" customWidth="1"/>
    <col min="2" max="2" width="14.88671875" bestFit="1" customWidth="1"/>
    <col min="3" max="3" width="11.33203125" bestFit="1" customWidth="1"/>
    <col min="4" max="4" width="12" bestFit="1" customWidth="1"/>
    <col min="5" max="5" width="80.88671875" bestFit="1" customWidth="1"/>
    <col min="6" max="6" width="51" bestFit="1" customWidth="1"/>
    <col min="7" max="7" width="64.6640625" bestFit="1" customWidth="1"/>
    <col min="8" max="8" width="12" bestFit="1" customWidth="1"/>
    <col min="9" max="9" width="80" bestFit="1" customWidth="1"/>
    <col min="10" max="10" width="60.33203125" bestFit="1" customWidth="1"/>
    <col min="11" max="11" width="43" bestFit="1" customWidth="1"/>
    <col min="12" max="12" width="18.6640625" bestFit="1" customWidth="1"/>
    <col min="13" max="13" width="39.88671875" bestFit="1" customWidth="1"/>
    <col min="14" max="14" width="13.109375" bestFit="1" customWidth="1"/>
    <col min="15" max="15" width="62.33203125" bestFit="1" customWidth="1"/>
    <col min="16" max="16" width="23" bestFit="1" customWidth="1"/>
    <col min="17" max="19" width="22.109375" bestFit="1" customWidth="1"/>
    <col min="20" max="20" width="19.109375" bestFit="1" customWidth="1"/>
    <col min="21" max="21" width="23.33203125" bestFit="1" customWidth="1"/>
    <col min="22" max="22" width="30.88671875" bestFit="1" customWidth="1"/>
    <col min="23" max="23" width="12" bestFit="1" customWidth="1"/>
    <col min="24" max="24" width="14" bestFit="1" customWidth="1"/>
    <col min="25" max="25" width="12.6640625" bestFit="1" customWidth="1"/>
    <col min="26" max="26" width="22.6640625" bestFit="1" customWidth="1"/>
    <col min="27" max="27" width="16.44140625" bestFit="1" customWidth="1"/>
    <col min="28" max="28" width="16.5546875" bestFit="1" customWidth="1"/>
    <col min="29" max="29" width="22.33203125" bestFit="1" customWidth="1"/>
    <col min="30" max="30" width="21" bestFit="1" customWidth="1"/>
    <col min="31" max="31" width="21.109375" bestFit="1" customWidth="1"/>
    <col min="32" max="32" width="27.109375" bestFit="1" customWidth="1"/>
    <col min="33" max="33" width="16" bestFit="1" customWidth="1"/>
    <col min="34" max="34" width="15.33203125" bestFit="1" customWidth="1"/>
    <col min="35" max="36" width="19.6640625" bestFit="1" customWidth="1"/>
    <col min="37" max="37" width="16.5546875" bestFit="1" customWidth="1"/>
    <col min="38" max="38" width="13.88671875" bestFit="1" customWidth="1"/>
    <col min="39" max="39" width="8.109375" bestFit="1" customWidth="1"/>
    <col min="40" max="40" width="23.6640625" bestFit="1" customWidth="1"/>
    <col min="41" max="41" width="16.6640625" bestFit="1" customWidth="1"/>
    <col min="42" max="42" width="12.88671875" bestFit="1" customWidth="1"/>
    <col min="43" max="43" width="7.33203125" bestFit="1" customWidth="1"/>
  </cols>
  <sheetData>
    <row r="1" spans="1:43" x14ac:dyDescent="0.3">
      <c r="A1" t="s">
        <v>212</v>
      </c>
      <c r="B1" t="s">
        <v>3214</v>
      </c>
      <c r="C1" t="s">
        <v>732</v>
      </c>
      <c r="D1" t="s">
        <v>733</v>
      </c>
      <c r="E1" t="s">
        <v>734</v>
      </c>
      <c r="F1" t="s">
        <v>735</v>
      </c>
      <c r="G1" t="s">
        <v>736</v>
      </c>
      <c r="H1" t="s">
        <v>40</v>
      </c>
      <c r="I1" t="s">
        <v>737</v>
      </c>
      <c r="J1" t="s">
        <v>738</v>
      </c>
      <c r="K1" t="s">
        <v>739</v>
      </c>
      <c r="L1" t="s">
        <v>740</v>
      </c>
      <c r="M1" t="s">
        <v>3215</v>
      </c>
      <c r="N1" t="s">
        <v>743</v>
      </c>
      <c r="O1" t="s">
        <v>744</v>
      </c>
      <c r="P1" t="s">
        <v>745</v>
      </c>
      <c r="Q1" t="s">
        <v>746</v>
      </c>
      <c r="R1" t="s">
        <v>747</v>
      </c>
      <c r="S1" t="s">
        <v>750</v>
      </c>
      <c r="T1" t="s">
        <v>751</v>
      </c>
      <c r="U1" t="s">
        <v>752</v>
      </c>
      <c r="V1" t="s">
        <v>753</v>
      </c>
      <c r="W1" t="s">
        <v>755</v>
      </c>
      <c r="X1" t="s">
        <v>756</v>
      </c>
      <c r="Y1" t="s">
        <v>758</v>
      </c>
      <c r="Z1" t="s">
        <v>3216</v>
      </c>
      <c r="AA1" t="s">
        <v>759</v>
      </c>
      <c r="AB1" t="s">
        <v>760</v>
      </c>
      <c r="AC1" t="s">
        <v>762</v>
      </c>
      <c r="AD1" t="s">
        <v>763</v>
      </c>
      <c r="AE1" t="s">
        <v>764</v>
      </c>
      <c r="AF1" t="s">
        <v>765</v>
      </c>
      <c r="AG1" t="s">
        <v>766</v>
      </c>
      <c r="AH1" t="s">
        <v>249</v>
      </c>
      <c r="AI1" t="s">
        <v>214</v>
      </c>
      <c r="AJ1" t="s">
        <v>769</v>
      </c>
      <c r="AK1" t="s">
        <v>770</v>
      </c>
      <c r="AL1" t="s">
        <v>260</v>
      </c>
      <c r="AM1" t="s">
        <v>258</v>
      </c>
      <c r="AN1" t="s">
        <v>257</v>
      </c>
      <c r="AO1" t="s">
        <v>772</v>
      </c>
      <c r="AP1" t="s">
        <v>771</v>
      </c>
      <c r="AQ1" t="s">
        <v>6</v>
      </c>
    </row>
    <row r="2" spans="1:43" x14ac:dyDescent="0.3">
      <c r="A2" t="s">
        <v>3217</v>
      </c>
      <c r="B2">
        <v>1</v>
      </c>
      <c r="C2">
        <v>73</v>
      </c>
      <c r="D2">
        <v>39</v>
      </c>
      <c r="G2" t="s">
        <v>3218</v>
      </c>
      <c r="I2" t="s">
        <v>3218</v>
      </c>
      <c r="J2" t="s">
        <v>3218</v>
      </c>
      <c r="K2" t="s">
        <v>3219</v>
      </c>
      <c r="M2" t="s">
        <v>3220</v>
      </c>
      <c r="O2" t="s">
        <v>778</v>
      </c>
      <c r="R2" t="s">
        <v>3221</v>
      </c>
      <c r="S2" t="s">
        <v>3222</v>
      </c>
      <c r="T2" t="s">
        <v>3223</v>
      </c>
      <c r="U2" t="s">
        <v>2692</v>
      </c>
      <c r="Y2" t="s">
        <v>3217</v>
      </c>
      <c r="Z2">
        <v>325</v>
      </c>
      <c r="AA2" s="31">
        <v>45604</v>
      </c>
      <c r="AB2" s="61">
        <v>0.72946759259259264</v>
      </c>
      <c r="AC2" t="s">
        <v>795</v>
      </c>
      <c r="AD2" s="31">
        <v>45929</v>
      </c>
      <c r="AE2" s="61">
        <v>0.70248842592592597</v>
      </c>
      <c r="AF2" t="s">
        <v>796</v>
      </c>
      <c r="AQ2">
        <v>1</v>
      </c>
    </row>
    <row r="3" spans="1:43" x14ac:dyDescent="0.3">
      <c r="A3" t="s">
        <v>3217</v>
      </c>
      <c r="B3">
        <v>2</v>
      </c>
      <c r="C3">
        <v>74</v>
      </c>
      <c r="D3">
        <v>41</v>
      </c>
      <c r="G3" t="s">
        <v>3224</v>
      </c>
      <c r="I3" t="s">
        <v>3225</v>
      </c>
      <c r="J3" t="s">
        <v>3225</v>
      </c>
      <c r="K3" t="s">
        <v>3226</v>
      </c>
      <c r="M3" t="s">
        <v>3227</v>
      </c>
      <c r="O3" t="s">
        <v>778</v>
      </c>
      <c r="P3" t="s">
        <v>3228</v>
      </c>
      <c r="R3" t="s">
        <v>3221</v>
      </c>
      <c r="S3" t="s">
        <v>3222</v>
      </c>
      <c r="T3" t="s">
        <v>3223</v>
      </c>
      <c r="U3" t="s">
        <v>2692</v>
      </c>
      <c r="Y3" t="s">
        <v>3217</v>
      </c>
      <c r="Z3">
        <v>325</v>
      </c>
      <c r="AA3" s="31">
        <v>45604</v>
      </c>
      <c r="AB3" s="61">
        <v>0.72946759259259264</v>
      </c>
      <c r="AC3" t="s">
        <v>795</v>
      </c>
      <c r="AD3" s="31">
        <v>45929</v>
      </c>
      <c r="AE3" s="61">
        <v>0.70251157407407405</v>
      </c>
      <c r="AF3" t="s">
        <v>796</v>
      </c>
      <c r="AQ3">
        <v>1</v>
      </c>
    </row>
    <row r="4" spans="1:43" x14ac:dyDescent="0.3">
      <c r="A4" t="s">
        <v>3217</v>
      </c>
      <c r="B4">
        <v>3</v>
      </c>
      <c r="C4">
        <v>75</v>
      </c>
      <c r="D4">
        <v>43</v>
      </c>
      <c r="G4" t="s">
        <v>3229</v>
      </c>
      <c r="I4" t="s">
        <v>3229</v>
      </c>
      <c r="J4" t="s">
        <v>3229</v>
      </c>
      <c r="K4" t="s">
        <v>3230</v>
      </c>
      <c r="M4" t="s">
        <v>3231</v>
      </c>
      <c r="O4" t="s">
        <v>778</v>
      </c>
      <c r="R4" t="s">
        <v>3221</v>
      </c>
      <c r="S4" t="s">
        <v>3222</v>
      </c>
      <c r="T4" t="s">
        <v>3223</v>
      </c>
      <c r="U4" t="s">
        <v>2692</v>
      </c>
      <c r="Y4" t="s">
        <v>3217</v>
      </c>
      <c r="Z4">
        <v>325</v>
      </c>
      <c r="AA4" s="31">
        <v>45604</v>
      </c>
      <c r="AB4" s="61">
        <v>0.72946759259259264</v>
      </c>
      <c r="AC4" t="s">
        <v>795</v>
      </c>
      <c r="AD4" s="31">
        <v>45929</v>
      </c>
      <c r="AE4" s="61">
        <v>0.70253472222222224</v>
      </c>
      <c r="AF4" t="s">
        <v>796</v>
      </c>
      <c r="AQ4">
        <v>1</v>
      </c>
    </row>
    <row r="5" spans="1:43" x14ac:dyDescent="0.3">
      <c r="A5" t="s">
        <v>3217</v>
      </c>
      <c r="B5">
        <v>4</v>
      </c>
      <c r="C5">
        <v>76</v>
      </c>
      <c r="D5">
        <v>45</v>
      </c>
      <c r="G5" t="s">
        <v>225</v>
      </c>
      <c r="I5" t="s">
        <v>225</v>
      </c>
      <c r="J5" t="s">
        <v>225</v>
      </c>
      <c r="K5" t="s">
        <v>3232</v>
      </c>
      <c r="M5" t="s">
        <v>3233</v>
      </c>
      <c r="O5" t="s">
        <v>778</v>
      </c>
      <c r="P5" t="s">
        <v>3234</v>
      </c>
      <c r="Q5" t="s">
        <v>1699</v>
      </c>
      <c r="R5" t="s">
        <v>3221</v>
      </c>
      <c r="S5" t="s">
        <v>3222</v>
      </c>
      <c r="T5" t="s">
        <v>3223</v>
      </c>
      <c r="U5" t="s">
        <v>2692</v>
      </c>
      <c r="Y5" t="s">
        <v>3217</v>
      </c>
      <c r="Z5">
        <v>325</v>
      </c>
      <c r="AA5" s="31">
        <v>45604</v>
      </c>
      <c r="AB5" s="61">
        <v>0.72946759259259264</v>
      </c>
      <c r="AC5" t="s">
        <v>795</v>
      </c>
      <c r="AD5" s="31">
        <v>45929</v>
      </c>
      <c r="AE5" s="61">
        <v>0.70255787037037032</v>
      </c>
      <c r="AF5" t="s">
        <v>796</v>
      </c>
      <c r="AQ5">
        <v>1</v>
      </c>
    </row>
    <row r="6" spans="1:43" x14ac:dyDescent="0.3">
      <c r="A6" t="s">
        <v>3217</v>
      </c>
      <c r="B6">
        <v>5</v>
      </c>
      <c r="C6">
        <v>77</v>
      </c>
      <c r="D6">
        <v>47</v>
      </c>
      <c r="G6" t="s">
        <v>3235</v>
      </c>
      <c r="I6" t="s">
        <v>3235</v>
      </c>
      <c r="J6" t="s">
        <v>3235</v>
      </c>
      <c r="K6" t="s">
        <v>3236</v>
      </c>
      <c r="M6" t="s">
        <v>3237</v>
      </c>
      <c r="O6" t="s">
        <v>778</v>
      </c>
      <c r="R6" t="s">
        <v>3221</v>
      </c>
      <c r="S6" t="s">
        <v>3222</v>
      </c>
      <c r="T6" t="s">
        <v>3223</v>
      </c>
      <c r="U6" t="s">
        <v>2692</v>
      </c>
      <c r="Y6" t="s">
        <v>3217</v>
      </c>
      <c r="Z6">
        <v>325</v>
      </c>
      <c r="AA6" s="31">
        <v>45604</v>
      </c>
      <c r="AB6" s="61">
        <v>0.72946759259259264</v>
      </c>
      <c r="AC6" t="s">
        <v>795</v>
      </c>
      <c r="AD6" s="31">
        <v>45929</v>
      </c>
      <c r="AE6" s="61">
        <v>0.70258101851851851</v>
      </c>
      <c r="AF6" t="s">
        <v>796</v>
      </c>
      <c r="AQ6">
        <v>1</v>
      </c>
    </row>
    <row r="7" spans="1:43" x14ac:dyDescent="0.3">
      <c r="A7" t="s">
        <v>3217</v>
      </c>
      <c r="B7">
        <v>6</v>
      </c>
      <c r="C7">
        <v>78</v>
      </c>
      <c r="D7">
        <v>49</v>
      </c>
      <c r="G7" t="s">
        <v>3238</v>
      </c>
      <c r="I7" t="s">
        <v>3239</v>
      </c>
      <c r="J7" t="s">
        <v>3239</v>
      </c>
      <c r="K7" t="s">
        <v>3240</v>
      </c>
      <c r="M7" t="s">
        <v>3241</v>
      </c>
      <c r="O7" t="s">
        <v>778</v>
      </c>
      <c r="R7" t="s">
        <v>3221</v>
      </c>
      <c r="S7" t="s">
        <v>3222</v>
      </c>
      <c r="T7" t="s">
        <v>3223</v>
      </c>
      <c r="U7" t="s">
        <v>2692</v>
      </c>
      <c r="Y7" t="s">
        <v>3217</v>
      </c>
      <c r="Z7">
        <v>325</v>
      </c>
      <c r="AA7" s="31">
        <v>45604</v>
      </c>
      <c r="AB7" s="61">
        <v>0.72946759259259264</v>
      </c>
      <c r="AC7" t="s">
        <v>795</v>
      </c>
      <c r="AD7" s="31">
        <v>45929</v>
      </c>
      <c r="AE7" s="61">
        <v>0.70261574074074074</v>
      </c>
      <c r="AF7" t="s">
        <v>796</v>
      </c>
      <c r="AQ7">
        <v>1</v>
      </c>
    </row>
    <row r="8" spans="1:43" x14ac:dyDescent="0.3">
      <c r="A8" t="s">
        <v>3217</v>
      </c>
      <c r="B8">
        <v>7</v>
      </c>
      <c r="C8">
        <v>79</v>
      </c>
      <c r="D8">
        <v>51</v>
      </c>
      <c r="G8" t="s">
        <v>3242</v>
      </c>
      <c r="I8" t="s">
        <v>3243</v>
      </c>
      <c r="J8" t="s">
        <v>3243</v>
      </c>
      <c r="K8" t="s">
        <v>2601</v>
      </c>
      <c r="M8" t="s">
        <v>2602</v>
      </c>
      <c r="O8" t="s">
        <v>778</v>
      </c>
      <c r="P8" t="s">
        <v>3244</v>
      </c>
      <c r="R8" t="s">
        <v>3221</v>
      </c>
      <c r="S8" t="s">
        <v>3222</v>
      </c>
      <c r="T8" t="s">
        <v>3223</v>
      </c>
      <c r="U8" t="s">
        <v>2692</v>
      </c>
      <c r="Y8" t="s">
        <v>3217</v>
      </c>
      <c r="Z8">
        <v>325</v>
      </c>
      <c r="AA8" s="31">
        <v>45604</v>
      </c>
      <c r="AB8" s="61">
        <v>0.72946759259259264</v>
      </c>
      <c r="AC8" t="s">
        <v>795</v>
      </c>
      <c r="AD8" s="31">
        <v>45929</v>
      </c>
      <c r="AE8" s="61">
        <v>0.70262731481481477</v>
      </c>
      <c r="AF8" t="s">
        <v>796</v>
      </c>
      <c r="AQ8">
        <v>1</v>
      </c>
    </row>
    <row r="9" spans="1:43" x14ac:dyDescent="0.3">
      <c r="A9" t="s">
        <v>3217</v>
      </c>
      <c r="B9">
        <v>8</v>
      </c>
      <c r="C9">
        <v>80</v>
      </c>
      <c r="D9">
        <v>53</v>
      </c>
      <c r="G9" t="s">
        <v>3245</v>
      </c>
      <c r="I9" t="s">
        <v>3245</v>
      </c>
      <c r="J9" t="s">
        <v>3245</v>
      </c>
      <c r="K9" t="s">
        <v>3246</v>
      </c>
      <c r="M9" t="s">
        <v>3247</v>
      </c>
      <c r="O9" t="s">
        <v>778</v>
      </c>
      <c r="R9" t="s">
        <v>3221</v>
      </c>
      <c r="S9" t="s">
        <v>3222</v>
      </c>
      <c r="T9" t="s">
        <v>3223</v>
      </c>
      <c r="U9" t="s">
        <v>2692</v>
      </c>
      <c r="Y9" t="s">
        <v>3217</v>
      </c>
      <c r="Z9">
        <v>325</v>
      </c>
      <c r="AA9" s="31">
        <v>45604</v>
      </c>
      <c r="AB9" s="61">
        <v>0.72946759259259264</v>
      </c>
      <c r="AC9" t="s">
        <v>795</v>
      </c>
      <c r="AD9" s="31">
        <v>45929</v>
      </c>
      <c r="AE9" s="61">
        <v>0.70267361111111115</v>
      </c>
      <c r="AF9" t="s">
        <v>796</v>
      </c>
      <c r="AQ9">
        <v>1</v>
      </c>
    </row>
    <row r="10" spans="1:43" x14ac:dyDescent="0.3">
      <c r="A10" t="s">
        <v>3217</v>
      </c>
      <c r="B10">
        <v>9</v>
      </c>
      <c r="C10">
        <v>81</v>
      </c>
      <c r="D10">
        <v>55</v>
      </c>
      <c r="G10" t="s">
        <v>3248</v>
      </c>
      <c r="I10" t="s">
        <v>3248</v>
      </c>
      <c r="J10" t="s">
        <v>3248</v>
      </c>
      <c r="K10" t="s">
        <v>3249</v>
      </c>
      <c r="M10" t="s">
        <v>3250</v>
      </c>
      <c r="O10" t="s">
        <v>778</v>
      </c>
      <c r="R10" t="s">
        <v>3221</v>
      </c>
      <c r="S10" t="s">
        <v>3222</v>
      </c>
      <c r="T10" t="s">
        <v>3223</v>
      </c>
      <c r="U10" t="s">
        <v>2692</v>
      </c>
      <c r="Y10" t="s">
        <v>3217</v>
      </c>
      <c r="Z10">
        <v>325</v>
      </c>
      <c r="AA10" s="31">
        <v>45604</v>
      </c>
      <c r="AB10" s="61">
        <v>0.72947916666666668</v>
      </c>
      <c r="AC10" t="s">
        <v>795</v>
      </c>
      <c r="AD10" s="31">
        <v>45929</v>
      </c>
      <c r="AE10" s="61">
        <v>0.70270833333333338</v>
      </c>
      <c r="AF10" t="s">
        <v>796</v>
      </c>
      <c r="AQ10">
        <v>1</v>
      </c>
    </row>
    <row r="11" spans="1:43" x14ac:dyDescent="0.3">
      <c r="A11" t="s">
        <v>3217</v>
      </c>
      <c r="B11">
        <v>10</v>
      </c>
      <c r="C11">
        <v>82</v>
      </c>
      <c r="D11">
        <v>57</v>
      </c>
      <c r="G11" t="s">
        <v>3251</v>
      </c>
      <c r="I11" t="s">
        <v>3251</v>
      </c>
      <c r="J11" t="s">
        <v>3251</v>
      </c>
      <c r="K11" t="s">
        <v>3252</v>
      </c>
      <c r="M11" t="s">
        <v>3253</v>
      </c>
      <c r="O11" t="s">
        <v>778</v>
      </c>
      <c r="P11" t="s">
        <v>923</v>
      </c>
      <c r="R11" t="s">
        <v>3221</v>
      </c>
      <c r="S11" t="s">
        <v>3222</v>
      </c>
      <c r="T11" t="s">
        <v>3223</v>
      </c>
      <c r="U11" t="s">
        <v>2692</v>
      </c>
      <c r="Y11" t="s">
        <v>3217</v>
      </c>
      <c r="Z11">
        <v>325</v>
      </c>
      <c r="AA11" s="31">
        <v>45604</v>
      </c>
      <c r="AB11" s="61">
        <v>0.72947916666666668</v>
      </c>
      <c r="AC11" t="s">
        <v>795</v>
      </c>
      <c r="AD11" s="31">
        <v>45929</v>
      </c>
      <c r="AE11" s="61">
        <v>0.70271990740740742</v>
      </c>
      <c r="AF11" t="s">
        <v>796</v>
      </c>
      <c r="AQ11">
        <v>1</v>
      </c>
    </row>
    <row r="12" spans="1:43" x14ac:dyDescent="0.3">
      <c r="A12" t="s">
        <v>3217</v>
      </c>
      <c r="B12">
        <v>11</v>
      </c>
      <c r="C12">
        <v>83</v>
      </c>
      <c r="D12">
        <v>59</v>
      </c>
      <c r="G12" t="s">
        <v>3254</v>
      </c>
      <c r="I12" t="s">
        <v>3255</v>
      </c>
      <c r="J12" t="s">
        <v>3255</v>
      </c>
      <c r="M12" t="s">
        <v>3256</v>
      </c>
      <c r="O12" t="s">
        <v>778</v>
      </c>
      <c r="P12" t="s">
        <v>3257</v>
      </c>
      <c r="R12" t="s">
        <v>3221</v>
      </c>
      <c r="S12" t="s">
        <v>3222</v>
      </c>
      <c r="T12" t="s">
        <v>3223</v>
      </c>
      <c r="U12" t="s">
        <v>2692</v>
      </c>
      <c r="Y12" t="s">
        <v>3217</v>
      </c>
      <c r="Z12">
        <v>325</v>
      </c>
      <c r="AA12" s="31">
        <v>45604</v>
      </c>
      <c r="AB12" s="61">
        <v>0.72947916666666668</v>
      </c>
      <c r="AC12" t="s">
        <v>795</v>
      </c>
      <c r="AD12" s="31">
        <v>45929</v>
      </c>
      <c r="AE12" s="61">
        <v>0.70274305555555561</v>
      </c>
      <c r="AF12" t="s">
        <v>796</v>
      </c>
      <c r="AQ12">
        <v>1</v>
      </c>
    </row>
    <row r="13" spans="1:43" x14ac:dyDescent="0.3">
      <c r="A13" t="s">
        <v>3217</v>
      </c>
      <c r="B13">
        <v>12</v>
      </c>
      <c r="C13">
        <v>84</v>
      </c>
      <c r="D13">
        <v>61</v>
      </c>
      <c r="G13" t="s">
        <v>3258</v>
      </c>
      <c r="I13" t="s">
        <v>3258</v>
      </c>
      <c r="J13" t="s">
        <v>3258</v>
      </c>
      <c r="K13" t="s">
        <v>3259</v>
      </c>
      <c r="M13" t="s">
        <v>3260</v>
      </c>
      <c r="O13" t="s">
        <v>778</v>
      </c>
      <c r="R13" t="s">
        <v>3221</v>
      </c>
      <c r="S13" t="s">
        <v>3222</v>
      </c>
      <c r="T13" t="s">
        <v>3223</v>
      </c>
      <c r="U13" t="s">
        <v>2692</v>
      </c>
      <c r="Y13" t="s">
        <v>3217</v>
      </c>
      <c r="Z13">
        <v>325</v>
      </c>
      <c r="AA13" s="31">
        <v>45604</v>
      </c>
      <c r="AB13" s="61">
        <v>0.72947916666666668</v>
      </c>
      <c r="AC13" t="s">
        <v>795</v>
      </c>
      <c r="AD13" s="31">
        <v>45929</v>
      </c>
      <c r="AE13" s="61">
        <v>0.70277777777777772</v>
      </c>
      <c r="AF13" t="s">
        <v>796</v>
      </c>
      <c r="AQ13">
        <v>1</v>
      </c>
    </row>
    <row r="14" spans="1:43" x14ac:dyDescent="0.3">
      <c r="A14" t="s">
        <v>3217</v>
      </c>
      <c r="B14">
        <v>13</v>
      </c>
      <c r="C14">
        <v>85</v>
      </c>
      <c r="D14">
        <v>63</v>
      </c>
      <c r="G14" t="s">
        <v>605</v>
      </c>
      <c r="I14" t="s">
        <v>3261</v>
      </c>
      <c r="J14" t="s">
        <v>3261</v>
      </c>
      <c r="K14" t="s">
        <v>3262</v>
      </c>
      <c r="M14" t="s">
        <v>3263</v>
      </c>
      <c r="O14" t="s">
        <v>778</v>
      </c>
      <c r="P14" t="s">
        <v>3264</v>
      </c>
      <c r="R14" t="s">
        <v>3221</v>
      </c>
      <c r="S14" t="s">
        <v>3222</v>
      </c>
      <c r="T14" t="s">
        <v>3223</v>
      </c>
      <c r="U14" t="s">
        <v>2692</v>
      </c>
      <c r="Y14" t="s">
        <v>3217</v>
      </c>
      <c r="Z14">
        <v>325</v>
      </c>
      <c r="AA14" s="31">
        <v>45604</v>
      </c>
      <c r="AB14" s="61">
        <v>0.72947916666666668</v>
      </c>
      <c r="AC14" t="s">
        <v>795</v>
      </c>
      <c r="AD14" s="31">
        <v>45929</v>
      </c>
      <c r="AE14" s="61">
        <v>0.70281249999999995</v>
      </c>
      <c r="AF14" t="s">
        <v>796</v>
      </c>
      <c r="AQ14">
        <v>1</v>
      </c>
    </row>
    <row r="15" spans="1:43" x14ac:dyDescent="0.3">
      <c r="A15" t="s">
        <v>3217</v>
      </c>
      <c r="B15">
        <v>14</v>
      </c>
      <c r="C15">
        <v>86</v>
      </c>
      <c r="D15">
        <v>65</v>
      </c>
      <c r="G15" t="s">
        <v>3265</v>
      </c>
      <c r="I15" t="s">
        <v>3265</v>
      </c>
      <c r="J15" t="s">
        <v>3265</v>
      </c>
      <c r="K15" t="s">
        <v>3266</v>
      </c>
      <c r="M15" t="s">
        <v>3267</v>
      </c>
      <c r="O15" t="s">
        <v>778</v>
      </c>
      <c r="P15" t="s">
        <v>3268</v>
      </c>
      <c r="R15" t="s">
        <v>3221</v>
      </c>
      <c r="S15" t="s">
        <v>3222</v>
      </c>
      <c r="T15" t="s">
        <v>3223</v>
      </c>
      <c r="U15" t="s">
        <v>2692</v>
      </c>
      <c r="Y15" t="s">
        <v>3217</v>
      </c>
      <c r="Z15">
        <v>325</v>
      </c>
      <c r="AA15" s="31">
        <v>45604</v>
      </c>
      <c r="AB15" s="61">
        <v>0.72947916666666668</v>
      </c>
      <c r="AC15" t="s">
        <v>795</v>
      </c>
      <c r="AD15" s="31">
        <v>45929</v>
      </c>
      <c r="AE15" s="61">
        <v>0.70285879629629633</v>
      </c>
      <c r="AF15" t="s">
        <v>796</v>
      </c>
      <c r="AQ15">
        <v>1</v>
      </c>
    </row>
    <row r="16" spans="1:43" x14ac:dyDescent="0.3">
      <c r="A16" t="s">
        <v>3217</v>
      </c>
      <c r="B16">
        <v>15</v>
      </c>
      <c r="C16">
        <v>87</v>
      </c>
      <c r="D16">
        <v>67</v>
      </c>
      <c r="G16" t="s">
        <v>3269</v>
      </c>
      <c r="I16" t="s">
        <v>3269</v>
      </c>
      <c r="J16" t="s">
        <v>3269</v>
      </c>
      <c r="K16" t="s">
        <v>3270</v>
      </c>
      <c r="M16" t="s">
        <v>3271</v>
      </c>
      <c r="O16" t="s">
        <v>778</v>
      </c>
      <c r="R16" t="s">
        <v>3221</v>
      </c>
      <c r="S16" t="s">
        <v>3222</v>
      </c>
      <c r="T16" t="s">
        <v>3223</v>
      </c>
      <c r="U16" t="s">
        <v>2692</v>
      </c>
      <c r="Y16" t="s">
        <v>3217</v>
      </c>
      <c r="Z16">
        <v>325</v>
      </c>
      <c r="AA16" s="31">
        <v>45604</v>
      </c>
      <c r="AB16" s="61">
        <v>0.72947916666666668</v>
      </c>
      <c r="AC16" t="s">
        <v>795</v>
      </c>
      <c r="AD16" s="31">
        <v>45929</v>
      </c>
      <c r="AE16" s="61">
        <v>0.70288194444444441</v>
      </c>
      <c r="AF16" t="s">
        <v>796</v>
      </c>
      <c r="AQ16">
        <v>1</v>
      </c>
    </row>
    <row r="17" spans="1:43" x14ac:dyDescent="0.3">
      <c r="A17" t="s">
        <v>3217</v>
      </c>
      <c r="B17">
        <v>16</v>
      </c>
      <c r="C17">
        <v>88</v>
      </c>
      <c r="D17">
        <v>69</v>
      </c>
      <c r="G17" t="s">
        <v>660</v>
      </c>
      <c r="I17" t="s">
        <v>660</v>
      </c>
      <c r="J17" t="s">
        <v>660</v>
      </c>
      <c r="K17" t="s">
        <v>3272</v>
      </c>
      <c r="M17" t="s">
        <v>3273</v>
      </c>
      <c r="O17" t="s">
        <v>778</v>
      </c>
      <c r="P17" t="s">
        <v>3274</v>
      </c>
      <c r="Q17" t="s">
        <v>932</v>
      </c>
      <c r="R17" t="s">
        <v>3221</v>
      </c>
      <c r="S17" t="s">
        <v>3222</v>
      </c>
      <c r="T17" t="s">
        <v>3223</v>
      </c>
      <c r="U17" t="s">
        <v>2692</v>
      </c>
      <c r="W17">
        <v>0</v>
      </c>
      <c r="X17">
        <v>0</v>
      </c>
      <c r="Y17" t="s">
        <v>3217</v>
      </c>
      <c r="Z17">
        <v>325</v>
      </c>
      <c r="AA17" s="31">
        <v>45604</v>
      </c>
      <c r="AB17" s="61">
        <v>0.72947916666666668</v>
      </c>
      <c r="AC17" t="s">
        <v>795</v>
      </c>
      <c r="AD17" s="31">
        <v>45929</v>
      </c>
      <c r="AE17" s="61">
        <v>0.70248842592592597</v>
      </c>
      <c r="AF17" t="s">
        <v>796</v>
      </c>
      <c r="AQ17">
        <v>1</v>
      </c>
    </row>
    <row r="18" spans="1:43" x14ac:dyDescent="0.3">
      <c r="A18" t="s">
        <v>3217</v>
      </c>
      <c r="B18">
        <v>17</v>
      </c>
      <c r="C18">
        <v>89</v>
      </c>
      <c r="D18">
        <v>71</v>
      </c>
      <c r="G18" t="s">
        <v>3275</v>
      </c>
      <c r="I18" t="s">
        <v>3275</v>
      </c>
      <c r="J18" t="s">
        <v>3275</v>
      </c>
      <c r="K18" t="s">
        <v>3276</v>
      </c>
      <c r="M18" t="s">
        <v>3277</v>
      </c>
      <c r="O18" t="s">
        <v>778</v>
      </c>
      <c r="R18" t="s">
        <v>3221</v>
      </c>
      <c r="S18" t="s">
        <v>3222</v>
      </c>
      <c r="T18" t="s">
        <v>3223</v>
      </c>
      <c r="U18" t="s">
        <v>2692</v>
      </c>
      <c r="Y18" t="s">
        <v>3217</v>
      </c>
      <c r="Z18">
        <v>325</v>
      </c>
      <c r="AA18" s="31">
        <v>45604</v>
      </c>
      <c r="AB18" s="61">
        <v>0.72947916666666668</v>
      </c>
      <c r="AC18" t="s">
        <v>795</v>
      </c>
      <c r="AD18" s="31">
        <v>45929</v>
      </c>
      <c r="AE18" s="61">
        <v>0.70251157407407405</v>
      </c>
      <c r="AF18" t="s">
        <v>796</v>
      </c>
      <c r="AQ18">
        <v>1</v>
      </c>
    </row>
    <row r="19" spans="1:43" x14ac:dyDescent="0.3">
      <c r="A19" t="s">
        <v>3217</v>
      </c>
      <c r="B19">
        <v>18</v>
      </c>
      <c r="C19">
        <v>90</v>
      </c>
      <c r="D19">
        <v>73</v>
      </c>
      <c r="G19" t="s">
        <v>3278</v>
      </c>
      <c r="I19" t="s">
        <v>3278</v>
      </c>
      <c r="J19" t="s">
        <v>3278</v>
      </c>
      <c r="M19" t="s">
        <v>3279</v>
      </c>
      <c r="O19" t="s">
        <v>778</v>
      </c>
      <c r="R19" t="s">
        <v>3221</v>
      </c>
      <c r="S19" t="s">
        <v>3222</v>
      </c>
      <c r="T19" t="s">
        <v>3223</v>
      </c>
      <c r="U19" t="s">
        <v>2692</v>
      </c>
      <c r="Y19" t="s">
        <v>3217</v>
      </c>
      <c r="Z19">
        <v>325</v>
      </c>
      <c r="AA19" s="31">
        <v>45604</v>
      </c>
      <c r="AB19" s="61">
        <v>0.72947916666666668</v>
      </c>
      <c r="AC19" t="s">
        <v>795</v>
      </c>
      <c r="AD19" s="31">
        <v>45929</v>
      </c>
      <c r="AE19" s="61">
        <v>0.70254629629629628</v>
      </c>
      <c r="AF19" t="s">
        <v>796</v>
      </c>
      <c r="AQ19">
        <v>1</v>
      </c>
    </row>
    <row r="20" spans="1:43" x14ac:dyDescent="0.3">
      <c r="A20" t="s">
        <v>3217</v>
      </c>
      <c r="B20">
        <v>19</v>
      </c>
      <c r="C20">
        <v>91</v>
      </c>
      <c r="D20">
        <v>75</v>
      </c>
      <c r="G20" t="s">
        <v>3280</v>
      </c>
      <c r="I20" t="s">
        <v>3280</v>
      </c>
      <c r="J20" t="s">
        <v>3280</v>
      </c>
      <c r="M20" t="s">
        <v>3281</v>
      </c>
      <c r="O20" t="s">
        <v>778</v>
      </c>
      <c r="R20" t="s">
        <v>3221</v>
      </c>
      <c r="S20" t="s">
        <v>3222</v>
      </c>
      <c r="T20" t="s">
        <v>3223</v>
      </c>
      <c r="U20" t="s">
        <v>2692</v>
      </c>
      <c r="Y20" t="s">
        <v>3217</v>
      </c>
      <c r="Z20">
        <v>325</v>
      </c>
      <c r="AA20" s="31">
        <v>45604</v>
      </c>
      <c r="AB20" s="61">
        <v>0.72947916666666668</v>
      </c>
      <c r="AC20" t="s">
        <v>795</v>
      </c>
      <c r="AD20" s="31">
        <v>45929</v>
      </c>
      <c r="AE20" s="61">
        <v>0.70256944444444447</v>
      </c>
      <c r="AF20" t="s">
        <v>796</v>
      </c>
      <c r="AQ20">
        <v>1</v>
      </c>
    </row>
    <row r="21" spans="1:43" x14ac:dyDescent="0.3">
      <c r="A21" t="s">
        <v>3217</v>
      </c>
      <c r="B21">
        <v>20</v>
      </c>
      <c r="C21">
        <v>92</v>
      </c>
      <c r="D21">
        <v>77</v>
      </c>
      <c r="G21" t="s">
        <v>3282</v>
      </c>
      <c r="I21" t="s">
        <v>3282</v>
      </c>
      <c r="J21" t="s">
        <v>3282</v>
      </c>
      <c r="K21" t="s">
        <v>3283</v>
      </c>
      <c r="M21" t="s">
        <v>3284</v>
      </c>
      <c r="O21" t="s">
        <v>778</v>
      </c>
      <c r="R21" t="s">
        <v>3221</v>
      </c>
      <c r="S21" t="s">
        <v>3222</v>
      </c>
      <c r="T21" t="s">
        <v>3223</v>
      </c>
      <c r="U21" t="s">
        <v>2692</v>
      </c>
      <c r="Y21" t="s">
        <v>3217</v>
      </c>
      <c r="Z21">
        <v>325</v>
      </c>
      <c r="AA21" s="31">
        <v>45604</v>
      </c>
      <c r="AB21" s="61">
        <v>0.72947916666666668</v>
      </c>
      <c r="AC21" t="s">
        <v>795</v>
      </c>
      <c r="AD21" s="31">
        <v>45929</v>
      </c>
      <c r="AE21" s="61">
        <v>0.70259259259259255</v>
      </c>
      <c r="AF21" t="s">
        <v>796</v>
      </c>
      <c r="AQ21">
        <v>1</v>
      </c>
    </row>
    <row r="22" spans="1:43" x14ac:dyDescent="0.3">
      <c r="A22" t="s">
        <v>3217</v>
      </c>
      <c r="B22">
        <v>21</v>
      </c>
      <c r="C22">
        <v>93</v>
      </c>
      <c r="D22">
        <v>79</v>
      </c>
      <c r="G22" t="s">
        <v>3285</v>
      </c>
      <c r="I22" t="s">
        <v>3285</v>
      </c>
      <c r="J22" t="s">
        <v>3285</v>
      </c>
      <c r="M22" t="s">
        <v>3286</v>
      </c>
      <c r="O22" t="s">
        <v>778</v>
      </c>
      <c r="R22" t="s">
        <v>3221</v>
      </c>
      <c r="S22" t="s">
        <v>3222</v>
      </c>
      <c r="T22" t="s">
        <v>3223</v>
      </c>
      <c r="U22" t="s">
        <v>2692</v>
      </c>
      <c r="Y22" t="s">
        <v>3217</v>
      </c>
      <c r="Z22">
        <v>325</v>
      </c>
      <c r="AA22" s="31">
        <v>45604</v>
      </c>
      <c r="AB22" s="61">
        <v>0.72947916666666668</v>
      </c>
      <c r="AC22" t="s">
        <v>795</v>
      </c>
      <c r="AD22" s="31">
        <v>45929</v>
      </c>
      <c r="AE22" s="61">
        <v>0.70261574074074074</v>
      </c>
      <c r="AF22" t="s">
        <v>796</v>
      </c>
      <c r="AQ22">
        <v>1</v>
      </c>
    </row>
    <row r="23" spans="1:43" x14ac:dyDescent="0.3">
      <c r="A23" t="s">
        <v>3217</v>
      </c>
      <c r="B23">
        <v>22</v>
      </c>
      <c r="C23">
        <v>94</v>
      </c>
      <c r="D23">
        <v>81</v>
      </c>
      <c r="G23" t="s">
        <v>1233</v>
      </c>
      <c r="I23" t="s">
        <v>1233</v>
      </c>
      <c r="J23" t="s">
        <v>1233</v>
      </c>
      <c r="K23" t="s">
        <v>3287</v>
      </c>
      <c r="M23" t="s">
        <v>3288</v>
      </c>
      <c r="O23" t="s">
        <v>778</v>
      </c>
      <c r="R23" t="s">
        <v>3221</v>
      </c>
      <c r="S23" t="s">
        <v>3222</v>
      </c>
      <c r="T23" t="s">
        <v>3223</v>
      </c>
      <c r="U23" t="s">
        <v>2692</v>
      </c>
      <c r="Y23" t="s">
        <v>3217</v>
      </c>
      <c r="Z23">
        <v>325</v>
      </c>
      <c r="AA23" s="31">
        <v>45604</v>
      </c>
      <c r="AB23" s="61">
        <v>0.72947916666666668</v>
      </c>
      <c r="AC23" t="s">
        <v>795</v>
      </c>
      <c r="AD23" s="31">
        <v>45929</v>
      </c>
      <c r="AE23" s="61">
        <v>0.70265046296296296</v>
      </c>
      <c r="AF23" t="s">
        <v>796</v>
      </c>
      <c r="AQ23">
        <v>1</v>
      </c>
    </row>
    <row r="24" spans="1:43" x14ac:dyDescent="0.3">
      <c r="A24" t="s">
        <v>3217</v>
      </c>
      <c r="B24">
        <v>23</v>
      </c>
      <c r="C24">
        <v>95</v>
      </c>
      <c r="D24">
        <v>83</v>
      </c>
      <c r="G24" t="s">
        <v>3289</v>
      </c>
      <c r="I24" t="s">
        <v>3289</v>
      </c>
      <c r="J24" t="s">
        <v>3289</v>
      </c>
      <c r="M24" t="s">
        <v>3290</v>
      </c>
      <c r="O24" t="s">
        <v>778</v>
      </c>
      <c r="R24" t="s">
        <v>3221</v>
      </c>
      <c r="S24" t="s">
        <v>3222</v>
      </c>
      <c r="T24" t="s">
        <v>3223</v>
      </c>
      <c r="U24" t="s">
        <v>2692</v>
      </c>
      <c r="Y24" t="s">
        <v>3217</v>
      </c>
      <c r="Z24">
        <v>325</v>
      </c>
      <c r="AA24" s="31">
        <v>45604</v>
      </c>
      <c r="AB24" s="61">
        <v>0.72947916666666668</v>
      </c>
      <c r="AC24" t="s">
        <v>795</v>
      </c>
      <c r="AD24" s="31">
        <v>45929</v>
      </c>
      <c r="AE24" s="61">
        <v>0.702662037037037</v>
      </c>
      <c r="AF24" t="s">
        <v>796</v>
      </c>
      <c r="AQ24">
        <v>1</v>
      </c>
    </row>
    <row r="25" spans="1:43" x14ac:dyDescent="0.3">
      <c r="A25" t="s">
        <v>3217</v>
      </c>
      <c r="B25">
        <v>24</v>
      </c>
      <c r="C25">
        <v>96</v>
      </c>
      <c r="D25">
        <v>85</v>
      </c>
      <c r="G25" t="s">
        <v>3291</v>
      </c>
      <c r="I25" t="s">
        <v>3291</v>
      </c>
      <c r="J25" t="s">
        <v>3291</v>
      </c>
      <c r="K25" t="s">
        <v>3292</v>
      </c>
      <c r="M25" t="s">
        <v>3293</v>
      </c>
      <c r="O25" t="s">
        <v>778</v>
      </c>
      <c r="R25" t="s">
        <v>3221</v>
      </c>
      <c r="S25" t="s">
        <v>3222</v>
      </c>
      <c r="T25" t="s">
        <v>3223</v>
      </c>
      <c r="U25" t="s">
        <v>2692</v>
      </c>
      <c r="Y25" t="s">
        <v>3217</v>
      </c>
      <c r="Z25">
        <v>325</v>
      </c>
      <c r="AA25" s="31">
        <v>45604</v>
      </c>
      <c r="AB25" s="61">
        <v>0.72947916666666668</v>
      </c>
      <c r="AC25" t="s">
        <v>795</v>
      </c>
      <c r="AD25" s="31">
        <v>45929</v>
      </c>
      <c r="AE25" s="61">
        <v>0.70269675925925923</v>
      </c>
      <c r="AF25" t="s">
        <v>796</v>
      </c>
      <c r="AQ25">
        <v>1</v>
      </c>
    </row>
    <row r="26" spans="1:43" x14ac:dyDescent="0.3">
      <c r="A26" t="s">
        <v>3217</v>
      </c>
      <c r="B26">
        <v>25</v>
      </c>
      <c r="C26">
        <v>97</v>
      </c>
      <c r="D26">
        <v>87</v>
      </c>
      <c r="G26" t="s">
        <v>669</v>
      </c>
      <c r="H26">
        <v>22500484000170</v>
      </c>
      <c r="I26" t="s">
        <v>669</v>
      </c>
      <c r="J26" t="s">
        <v>669</v>
      </c>
      <c r="M26" t="s">
        <v>3294</v>
      </c>
      <c r="O26" t="s">
        <v>778</v>
      </c>
      <c r="R26" t="s">
        <v>3221</v>
      </c>
      <c r="S26" t="s">
        <v>3222</v>
      </c>
      <c r="T26" t="s">
        <v>3223</v>
      </c>
      <c r="U26" t="s">
        <v>2692</v>
      </c>
      <c r="Y26" t="s">
        <v>3217</v>
      </c>
      <c r="Z26">
        <v>325</v>
      </c>
      <c r="AA26" s="31">
        <v>45604</v>
      </c>
      <c r="AB26" s="61">
        <v>0.72947916666666668</v>
      </c>
      <c r="AC26" t="s">
        <v>795</v>
      </c>
      <c r="AD26" s="31">
        <v>45929</v>
      </c>
      <c r="AE26" s="61">
        <v>0.70271990740740742</v>
      </c>
      <c r="AF26" t="s">
        <v>796</v>
      </c>
      <c r="AQ26">
        <v>1</v>
      </c>
    </row>
    <row r="27" spans="1:43" x14ac:dyDescent="0.3">
      <c r="A27" t="s">
        <v>3217</v>
      </c>
      <c r="B27">
        <v>26</v>
      </c>
      <c r="C27">
        <v>98</v>
      </c>
      <c r="D27">
        <v>89</v>
      </c>
      <c r="G27" t="s">
        <v>604</v>
      </c>
      <c r="I27" t="s">
        <v>604</v>
      </c>
      <c r="J27" t="s">
        <v>604</v>
      </c>
      <c r="M27" t="s">
        <v>3295</v>
      </c>
      <c r="O27" t="s">
        <v>778</v>
      </c>
      <c r="R27" t="s">
        <v>3221</v>
      </c>
      <c r="S27" t="s">
        <v>3222</v>
      </c>
      <c r="T27" t="s">
        <v>3223</v>
      </c>
      <c r="U27" t="s">
        <v>2692</v>
      </c>
      <c r="Y27" t="s">
        <v>3217</v>
      </c>
      <c r="Z27">
        <v>325</v>
      </c>
      <c r="AA27" s="31">
        <v>45604</v>
      </c>
      <c r="AB27" s="61">
        <v>0.72949074074074072</v>
      </c>
      <c r="AC27" t="s">
        <v>795</v>
      </c>
      <c r="AD27" s="31">
        <v>45929</v>
      </c>
      <c r="AE27" s="61">
        <v>0.70274305555555561</v>
      </c>
      <c r="AF27" t="s">
        <v>796</v>
      </c>
      <c r="AQ27">
        <v>1</v>
      </c>
    </row>
    <row r="28" spans="1:43" x14ac:dyDescent="0.3">
      <c r="A28" t="s">
        <v>3217</v>
      </c>
      <c r="B28">
        <v>27</v>
      </c>
      <c r="C28">
        <v>99</v>
      </c>
      <c r="D28">
        <v>91</v>
      </c>
      <c r="G28" t="s">
        <v>3296</v>
      </c>
      <c r="I28" t="s">
        <v>3296</v>
      </c>
      <c r="J28" t="s">
        <v>3296</v>
      </c>
      <c r="K28" t="s">
        <v>3297</v>
      </c>
      <c r="M28" t="s">
        <v>3298</v>
      </c>
      <c r="O28" t="s">
        <v>778</v>
      </c>
      <c r="P28" t="s">
        <v>3299</v>
      </c>
      <c r="Q28" t="s">
        <v>1699</v>
      </c>
      <c r="R28" t="s">
        <v>3221</v>
      </c>
      <c r="S28" t="s">
        <v>3222</v>
      </c>
      <c r="T28" t="s">
        <v>3223</v>
      </c>
      <c r="U28" t="s">
        <v>2692</v>
      </c>
      <c r="Y28" t="s">
        <v>3217</v>
      </c>
      <c r="Z28">
        <v>325</v>
      </c>
      <c r="AA28" s="31">
        <v>45604</v>
      </c>
      <c r="AB28" s="61">
        <v>0.72949074074074072</v>
      </c>
      <c r="AC28" t="s">
        <v>795</v>
      </c>
      <c r="AD28" s="31">
        <v>45929</v>
      </c>
      <c r="AE28" s="61">
        <v>0.70277777777777772</v>
      </c>
      <c r="AF28" t="s">
        <v>796</v>
      </c>
      <c r="AQ28">
        <v>1</v>
      </c>
    </row>
    <row r="29" spans="1:43" x14ac:dyDescent="0.3">
      <c r="A29" t="s">
        <v>3217</v>
      </c>
      <c r="B29">
        <v>28</v>
      </c>
      <c r="C29">
        <v>100</v>
      </c>
      <c r="D29">
        <v>93</v>
      </c>
      <c r="G29" t="s">
        <v>3300</v>
      </c>
      <c r="I29" t="s">
        <v>3300</v>
      </c>
      <c r="J29" t="s">
        <v>3300</v>
      </c>
      <c r="K29" t="s">
        <v>3301</v>
      </c>
      <c r="M29" t="s">
        <v>3302</v>
      </c>
      <c r="O29" t="s">
        <v>778</v>
      </c>
      <c r="P29" t="s">
        <v>923</v>
      </c>
      <c r="Q29" t="s">
        <v>790</v>
      </c>
      <c r="R29" t="s">
        <v>3221</v>
      </c>
      <c r="S29" t="s">
        <v>3222</v>
      </c>
      <c r="T29" t="s">
        <v>3223</v>
      </c>
      <c r="U29" t="s">
        <v>2692</v>
      </c>
      <c r="Y29" t="s">
        <v>3217</v>
      </c>
      <c r="Z29">
        <v>325</v>
      </c>
      <c r="AA29" s="31">
        <v>45604</v>
      </c>
      <c r="AB29" s="61">
        <v>0.72949074074074072</v>
      </c>
      <c r="AC29" t="s">
        <v>795</v>
      </c>
      <c r="AD29" s="31">
        <v>45929</v>
      </c>
      <c r="AE29" s="61">
        <v>0.70280092592592591</v>
      </c>
      <c r="AF29" t="s">
        <v>796</v>
      </c>
      <c r="AQ29">
        <v>1</v>
      </c>
    </row>
    <row r="30" spans="1:43" x14ac:dyDescent="0.3">
      <c r="A30" t="s">
        <v>3217</v>
      </c>
      <c r="B30">
        <v>29</v>
      </c>
      <c r="C30">
        <v>101</v>
      </c>
      <c r="D30">
        <v>95</v>
      </c>
      <c r="G30" t="s">
        <v>3303</v>
      </c>
      <c r="I30" t="s">
        <v>3303</v>
      </c>
      <c r="J30" t="s">
        <v>3303</v>
      </c>
      <c r="K30" t="s">
        <v>3304</v>
      </c>
      <c r="M30" t="s">
        <v>3305</v>
      </c>
      <c r="O30" t="s">
        <v>778</v>
      </c>
      <c r="R30" t="s">
        <v>3221</v>
      </c>
      <c r="S30" t="s">
        <v>3222</v>
      </c>
      <c r="T30" t="s">
        <v>3223</v>
      </c>
      <c r="U30" t="s">
        <v>2692</v>
      </c>
      <c r="Y30" t="s">
        <v>3217</v>
      </c>
      <c r="Z30">
        <v>325</v>
      </c>
      <c r="AA30" s="31">
        <v>45604</v>
      </c>
      <c r="AB30" s="61">
        <v>0.72949074074074072</v>
      </c>
      <c r="AC30" t="s">
        <v>795</v>
      </c>
      <c r="AD30" s="31">
        <v>45929</v>
      </c>
      <c r="AE30" s="61">
        <v>0.7028240740740741</v>
      </c>
      <c r="AF30" t="s">
        <v>796</v>
      </c>
      <c r="AQ30">
        <v>1</v>
      </c>
    </row>
    <row r="31" spans="1:43" x14ac:dyDescent="0.3">
      <c r="A31" t="s">
        <v>3217</v>
      </c>
      <c r="B31">
        <v>30</v>
      </c>
      <c r="C31">
        <v>102</v>
      </c>
      <c r="D31">
        <v>97</v>
      </c>
      <c r="G31" t="s">
        <v>3306</v>
      </c>
      <c r="I31" t="s">
        <v>3306</v>
      </c>
      <c r="J31" t="s">
        <v>3306</v>
      </c>
      <c r="K31" t="s">
        <v>3307</v>
      </c>
      <c r="M31" t="s">
        <v>3308</v>
      </c>
      <c r="O31" t="s">
        <v>778</v>
      </c>
      <c r="R31" t="s">
        <v>3221</v>
      </c>
      <c r="S31" t="s">
        <v>3222</v>
      </c>
      <c r="T31" t="s">
        <v>3223</v>
      </c>
      <c r="U31" t="s">
        <v>2692</v>
      </c>
      <c r="Y31" t="s">
        <v>3217</v>
      </c>
      <c r="Z31">
        <v>325</v>
      </c>
      <c r="AA31" s="31">
        <v>45604</v>
      </c>
      <c r="AB31" s="61">
        <v>0.72949074074074072</v>
      </c>
      <c r="AC31" t="s">
        <v>795</v>
      </c>
      <c r="AD31" s="31">
        <v>45929</v>
      </c>
      <c r="AE31" s="61">
        <v>0.70284722222222218</v>
      </c>
      <c r="AF31" t="s">
        <v>796</v>
      </c>
      <c r="AQ31">
        <v>1</v>
      </c>
    </row>
    <row r="32" spans="1:43" x14ac:dyDescent="0.3">
      <c r="A32" t="s">
        <v>3217</v>
      </c>
      <c r="B32">
        <v>31</v>
      </c>
      <c r="C32">
        <v>103</v>
      </c>
      <c r="D32">
        <v>99</v>
      </c>
      <c r="G32" t="s">
        <v>77</v>
      </c>
      <c r="H32">
        <v>12549273000179</v>
      </c>
      <c r="I32" t="s">
        <v>3309</v>
      </c>
      <c r="J32" t="s">
        <v>3310</v>
      </c>
      <c r="K32" t="s">
        <v>3311</v>
      </c>
      <c r="M32" t="s">
        <v>3312</v>
      </c>
      <c r="O32" t="s">
        <v>3313</v>
      </c>
      <c r="P32" t="s">
        <v>1596</v>
      </c>
      <c r="Q32" t="s">
        <v>790</v>
      </c>
      <c r="R32" t="s">
        <v>3221</v>
      </c>
      <c r="S32" t="s">
        <v>3222</v>
      </c>
      <c r="T32" t="s">
        <v>3223</v>
      </c>
      <c r="U32" t="s">
        <v>2692</v>
      </c>
      <c r="Y32" t="s">
        <v>3217</v>
      </c>
      <c r="Z32">
        <v>325</v>
      </c>
      <c r="AA32" s="31">
        <v>45604</v>
      </c>
      <c r="AB32" s="61">
        <v>0.72949074074074072</v>
      </c>
      <c r="AC32" t="s">
        <v>795</v>
      </c>
      <c r="AD32" s="31">
        <v>45929</v>
      </c>
      <c r="AE32" s="61">
        <v>0.70248842592592597</v>
      </c>
      <c r="AF32" t="s">
        <v>796</v>
      </c>
      <c r="AQ32">
        <v>1</v>
      </c>
    </row>
    <row r="33" spans="1:43" x14ac:dyDescent="0.3">
      <c r="A33" t="s">
        <v>3217</v>
      </c>
      <c r="B33">
        <v>32</v>
      </c>
      <c r="C33">
        <v>104</v>
      </c>
      <c r="D33">
        <v>101</v>
      </c>
      <c r="G33" t="s">
        <v>3314</v>
      </c>
      <c r="I33" t="s">
        <v>3314</v>
      </c>
      <c r="J33" t="s">
        <v>3314</v>
      </c>
      <c r="M33" t="s">
        <v>3315</v>
      </c>
      <c r="O33" t="s">
        <v>778</v>
      </c>
      <c r="R33" t="s">
        <v>3221</v>
      </c>
      <c r="S33" t="s">
        <v>3222</v>
      </c>
      <c r="T33" t="s">
        <v>3223</v>
      </c>
      <c r="U33" t="s">
        <v>2692</v>
      </c>
      <c r="Y33" t="s">
        <v>3217</v>
      </c>
      <c r="Z33">
        <v>325</v>
      </c>
      <c r="AA33" s="31">
        <v>45604</v>
      </c>
      <c r="AB33" s="61">
        <v>0.72949074074074072</v>
      </c>
      <c r="AC33" t="s">
        <v>795</v>
      </c>
      <c r="AD33" s="31">
        <v>45929</v>
      </c>
      <c r="AE33" s="61">
        <v>0.7025231481481482</v>
      </c>
      <c r="AF33" t="s">
        <v>796</v>
      </c>
      <c r="AQ33">
        <v>1</v>
      </c>
    </row>
    <row r="34" spans="1:43" x14ac:dyDescent="0.3">
      <c r="A34" t="s">
        <v>3217</v>
      </c>
      <c r="B34">
        <v>33</v>
      </c>
      <c r="C34">
        <v>105</v>
      </c>
      <c r="D34">
        <v>103</v>
      </c>
      <c r="G34" t="s">
        <v>3316</v>
      </c>
      <c r="I34" t="s">
        <v>3316</v>
      </c>
      <c r="J34" t="s">
        <v>3316</v>
      </c>
      <c r="M34" t="s">
        <v>3317</v>
      </c>
      <c r="O34" t="s">
        <v>778</v>
      </c>
      <c r="R34" t="s">
        <v>3221</v>
      </c>
      <c r="S34" t="s">
        <v>3222</v>
      </c>
      <c r="T34" t="s">
        <v>3223</v>
      </c>
      <c r="U34" t="s">
        <v>2692</v>
      </c>
      <c r="Y34" t="s">
        <v>3217</v>
      </c>
      <c r="Z34">
        <v>325</v>
      </c>
      <c r="AA34" s="31">
        <v>45604</v>
      </c>
      <c r="AB34" s="61">
        <v>0.72949074074074072</v>
      </c>
      <c r="AC34" t="s">
        <v>795</v>
      </c>
      <c r="AD34" s="31">
        <v>45929</v>
      </c>
      <c r="AE34" s="61">
        <v>0.70254629629629628</v>
      </c>
      <c r="AF34" t="s">
        <v>796</v>
      </c>
      <c r="AQ34">
        <v>1</v>
      </c>
    </row>
    <row r="35" spans="1:43" x14ac:dyDescent="0.3">
      <c r="A35" t="s">
        <v>3217</v>
      </c>
      <c r="B35">
        <v>34</v>
      </c>
      <c r="C35">
        <v>106</v>
      </c>
      <c r="D35">
        <v>105</v>
      </c>
      <c r="G35" t="s">
        <v>3318</v>
      </c>
      <c r="I35" t="s">
        <v>3318</v>
      </c>
      <c r="J35" t="s">
        <v>3318</v>
      </c>
      <c r="M35" t="s">
        <v>3319</v>
      </c>
      <c r="O35" t="s">
        <v>778</v>
      </c>
      <c r="R35" t="s">
        <v>3221</v>
      </c>
      <c r="S35" t="s">
        <v>3222</v>
      </c>
      <c r="T35" t="s">
        <v>3223</v>
      </c>
      <c r="U35" t="s">
        <v>2692</v>
      </c>
      <c r="Y35" t="s">
        <v>3217</v>
      </c>
      <c r="Z35">
        <v>325</v>
      </c>
      <c r="AA35" s="31">
        <v>45604</v>
      </c>
      <c r="AB35" s="61">
        <v>0.72949074074074072</v>
      </c>
      <c r="AC35" t="s">
        <v>795</v>
      </c>
      <c r="AD35" s="31">
        <v>45929</v>
      </c>
      <c r="AE35" s="61">
        <v>0.70258101851851851</v>
      </c>
      <c r="AF35" t="s">
        <v>796</v>
      </c>
      <c r="AQ35">
        <v>1</v>
      </c>
    </row>
    <row r="36" spans="1:43" x14ac:dyDescent="0.3">
      <c r="A36" t="s">
        <v>3217</v>
      </c>
      <c r="B36">
        <v>35</v>
      </c>
      <c r="C36">
        <v>107</v>
      </c>
      <c r="D36">
        <v>107</v>
      </c>
      <c r="G36" t="s">
        <v>427</v>
      </c>
      <c r="H36">
        <v>7527737000297</v>
      </c>
      <c r="I36" t="s">
        <v>427</v>
      </c>
      <c r="J36" t="s">
        <v>427</v>
      </c>
      <c r="M36" t="s">
        <v>3320</v>
      </c>
      <c r="O36" t="s">
        <v>778</v>
      </c>
      <c r="R36" t="s">
        <v>3221</v>
      </c>
      <c r="S36" t="s">
        <v>3222</v>
      </c>
      <c r="T36" t="s">
        <v>3223</v>
      </c>
      <c r="U36" t="s">
        <v>2692</v>
      </c>
      <c r="Y36" t="s">
        <v>3217</v>
      </c>
      <c r="Z36">
        <v>325</v>
      </c>
      <c r="AA36" s="31">
        <v>45604</v>
      </c>
      <c r="AB36" s="61">
        <v>0.72949074074074072</v>
      </c>
      <c r="AC36" t="s">
        <v>795</v>
      </c>
      <c r="AD36" s="31">
        <v>45929</v>
      </c>
      <c r="AE36" s="61">
        <v>0.7026041666666667</v>
      </c>
      <c r="AF36" t="s">
        <v>796</v>
      </c>
      <c r="AQ36">
        <v>1</v>
      </c>
    </row>
    <row r="37" spans="1:43" x14ac:dyDescent="0.3">
      <c r="A37" t="s">
        <v>3217</v>
      </c>
      <c r="B37">
        <v>36</v>
      </c>
      <c r="C37">
        <v>108</v>
      </c>
      <c r="D37">
        <v>109</v>
      </c>
      <c r="G37" t="s">
        <v>3321</v>
      </c>
      <c r="I37" t="s">
        <v>3321</v>
      </c>
      <c r="J37" t="s">
        <v>3321</v>
      </c>
      <c r="M37" t="s">
        <v>3322</v>
      </c>
      <c r="O37" t="s">
        <v>778</v>
      </c>
      <c r="R37" t="s">
        <v>3221</v>
      </c>
      <c r="S37" t="s">
        <v>3222</v>
      </c>
      <c r="T37" t="s">
        <v>3223</v>
      </c>
      <c r="U37" t="s">
        <v>2692</v>
      </c>
      <c r="Y37" t="s">
        <v>3217</v>
      </c>
      <c r="Z37">
        <v>325</v>
      </c>
      <c r="AA37" s="31">
        <v>45604</v>
      </c>
      <c r="AB37" s="61">
        <v>0.72949074074074072</v>
      </c>
      <c r="AC37" t="s">
        <v>795</v>
      </c>
      <c r="AD37" s="31">
        <v>45929</v>
      </c>
      <c r="AE37" s="61">
        <v>0.70263888888888892</v>
      </c>
      <c r="AF37" t="s">
        <v>796</v>
      </c>
      <c r="AQ37">
        <v>1</v>
      </c>
    </row>
    <row r="38" spans="1:43" x14ac:dyDescent="0.3">
      <c r="A38" t="s">
        <v>3217</v>
      </c>
      <c r="B38">
        <v>37</v>
      </c>
      <c r="C38">
        <v>109</v>
      </c>
      <c r="D38">
        <v>111</v>
      </c>
      <c r="G38" t="s">
        <v>3323</v>
      </c>
      <c r="I38" t="s">
        <v>3323</v>
      </c>
      <c r="J38" t="s">
        <v>3323</v>
      </c>
      <c r="M38" t="s">
        <v>3324</v>
      </c>
      <c r="O38" t="s">
        <v>778</v>
      </c>
      <c r="R38" t="s">
        <v>3221</v>
      </c>
      <c r="S38" t="s">
        <v>3222</v>
      </c>
      <c r="T38" t="s">
        <v>3223</v>
      </c>
      <c r="U38" t="s">
        <v>2692</v>
      </c>
      <c r="Y38" t="s">
        <v>3217</v>
      </c>
      <c r="Z38">
        <v>325</v>
      </c>
      <c r="AA38" s="31">
        <v>45604</v>
      </c>
      <c r="AB38" s="61">
        <v>0.72949074074074072</v>
      </c>
      <c r="AC38" t="s">
        <v>795</v>
      </c>
      <c r="AD38" s="31">
        <v>45929</v>
      </c>
      <c r="AE38" s="61">
        <v>0.70267361111111115</v>
      </c>
      <c r="AF38" t="s">
        <v>796</v>
      </c>
      <c r="AQ38">
        <v>1</v>
      </c>
    </row>
    <row r="39" spans="1:43" x14ac:dyDescent="0.3">
      <c r="A39" t="s">
        <v>3217</v>
      </c>
      <c r="B39">
        <v>38</v>
      </c>
      <c r="C39">
        <v>110</v>
      </c>
      <c r="D39">
        <v>113</v>
      </c>
      <c r="G39" t="s">
        <v>629</v>
      </c>
      <c r="I39" t="s">
        <v>629</v>
      </c>
      <c r="J39" t="s">
        <v>629</v>
      </c>
      <c r="M39" t="s">
        <v>3325</v>
      </c>
      <c r="O39" t="s">
        <v>778</v>
      </c>
      <c r="R39" t="s">
        <v>3221</v>
      </c>
      <c r="S39" t="s">
        <v>3222</v>
      </c>
      <c r="T39" t="s">
        <v>3223</v>
      </c>
      <c r="U39" t="s">
        <v>2692</v>
      </c>
      <c r="Y39" t="s">
        <v>3217</v>
      </c>
      <c r="Z39">
        <v>325</v>
      </c>
      <c r="AA39" s="31">
        <v>45604</v>
      </c>
      <c r="AB39" s="61">
        <v>0.72949074074074072</v>
      </c>
      <c r="AC39" t="s">
        <v>795</v>
      </c>
      <c r="AD39" s="31">
        <v>45929</v>
      </c>
      <c r="AE39" s="61">
        <v>0.70269675925925923</v>
      </c>
      <c r="AF39" t="s">
        <v>796</v>
      </c>
      <c r="AQ39">
        <v>1</v>
      </c>
    </row>
    <row r="40" spans="1:43" x14ac:dyDescent="0.3">
      <c r="A40" t="s">
        <v>3217</v>
      </c>
      <c r="B40">
        <v>39</v>
      </c>
      <c r="C40">
        <v>111</v>
      </c>
      <c r="D40">
        <v>115</v>
      </c>
      <c r="G40" t="s">
        <v>603</v>
      </c>
      <c r="I40" t="s">
        <v>603</v>
      </c>
      <c r="J40" t="s">
        <v>603</v>
      </c>
      <c r="M40" t="s">
        <v>3326</v>
      </c>
      <c r="O40" t="s">
        <v>778</v>
      </c>
      <c r="R40" t="s">
        <v>3221</v>
      </c>
      <c r="S40" t="s">
        <v>3222</v>
      </c>
      <c r="T40" t="s">
        <v>3223</v>
      </c>
      <c r="U40" t="s">
        <v>2692</v>
      </c>
      <c r="Y40" t="s">
        <v>3217</v>
      </c>
      <c r="Z40">
        <v>325</v>
      </c>
      <c r="AA40" s="31">
        <v>45604</v>
      </c>
      <c r="AB40" s="61">
        <v>0.72949074074074072</v>
      </c>
      <c r="AC40" t="s">
        <v>795</v>
      </c>
      <c r="AD40" s="31">
        <v>45929</v>
      </c>
      <c r="AE40" s="61">
        <v>0.70274305555555561</v>
      </c>
      <c r="AF40" t="s">
        <v>796</v>
      </c>
      <c r="AQ40">
        <v>1</v>
      </c>
    </row>
    <row r="41" spans="1:43" x14ac:dyDescent="0.3">
      <c r="A41" t="s">
        <v>3217</v>
      </c>
      <c r="B41">
        <v>40</v>
      </c>
      <c r="C41">
        <v>112</v>
      </c>
      <c r="D41">
        <v>117</v>
      </c>
      <c r="G41" t="s">
        <v>3327</v>
      </c>
      <c r="I41" t="s">
        <v>3327</v>
      </c>
      <c r="J41" t="s">
        <v>3327</v>
      </c>
      <c r="M41" t="s">
        <v>3328</v>
      </c>
      <c r="O41" t="s">
        <v>778</v>
      </c>
      <c r="R41" t="s">
        <v>3221</v>
      </c>
      <c r="S41" t="s">
        <v>3222</v>
      </c>
      <c r="T41" t="s">
        <v>3223</v>
      </c>
      <c r="U41" t="s">
        <v>2692</v>
      </c>
      <c r="Y41" t="s">
        <v>3217</v>
      </c>
      <c r="Z41">
        <v>325</v>
      </c>
      <c r="AA41" s="31">
        <v>45604</v>
      </c>
      <c r="AB41" s="61">
        <v>0.72949074074074072</v>
      </c>
      <c r="AC41" t="s">
        <v>795</v>
      </c>
      <c r="AD41" s="31">
        <v>45929</v>
      </c>
      <c r="AE41" s="61">
        <v>0.70276620370370368</v>
      </c>
      <c r="AF41" t="s">
        <v>796</v>
      </c>
      <c r="AQ41">
        <v>1</v>
      </c>
    </row>
    <row r="42" spans="1:43" x14ac:dyDescent="0.3">
      <c r="A42" t="s">
        <v>3217</v>
      </c>
      <c r="B42">
        <v>41</v>
      </c>
      <c r="C42">
        <v>113</v>
      </c>
      <c r="D42">
        <v>119</v>
      </c>
      <c r="G42" t="s">
        <v>65</v>
      </c>
      <c r="I42" t="s">
        <v>65</v>
      </c>
      <c r="J42" t="s">
        <v>65</v>
      </c>
      <c r="M42" t="s">
        <v>3329</v>
      </c>
      <c r="O42" t="s">
        <v>778</v>
      </c>
      <c r="R42" t="s">
        <v>3221</v>
      </c>
      <c r="S42" t="s">
        <v>3222</v>
      </c>
      <c r="T42" t="s">
        <v>3223</v>
      </c>
      <c r="U42" t="s">
        <v>2692</v>
      </c>
      <c r="Y42" t="s">
        <v>3217</v>
      </c>
      <c r="Z42">
        <v>325</v>
      </c>
      <c r="AA42" s="31">
        <v>45604</v>
      </c>
      <c r="AB42" s="61">
        <v>0.72949074074074072</v>
      </c>
      <c r="AC42" t="s">
        <v>795</v>
      </c>
      <c r="AD42" s="31">
        <v>45929</v>
      </c>
      <c r="AE42" s="61">
        <v>0.70278935185185187</v>
      </c>
      <c r="AF42" t="s">
        <v>796</v>
      </c>
      <c r="AQ42">
        <v>1</v>
      </c>
    </row>
    <row r="43" spans="1:43" x14ac:dyDescent="0.3">
      <c r="A43" t="s">
        <v>3217</v>
      </c>
      <c r="B43">
        <v>42</v>
      </c>
      <c r="C43">
        <v>114</v>
      </c>
      <c r="D43">
        <v>121</v>
      </c>
      <c r="G43" t="s">
        <v>3330</v>
      </c>
      <c r="I43" t="s">
        <v>3330</v>
      </c>
      <c r="J43" t="s">
        <v>3330</v>
      </c>
      <c r="K43" t="s">
        <v>3331</v>
      </c>
      <c r="M43" t="s">
        <v>3332</v>
      </c>
      <c r="O43" t="s">
        <v>778</v>
      </c>
      <c r="R43" t="s">
        <v>3221</v>
      </c>
      <c r="S43" t="s">
        <v>3222</v>
      </c>
      <c r="T43" t="s">
        <v>3223</v>
      </c>
      <c r="U43" t="s">
        <v>2692</v>
      </c>
      <c r="Y43" t="s">
        <v>3217</v>
      </c>
      <c r="Z43">
        <v>325</v>
      </c>
      <c r="AA43" s="31">
        <v>45604</v>
      </c>
      <c r="AB43" s="61">
        <v>0.72949074074074072</v>
      </c>
      <c r="AC43" t="s">
        <v>795</v>
      </c>
      <c r="AD43" s="31">
        <v>45929</v>
      </c>
      <c r="AE43" s="61">
        <v>0.70285879629629633</v>
      </c>
      <c r="AF43" t="s">
        <v>796</v>
      </c>
      <c r="AQ43">
        <v>1</v>
      </c>
    </row>
    <row r="44" spans="1:43" x14ac:dyDescent="0.3">
      <c r="A44" t="s">
        <v>3217</v>
      </c>
      <c r="B44">
        <v>43</v>
      </c>
      <c r="C44">
        <v>115</v>
      </c>
      <c r="D44">
        <v>123</v>
      </c>
      <c r="G44" t="s">
        <v>3333</v>
      </c>
      <c r="I44" t="s">
        <v>3333</v>
      </c>
      <c r="J44" t="s">
        <v>3333</v>
      </c>
      <c r="M44" t="s">
        <v>3334</v>
      </c>
      <c r="O44" t="s">
        <v>778</v>
      </c>
      <c r="R44" t="s">
        <v>3221</v>
      </c>
      <c r="S44" t="s">
        <v>3222</v>
      </c>
      <c r="T44" t="s">
        <v>3223</v>
      </c>
      <c r="U44" t="s">
        <v>2692</v>
      </c>
      <c r="Y44" t="s">
        <v>3217</v>
      </c>
      <c r="Z44">
        <v>325</v>
      </c>
      <c r="AA44" s="31">
        <v>45604</v>
      </c>
      <c r="AB44" s="61">
        <v>0.72949074074074072</v>
      </c>
      <c r="AC44" t="s">
        <v>795</v>
      </c>
      <c r="AD44" s="31">
        <v>45929</v>
      </c>
      <c r="AE44" s="61">
        <v>0.70288194444444441</v>
      </c>
      <c r="AF44" t="s">
        <v>796</v>
      </c>
      <c r="AQ44">
        <v>1</v>
      </c>
    </row>
    <row r="45" spans="1:43" x14ac:dyDescent="0.3">
      <c r="A45" t="s">
        <v>3217</v>
      </c>
      <c r="B45">
        <v>44</v>
      </c>
      <c r="C45">
        <v>116</v>
      </c>
      <c r="D45">
        <v>125</v>
      </c>
      <c r="G45" t="s">
        <v>3335</v>
      </c>
      <c r="I45" t="s">
        <v>3335</v>
      </c>
      <c r="J45" t="s">
        <v>3335</v>
      </c>
      <c r="K45" t="s">
        <v>3336</v>
      </c>
      <c r="M45" t="s">
        <v>3337</v>
      </c>
      <c r="O45" t="s">
        <v>778</v>
      </c>
      <c r="P45" t="s">
        <v>3338</v>
      </c>
      <c r="Q45" t="s">
        <v>3339</v>
      </c>
      <c r="R45" t="s">
        <v>3221</v>
      </c>
      <c r="S45" t="s">
        <v>3222</v>
      </c>
      <c r="T45" t="s">
        <v>3223</v>
      </c>
      <c r="U45" t="s">
        <v>2692</v>
      </c>
      <c r="Y45" t="s">
        <v>3217</v>
      </c>
      <c r="Z45">
        <v>325</v>
      </c>
      <c r="AA45" s="31">
        <v>45604</v>
      </c>
      <c r="AB45" s="61">
        <v>0.72950231481481487</v>
      </c>
      <c r="AC45" t="s">
        <v>795</v>
      </c>
      <c r="AD45" s="31">
        <v>45929</v>
      </c>
      <c r="AE45" s="61">
        <v>0.70289351851851856</v>
      </c>
      <c r="AF45" t="s">
        <v>796</v>
      </c>
      <c r="AQ45">
        <v>1</v>
      </c>
    </row>
    <row r="46" spans="1:43" x14ac:dyDescent="0.3">
      <c r="A46" t="s">
        <v>3217</v>
      </c>
      <c r="B46">
        <v>45</v>
      </c>
      <c r="C46">
        <v>117</v>
      </c>
      <c r="D46">
        <v>127</v>
      </c>
      <c r="G46" t="s">
        <v>3340</v>
      </c>
      <c r="I46" t="s">
        <v>3340</v>
      </c>
      <c r="J46" t="s">
        <v>3340</v>
      </c>
      <c r="M46" t="s">
        <v>3341</v>
      </c>
      <c r="O46" t="s">
        <v>778</v>
      </c>
      <c r="R46" t="s">
        <v>3221</v>
      </c>
      <c r="S46" t="s">
        <v>3222</v>
      </c>
      <c r="T46" t="s">
        <v>3223</v>
      </c>
      <c r="U46" t="s">
        <v>2692</v>
      </c>
      <c r="Y46" t="s">
        <v>3217</v>
      </c>
      <c r="Z46">
        <v>325</v>
      </c>
      <c r="AA46" s="31">
        <v>45604</v>
      </c>
      <c r="AB46" s="61">
        <v>0.72950231481481487</v>
      </c>
      <c r="AC46" t="s">
        <v>795</v>
      </c>
      <c r="AD46" s="31">
        <v>45929</v>
      </c>
      <c r="AE46" s="61">
        <v>0.70292824074074078</v>
      </c>
      <c r="AF46" t="s">
        <v>796</v>
      </c>
      <c r="AQ46">
        <v>1</v>
      </c>
    </row>
    <row r="47" spans="1:43" x14ac:dyDescent="0.3">
      <c r="A47" t="s">
        <v>3217</v>
      </c>
      <c r="B47">
        <v>46</v>
      </c>
      <c r="C47">
        <v>118</v>
      </c>
      <c r="D47">
        <v>129</v>
      </c>
      <c r="G47" t="s">
        <v>686</v>
      </c>
      <c r="I47" t="s">
        <v>686</v>
      </c>
      <c r="J47" t="s">
        <v>686</v>
      </c>
      <c r="K47" t="s">
        <v>3342</v>
      </c>
      <c r="M47" t="s">
        <v>3343</v>
      </c>
      <c r="O47" t="s">
        <v>778</v>
      </c>
      <c r="R47" t="s">
        <v>3221</v>
      </c>
      <c r="S47" t="s">
        <v>3222</v>
      </c>
      <c r="T47" t="s">
        <v>3223</v>
      </c>
      <c r="U47" t="s">
        <v>2692</v>
      </c>
      <c r="Y47" t="s">
        <v>3217</v>
      </c>
      <c r="Z47">
        <v>325</v>
      </c>
      <c r="AA47" s="31">
        <v>45604</v>
      </c>
      <c r="AB47" s="61">
        <v>0.72950231481481487</v>
      </c>
      <c r="AC47" t="s">
        <v>795</v>
      </c>
      <c r="AD47" s="31">
        <v>45929</v>
      </c>
      <c r="AE47" s="61">
        <v>0.70248842592592597</v>
      </c>
      <c r="AF47" t="s">
        <v>796</v>
      </c>
      <c r="AQ47">
        <v>1</v>
      </c>
    </row>
    <row r="48" spans="1:43" x14ac:dyDescent="0.3">
      <c r="A48" t="s">
        <v>3217</v>
      </c>
      <c r="B48">
        <v>47</v>
      </c>
      <c r="C48">
        <v>119</v>
      </c>
      <c r="D48">
        <v>131</v>
      </c>
      <c r="G48" t="s">
        <v>608</v>
      </c>
      <c r="I48" t="s">
        <v>608</v>
      </c>
      <c r="J48" t="s">
        <v>608</v>
      </c>
      <c r="K48" t="s">
        <v>3344</v>
      </c>
      <c r="M48" t="s">
        <v>3345</v>
      </c>
      <c r="O48" t="s">
        <v>778</v>
      </c>
      <c r="R48" t="s">
        <v>3221</v>
      </c>
      <c r="S48" t="s">
        <v>3222</v>
      </c>
      <c r="T48" t="s">
        <v>3223</v>
      </c>
      <c r="U48" t="s">
        <v>2692</v>
      </c>
      <c r="Y48" t="s">
        <v>3217</v>
      </c>
      <c r="Z48">
        <v>325</v>
      </c>
      <c r="AA48" s="31">
        <v>45604</v>
      </c>
      <c r="AB48" s="61">
        <v>0.72950231481481487</v>
      </c>
      <c r="AC48" t="s">
        <v>795</v>
      </c>
      <c r="AD48" s="31">
        <v>45929</v>
      </c>
      <c r="AE48" s="61">
        <v>0.70251157407407405</v>
      </c>
      <c r="AF48" t="s">
        <v>796</v>
      </c>
      <c r="AQ48">
        <v>1</v>
      </c>
    </row>
    <row r="49" spans="1:43" x14ac:dyDescent="0.3">
      <c r="A49" t="s">
        <v>3217</v>
      </c>
      <c r="B49">
        <v>48</v>
      </c>
      <c r="C49">
        <v>120</v>
      </c>
      <c r="D49">
        <v>133</v>
      </c>
      <c r="G49" t="s">
        <v>3346</v>
      </c>
      <c r="I49" t="s">
        <v>3346</v>
      </c>
      <c r="J49" t="s">
        <v>3346</v>
      </c>
      <c r="M49" t="s">
        <v>3347</v>
      </c>
      <c r="O49" t="s">
        <v>778</v>
      </c>
      <c r="R49" t="s">
        <v>3221</v>
      </c>
      <c r="S49" t="s">
        <v>3222</v>
      </c>
      <c r="T49" t="s">
        <v>3223</v>
      </c>
      <c r="U49" t="s">
        <v>2692</v>
      </c>
      <c r="Y49" t="s">
        <v>3217</v>
      </c>
      <c r="Z49">
        <v>325</v>
      </c>
      <c r="AA49" s="31">
        <v>45604</v>
      </c>
      <c r="AB49" s="61">
        <v>0.72950231481481487</v>
      </c>
      <c r="AC49" t="s">
        <v>795</v>
      </c>
      <c r="AD49" s="31">
        <v>45929</v>
      </c>
      <c r="AE49" s="61">
        <v>0.70253472222222224</v>
      </c>
      <c r="AF49" t="s">
        <v>796</v>
      </c>
      <c r="AQ49">
        <v>1</v>
      </c>
    </row>
    <row r="50" spans="1:43" x14ac:dyDescent="0.3">
      <c r="A50" t="s">
        <v>3217</v>
      </c>
      <c r="B50">
        <v>49</v>
      </c>
      <c r="C50">
        <v>121</v>
      </c>
      <c r="D50">
        <v>135</v>
      </c>
      <c r="G50" t="s">
        <v>3348</v>
      </c>
      <c r="I50" t="s">
        <v>3348</v>
      </c>
      <c r="J50" t="s">
        <v>3348</v>
      </c>
      <c r="M50" t="s">
        <v>3349</v>
      </c>
      <c r="O50" t="s">
        <v>778</v>
      </c>
      <c r="R50" t="s">
        <v>3221</v>
      </c>
      <c r="S50" t="s">
        <v>3222</v>
      </c>
      <c r="T50" t="s">
        <v>3223</v>
      </c>
      <c r="U50" t="s">
        <v>2692</v>
      </c>
      <c r="Y50" t="s">
        <v>3217</v>
      </c>
      <c r="Z50">
        <v>325</v>
      </c>
      <c r="AA50" s="31">
        <v>45604</v>
      </c>
      <c r="AB50" s="61">
        <v>0.72950231481481487</v>
      </c>
      <c r="AC50" t="s">
        <v>795</v>
      </c>
      <c r="AD50" s="31">
        <v>45929</v>
      </c>
      <c r="AE50" s="61">
        <v>0.70255787037037032</v>
      </c>
      <c r="AF50" t="s">
        <v>796</v>
      </c>
      <c r="AQ50">
        <v>1</v>
      </c>
    </row>
    <row r="51" spans="1:43" x14ac:dyDescent="0.3">
      <c r="A51" t="s">
        <v>3217</v>
      </c>
      <c r="B51">
        <v>50</v>
      </c>
      <c r="C51">
        <v>122</v>
      </c>
      <c r="D51">
        <v>137</v>
      </c>
      <c r="G51" t="s">
        <v>680</v>
      </c>
      <c r="I51" t="s">
        <v>680</v>
      </c>
      <c r="J51" t="s">
        <v>680</v>
      </c>
      <c r="K51" t="s">
        <v>3350</v>
      </c>
      <c r="M51" t="s">
        <v>3351</v>
      </c>
      <c r="O51" t="s">
        <v>778</v>
      </c>
      <c r="R51" t="s">
        <v>3221</v>
      </c>
      <c r="S51" t="s">
        <v>3222</v>
      </c>
      <c r="T51" t="s">
        <v>3223</v>
      </c>
      <c r="U51" t="s">
        <v>2692</v>
      </c>
      <c r="Y51" t="s">
        <v>3217</v>
      </c>
      <c r="Z51">
        <v>325</v>
      </c>
      <c r="AA51" s="31">
        <v>45604</v>
      </c>
      <c r="AB51" s="61">
        <v>0.72950231481481487</v>
      </c>
      <c r="AC51" t="s">
        <v>795</v>
      </c>
      <c r="AD51" s="31">
        <v>45929</v>
      </c>
      <c r="AE51" s="61">
        <v>0.70258101851851851</v>
      </c>
      <c r="AF51" t="s">
        <v>796</v>
      </c>
      <c r="AQ51">
        <v>1</v>
      </c>
    </row>
    <row r="52" spans="1:43" x14ac:dyDescent="0.3">
      <c r="A52" t="s">
        <v>3217</v>
      </c>
      <c r="B52">
        <v>51</v>
      </c>
      <c r="C52">
        <v>123</v>
      </c>
      <c r="D52">
        <v>139</v>
      </c>
      <c r="G52" t="s">
        <v>647</v>
      </c>
      <c r="I52" t="s">
        <v>647</v>
      </c>
      <c r="J52" t="s">
        <v>647</v>
      </c>
      <c r="K52" t="s">
        <v>3352</v>
      </c>
      <c r="M52" t="s">
        <v>3353</v>
      </c>
      <c r="O52" t="s">
        <v>778</v>
      </c>
      <c r="R52" t="s">
        <v>3221</v>
      </c>
      <c r="S52" t="s">
        <v>3222</v>
      </c>
      <c r="T52" t="s">
        <v>3223</v>
      </c>
      <c r="U52" t="s">
        <v>2692</v>
      </c>
      <c r="Y52" t="s">
        <v>3217</v>
      </c>
      <c r="Z52">
        <v>325</v>
      </c>
      <c r="AA52" s="31">
        <v>45604</v>
      </c>
      <c r="AB52" s="61">
        <v>0.72950231481481487</v>
      </c>
      <c r="AC52" t="s">
        <v>795</v>
      </c>
      <c r="AD52" s="31">
        <v>45929</v>
      </c>
      <c r="AE52" s="61">
        <v>0.7026041666666667</v>
      </c>
      <c r="AF52" t="s">
        <v>796</v>
      </c>
      <c r="AQ52">
        <v>1</v>
      </c>
    </row>
    <row r="53" spans="1:43" x14ac:dyDescent="0.3">
      <c r="A53" t="s">
        <v>3217</v>
      </c>
      <c r="B53">
        <v>52</v>
      </c>
      <c r="C53">
        <v>124</v>
      </c>
      <c r="D53">
        <v>141</v>
      </c>
      <c r="G53" t="s">
        <v>3354</v>
      </c>
      <c r="I53" t="s">
        <v>3354</v>
      </c>
      <c r="J53" t="s">
        <v>3354</v>
      </c>
      <c r="M53" t="s">
        <v>3355</v>
      </c>
      <c r="O53" t="s">
        <v>778</v>
      </c>
      <c r="R53" t="s">
        <v>3221</v>
      </c>
      <c r="S53" t="s">
        <v>3222</v>
      </c>
      <c r="T53" t="s">
        <v>3223</v>
      </c>
      <c r="U53" t="s">
        <v>2692</v>
      </c>
      <c r="Y53" t="s">
        <v>3217</v>
      </c>
      <c r="Z53">
        <v>325</v>
      </c>
      <c r="AA53" s="31">
        <v>45604</v>
      </c>
      <c r="AB53" s="61">
        <v>0.72950231481481487</v>
      </c>
      <c r="AC53" t="s">
        <v>795</v>
      </c>
      <c r="AD53" s="31">
        <v>45929</v>
      </c>
      <c r="AE53" s="61">
        <v>0.70262731481481477</v>
      </c>
      <c r="AF53" t="s">
        <v>796</v>
      </c>
      <c r="AQ53">
        <v>1</v>
      </c>
    </row>
    <row r="54" spans="1:43" x14ac:dyDescent="0.3">
      <c r="A54" t="s">
        <v>3217</v>
      </c>
      <c r="B54">
        <v>53</v>
      </c>
      <c r="C54">
        <v>125</v>
      </c>
      <c r="D54">
        <v>143</v>
      </c>
      <c r="G54" t="s">
        <v>3356</v>
      </c>
      <c r="I54" t="s">
        <v>3356</v>
      </c>
      <c r="J54" t="s">
        <v>3356</v>
      </c>
      <c r="M54" t="s">
        <v>3357</v>
      </c>
      <c r="O54" t="s">
        <v>778</v>
      </c>
      <c r="R54" t="s">
        <v>3221</v>
      </c>
      <c r="S54" t="s">
        <v>3222</v>
      </c>
      <c r="T54" t="s">
        <v>3223</v>
      </c>
      <c r="U54" t="s">
        <v>2692</v>
      </c>
      <c r="Y54" t="s">
        <v>3217</v>
      </c>
      <c r="Z54">
        <v>325</v>
      </c>
      <c r="AA54" s="31">
        <v>45604</v>
      </c>
      <c r="AB54" s="61">
        <v>0.72950231481481487</v>
      </c>
      <c r="AC54" t="s">
        <v>795</v>
      </c>
      <c r="AD54" s="31">
        <v>45929</v>
      </c>
      <c r="AE54" s="61">
        <v>0.702662037037037</v>
      </c>
      <c r="AF54" t="s">
        <v>796</v>
      </c>
      <c r="AQ54">
        <v>1</v>
      </c>
    </row>
    <row r="55" spans="1:43" x14ac:dyDescent="0.3">
      <c r="A55" t="s">
        <v>3217</v>
      </c>
      <c r="B55">
        <v>54</v>
      </c>
      <c r="C55">
        <v>126</v>
      </c>
      <c r="D55">
        <v>145</v>
      </c>
      <c r="G55" t="s">
        <v>3358</v>
      </c>
      <c r="I55" t="s">
        <v>3358</v>
      </c>
      <c r="J55" t="s">
        <v>3358</v>
      </c>
      <c r="M55" t="s">
        <v>3359</v>
      </c>
      <c r="O55" t="s">
        <v>778</v>
      </c>
      <c r="R55" t="s">
        <v>3221</v>
      </c>
      <c r="S55" t="s">
        <v>3222</v>
      </c>
      <c r="T55" t="s">
        <v>3223</v>
      </c>
      <c r="U55" t="s">
        <v>2692</v>
      </c>
      <c r="Y55" t="s">
        <v>3217</v>
      </c>
      <c r="Z55">
        <v>325</v>
      </c>
      <c r="AA55" s="31">
        <v>45604</v>
      </c>
      <c r="AB55" s="61">
        <v>0.72950231481481487</v>
      </c>
      <c r="AC55" t="s">
        <v>795</v>
      </c>
      <c r="AD55" s="31">
        <v>45929</v>
      </c>
      <c r="AE55" s="61">
        <v>0.70270833333333338</v>
      </c>
      <c r="AF55" t="s">
        <v>796</v>
      </c>
      <c r="AQ55">
        <v>1</v>
      </c>
    </row>
    <row r="56" spans="1:43" x14ac:dyDescent="0.3">
      <c r="A56" t="s">
        <v>3217</v>
      </c>
      <c r="B56">
        <v>55</v>
      </c>
      <c r="C56">
        <v>127</v>
      </c>
      <c r="D56">
        <v>147</v>
      </c>
      <c r="G56" t="s">
        <v>3360</v>
      </c>
      <c r="I56" t="s">
        <v>3360</v>
      </c>
      <c r="J56" t="s">
        <v>3360</v>
      </c>
      <c r="K56" t="s">
        <v>3361</v>
      </c>
      <c r="M56" t="s">
        <v>3362</v>
      </c>
      <c r="O56" t="s">
        <v>778</v>
      </c>
      <c r="R56" t="s">
        <v>3221</v>
      </c>
      <c r="S56" t="s">
        <v>3222</v>
      </c>
      <c r="T56" t="s">
        <v>3223</v>
      </c>
      <c r="U56" t="s">
        <v>2692</v>
      </c>
      <c r="Y56" t="s">
        <v>3217</v>
      </c>
      <c r="Z56">
        <v>325</v>
      </c>
      <c r="AA56" s="31">
        <v>45604</v>
      </c>
      <c r="AB56" s="61">
        <v>0.72950231481481487</v>
      </c>
      <c r="AC56" t="s">
        <v>795</v>
      </c>
      <c r="AD56" s="31">
        <v>45929</v>
      </c>
      <c r="AE56" s="61">
        <v>0.70274305555555561</v>
      </c>
      <c r="AF56" t="s">
        <v>796</v>
      </c>
      <c r="AQ56">
        <v>1</v>
      </c>
    </row>
    <row r="57" spans="1:43" x14ac:dyDescent="0.3">
      <c r="A57" t="s">
        <v>3217</v>
      </c>
      <c r="B57">
        <v>56</v>
      </c>
      <c r="C57">
        <v>128</v>
      </c>
      <c r="D57">
        <v>149</v>
      </c>
      <c r="G57" t="s">
        <v>3363</v>
      </c>
      <c r="I57" t="s">
        <v>3363</v>
      </c>
      <c r="J57" t="s">
        <v>3363</v>
      </c>
      <c r="M57" t="s">
        <v>3364</v>
      </c>
      <c r="O57" t="s">
        <v>778</v>
      </c>
      <c r="R57" t="s">
        <v>3221</v>
      </c>
      <c r="S57" t="s">
        <v>3222</v>
      </c>
      <c r="T57" t="s">
        <v>3223</v>
      </c>
      <c r="U57" t="s">
        <v>2692</v>
      </c>
      <c r="Y57" t="s">
        <v>3217</v>
      </c>
      <c r="Z57">
        <v>325</v>
      </c>
      <c r="AA57" s="31">
        <v>45604</v>
      </c>
      <c r="AB57" s="61">
        <v>0.72950231481481487</v>
      </c>
      <c r="AC57" t="s">
        <v>795</v>
      </c>
      <c r="AD57" s="31">
        <v>45929</v>
      </c>
      <c r="AE57" s="61">
        <v>0.70277777777777772</v>
      </c>
      <c r="AF57" t="s">
        <v>796</v>
      </c>
      <c r="AQ57">
        <v>1</v>
      </c>
    </row>
    <row r="58" spans="1:43" x14ac:dyDescent="0.3">
      <c r="A58" t="s">
        <v>3217</v>
      </c>
      <c r="B58">
        <v>57</v>
      </c>
      <c r="C58">
        <v>129</v>
      </c>
      <c r="D58">
        <v>151</v>
      </c>
      <c r="G58" t="s">
        <v>679</v>
      </c>
      <c r="I58" t="s">
        <v>679</v>
      </c>
      <c r="J58" t="s">
        <v>679</v>
      </c>
      <c r="K58" t="s">
        <v>3365</v>
      </c>
      <c r="M58" t="s">
        <v>3366</v>
      </c>
      <c r="O58" t="s">
        <v>778</v>
      </c>
      <c r="R58" t="s">
        <v>3221</v>
      </c>
      <c r="S58" t="s">
        <v>3222</v>
      </c>
      <c r="T58" t="s">
        <v>3223</v>
      </c>
      <c r="U58" t="s">
        <v>2692</v>
      </c>
      <c r="Y58" t="s">
        <v>3217</v>
      </c>
      <c r="Z58">
        <v>325</v>
      </c>
      <c r="AA58" s="31">
        <v>45604</v>
      </c>
      <c r="AB58" s="61">
        <v>0.72950231481481487</v>
      </c>
      <c r="AC58" t="s">
        <v>795</v>
      </c>
      <c r="AD58" s="31">
        <v>45929</v>
      </c>
      <c r="AE58" s="61">
        <v>0.70280092592592591</v>
      </c>
      <c r="AF58" t="s">
        <v>796</v>
      </c>
      <c r="AQ58">
        <v>1</v>
      </c>
    </row>
    <row r="59" spans="1:43" x14ac:dyDescent="0.3">
      <c r="A59" t="s">
        <v>3217</v>
      </c>
      <c r="B59">
        <v>58</v>
      </c>
      <c r="C59">
        <v>130</v>
      </c>
      <c r="D59">
        <v>153</v>
      </c>
      <c r="G59" t="s">
        <v>141</v>
      </c>
      <c r="I59" t="s">
        <v>141</v>
      </c>
      <c r="J59" t="s">
        <v>141</v>
      </c>
      <c r="K59" t="s">
        <v>3367</v>
      </c>
      <c r="M59" t="s">
        <v>3368</v>
      </c>
      <c r="O59" t="s">
        <v>778</v>
      </c>
      <c r="P59" t="s">
        <v>923</v>
      </c>
      <c r="Q59" t="s">
        <v>790</v>
      </c>
      <c r="R59" t="s">
        <v>3221</v>
      </c>
      <c r="S59" t="s">
        <v>3222</v>
      </c>
      <c r="T59" t="s">
        <v>3223</v>
      </c>
      <c r="U59" t="s">
        <v>2692</v>
      </c>
      <c r="Y59" t="s">
        <v>3217</v>
      </c>
      <c r="Z59">
        <v>325</v>
      </c>
      <c r="AA59" s="31">
        <v>45604</v>
      </c>
      <c r="AB59" s="61">
        <v>0.72950231481481487</v>
      </c>
      <c r="AC59" t="s">
        <v>795</v>
      </c>
      <c r="AD59" s="31">
        <v>45929</v>
      </c>
      <c r="AE59" s="61">
        <v>0.7028240740740741</v>
      </c>
      <c r="AF59" t="s">
        <v>796</v>
      </c>
      <c r="AQ59">
        <v>1</v>
      </c>
    </row>
    <row r="60" spans="1:43" x14ac:dyDescent="0.3">
      <c r="A60" t="s">
        <v>3217</v>
      </c>
      <c r="B60">
        <v>59</v>
      </c>
      <c r="C60">
        <v>131</v>
      </c>
      <c r="D60">
        <v>155</v>
      </c>
      <c r="G60" t="s">
        <v>3369</v>
      </c>
      <c r="I60" t="s">
        <v>3369</v>
      </c>
      <c r="J60" t="s">
        <v>3369</v>
      </c>
      <c r="K60" t="s">
        <v>3370</v>
      </c>
      <c r="M60" t="s">
        <v>3371</v>
      </c>
      <c r="O60" t="s">
        <v>778</v>
      </c>
      <c r="P60" t="s">
        <v>3372</v>
      </c>
      <c r="Q60" t="s">
        <v>1027</v>
      </c>
      <c r="R60" t="s">
        <v>3221</v>
      </c>
      <c r="S60" t="s">
        <v>3222</v>
      </c>
      <c r="T60" t="s">
        <v>3223</v>
      </c>
      <c r="U60" t="s">
        <v>2692</v>
      </c>
      <c r="Y60" t="s">
        <v>3217</v>
      </c>
      <c r="Z60">
        <v>325</v>
      </c>
      <c r="AA60" s="31">
        <v>45604</v>
      </c>
      <c r="AB60" s="61">
        <v>0.72950231481481487</v>
      </c>
      <c r="AC60" t="s">
        <v>795</v>
      </c>
      <c r="AD60" s="31">
        <v>45929</v>
      </c>
      <c r="AE60" s="61">
        <v>0.70284722222222218</v>
      </c>
      <c r="AF60" t="s">
        <v>796</v>
      </c>
      <c r="AQ60">
        <v>1</v>
      </c>
    </row>
    <row r="61" spans="1:43" x14ac:dyDescent="0.3">
      <c r="A61" t="s">
        <v>3217</v>
      </c>
      <c r="B61">
        <v>60</v>
      </c>
      <c r="C61">
        <v>132</v>
      </c>
      <c r="D61">
        <v>157</v>
      </c>
      <c r="G61" t="s">
        <v>3373</v>
      </c>
      <c r="I61" t="s">
        <v>3373</v>
      </c>
      <c r="J61" t="s">
        <v>3373</v>
      </c>
      <c r="K61" t="s">
        <v>3374</v>
      </c>
      <c r="M61" t="s">
        <v>3375</v>
      </c>
      <c r="O61" t="s">
        <v>778</v>
      </c>
      <c r="R61" t="s">
        <v>3221</v>
      </c>
      <c r="S61" t="s">
        <v>3222</v>
      </c>
      <c r="T61" t="s">
        <v>3223</v>
      </c>
      <c r="U61" t="s">
        <v>2692</v>
      </c>
      <c r="Y61" t="s">
        <v>3217</v>
      </c>
      <c r="Z61">
        <v>325</v>
      </c>
      <c r="AA61" s="31">
        <v>45604</v>
      </c>
      <c r="AB61" s="61">
        <v>0.72950231481481487</v>
      </c>
      <c r="AC61" t="s">
        <v>795</v>
      </c>
      <c r="AD61" s="31">
        <v>45929</v>
      </c>
      <c r="AE61" s="61">
        <v>0.70288194444444441</v>
      </c>
      <c r="AF61" t="s">
        <v>796</v>
      </c>
      <c r="AQ61">
        <v>1</v>
      </c>
    </row>
    <row r="62" spans="1:43" x14ac:dyDescent="0.3">
      <c r="A62" t="s">
        <v>3217</v>
      </c>
      <c r="B62">
        <v>61</v>
      </c>
      <c r="C62">
        <v>133</v>
      </c>
      <c r="D62">
        <v>159</v>
      </c>
      <c r="G62" t="s">
        <v>625</v>
      </c>
      <c r="I62" t="s">
        <v>625</v>
      </c>
      <c r="J62" t="s">
        <v>625</v>
      </c>
      <c r="K62" t="s">
        <v>3376</v>
      </c>
      <c r="M62" t="s">
        <v>2207</v>
      </c>
      <c r="O62" t="s">
        <v>778</v>
      </c>
      <c r="R62" t="s">
        <v>3221</v>
      </c>
      <c r="S62" t="s">
        <v>3222</v>
      </c>
      <c r="T62" t="s">
        <v>3223</v>
      </c>
      <c r="U62" t="s">
        <v>2692</v>
      </c>
      <c r="Y62" t="s">
        <v>3217</v>
      </c>
      <c r="Z62">
        <v>325</v>
      </c>
      <c r="AA62" s="31">
        <v>45604</v>
      </c>
      <c r="AB62" s="61">
        <v>0.72951388888888891</v>
      </c>
      <c r="AC62" t="s">
        <v>795</v>
      </c>
      <c r="AD62" s="31">
        <v>45929</v>
      </c>
      <c r="AE62" s="61">
        <v>0.70248842592592597</v>
      </c>
      <c r="AF62" t="s">
        <v>796</v>
      </c>
      <c r="AQ62">
        <v>1</v>
      </c>
    </row>
    <row r="63" spans="1:43" x14ac:dyDescent="0.3">
      <c r="A63" t="s">
        <v>3217</v>
      </c>
      <c r="B63">
        <v>62</v>
      </c>
      <c r="C63">
        <v>134</v>
      </c>
      <c r="D63">
        <v>161</v>
      </c>
      <c r="G63" t="s">
        <v>3377</v>
      </c>
      <c r="I63" t="s">
        <v>3377</v>
      </c>
      <c r="J63" t="s">
        <v>3377</v>
      </c>
      <c r="K63" t="s">
        <v>3378</v>
      </c>
      <c r="M63" t="s">
        <v>3379</v>
      </c>
      <c r="O63" t="s">
        <v>778</v>
      </c>
      <c r="R63" t="s">
        <v>3221</v>
      </c>
      <c r="S63" t="s">
        <v>3222</v>
      </c>
      <c r="T63" t="s">
        <v>3223</v>
      </c>
      <c r="U63" t="s">
        <v>2692</v>
      </c>
      <c r="Y63" t="s">
        <v>3217</v>
      </c>
      <c r="Z63">
        <v>325</v>
      </c>
      <c r="AA63" s="31">
        <v>45604</v>
      </c>
      <c r="AB63" s="61">
        <v>0.72951388888888891</v>
      </c>
      <c r="AC63" t="s">
        <v>795</v>
      </c>
      <c r="AD63" s="31">
        <v>45929</v>
      </c>
      <c r="AE63" s="61">
        <v>0.7025231481481482</v>
      </c>
      <c r="AF63" t="s">
        <v>796</v>
      </c>
      <c r="AQ63">
        <v>1</v>
      </c>
    </row>
    <row r="64" spans="1:43" x14ac:dyDescent="0.3">
      <c r="A64" t="s">
        <v>3217</v>
      </c>
      <c r="B64">
        <v>63</v>
      </c>
      <c r="C64">
        <v>135</v>
      </c>
      <c r="D64">
        <v>163</v>
      </c>
      <c r="G64" t="s">
        <v>229</v>
      </c>
      <c r="I64" t="s">
        <v>229</v>
      </c>
      <c r="J64" t="s">
        <v>229</v>
      </c>
      <c r="K64" t="s">
        <v>3380</v>
      </c>
      <c r="M64" t="s">
        <v>3381</v>
      </c>
      <c r="O64" t="s">
        <v>778</v>
      </c>
      <c r="R64" t="s">
        <v>3221</v>
      </c>
      <c r="S64" t="s">
        <v>3222</v>
      </c>
      <c r="T64" t="s">
        <v>3223</v>
      </c>
      <c r="U64" t="s">
        <v>2692</v>
      </c>
      <c r="Y64" t="s">
        <v>3217</v>
      </c>
      <c r="Z64">
        <v>325</v>
      </c>
      <c r="AA64" s="31">
        <v>45604</v>
      </c>
      <c r="AB64" s="61">
        <v>0.72951388888888891</v>
      </c>
      <c r="AC64" t="s">
        <v>795</v>
      </c>
      <c r="AD64" s="31">
        <v>45929</v>
      </c>
      <c r="AE64" s="61">
        <v>0.70254629629629628</v>
      </c>
      <c r="AF64" t="s">
        <v>796</v>
      </c>
      <c r="AQ64">
        <v>1</v>
      </c>
    </row>
    <row r="65" spans="1:43" x14ac:dyDescent="0.3">
      <c r="A65" t="s">
        <v>3217</v>
      </c>
      <c r="B65">
        <v>64</v>
      </c>
      <c r="C65">
        <v>136</v>
      </c>
      <c r="D65">
        <v>165</v>
      </c>
      <c r="G65" t="s">
        <v>3382</v>
      </c>
      <c r="I65" t="s">
        <v>3382</v>
      </c>
      <c r="J65" t="s">
        <v>3382</v>
      </c>
      <c r="K65" t="s">
        <v>3383</v>
      </c>
      <c r="M65" t="s">
        <v>3384</v>
      </c>
      <c r="O65" t="s">
        <v>778</v>
      </c>
      <c r="R65" t="s">
        <v>3221</v>
      </c>
      <c r="S65" t="s">
        <v>3222</v>
      </c>
      <c r="T65" t="s">
        <v>3223</v>
      </c>
      <c r="U65" t="s">
        <v>2692</v>
      </c>
      <c r="Y65" t="s">
        <v>3217</v>
      </c>
      <c r="Z65">
        <v>325</v>
      </c>
      <c r="AA65" s="31">
        <v>45604</v>
      </c>
      <c r="AB65" s="61">
        <v>0.72951388888888891</v>
      </c>
      <c r="AC65" t="s">
        <v>795</v>
      </c>
      <c r="AD65" s="31">
        <v>45929</v>
      </c>
      <c r="AE65" s="61">
        <v>0.70256944444444447</v>
      </c>
      <c r="AF65" t="s">
        <v>796</v>
      </c>
      <c r="AQ65">
        <v>1</v>
      </c>
    </row>
    <row r="66" spans="1:43" x14ac:dyDescent="0.3">
      <c r="A66" t="s">
        <v>3217</v>
      </c>
      <c r="B66">
        <v>65</v>
      </c>
      <c r="C66">
        <v>137</v>
      </c>
      <c r="D66">
        <v>167</v>
      </c>
      <c r="G66" t="s">
        <v>116</v>
      </c>
      <c r="I66" t="s">
        <v>116</v>
      </c>
      <c r="J66" t="s">
        <v>116</v>
      </c>
      <c r="K66" t="s">
        <v>3385</v>
      </c>
      <c r="M66" t="s">
        <v>3386</v>
      </c>
      <c r="O66" t="s">
        <v>778</v>
      </c>
      <c r="R66" t="s">
        <v>3221</v>
      </c>
      <c r="S66" t="s">
        <v>3222</v>
      </c>
      <c r="T66" t="s">
        <v>3223</v>
      </c>
      <c r="U66" t="s">
        <v>2692</v>
      </c>
      <c r="Y66" t="s">
        <v>3217</v>
      </c>
      <c r="Z66">
        <v>325</v>
      </c>
      <c r="AA66" s="31">
        <v>45604</v>
      </c>
      <c r="AB66" s="61">
        <v>0.72951388888888891</v>
      </c>
      <c r="AC66" t="s">
        <v>795</v>
      </c>
      <c r="AD66" s="31">
        <v>45929</v>
      </c>
      <c r="AE66" s="61">
        <v>0.70259259259259255</v>
      </c>
      <c r="AF66" t="s">
        <v>796</v>
      </c>
      <c r="AQ66">
        <v>1</v>
      </c>
    </row>
    <row r="67" spans="1:43" x14ac:dyDescent="0.3">
      <c r="A67" t="s">
        <v>3217</v>
      </c>
      <c r="B67">
        <v>66</v>
      </c>
      <c r="C67">
        <v>138</v>
      </c>
      <c r="D67">
        <v>169</v>
      </c>
      <c r="G67" t="s">
        <v>3387</v>
      </c>
      <c r="I67" t="s">
        <v>3387</v>
      </c>
      <c r="J67" t="s">
        <v>3387</v>
      </c>
      <c r="K67" t="s">
        <v>3388</v>
      </c>
      <c r="M67" t="s">
        <v>3389</v>
      </c>
      <c r="O67" t="s">
        <v>778</v>
      </c>
      <c r="R67" t="s">
        <v>3221</v>
      </c>
      <c r="S67" t="s">
        <v>3222</v>
      </c>
      <c r="T67" t="s">
        <v>3223</v>
      </c>
      <c r="U67" t="s">
        <v>2692</v>
      </c>
      <c r="Y67" t="s">
        <v>3217</v>
      </c>
      <c r="Z67">
        <v>325</v>
      </c>
      <c r="AA67" s="31">
        <v>45604</v>
      </c>
      <c r="AB67" s="61">
        <v>0.72951388888888891</v>
      </c>
      <c r="AC67" t="s">
        <v>795</v>
      </c>
      <c r="AD67" s="31">
        <v>45929</v>
      </c>
      <c r="AE67" s="61">
        <v>0.70262731481481477</v>
      </c>
      <c r="AF67" t="s">
        <v>796</v>
      </c>
      <c r="AQ67">
        <v>1</v>
      </c>
    </row>
    <row r="68" spans="1:43" x14ac:dyDescent="0.3">
      <c r="A68" t="s">
        <v>3217</v>
      </c>
      <c r="B68">
        <v>67</v>
      </c>
      <c r="C68">
        <v>139</v>
      </c>
      <c r="D68">
        <v>171</v>
      </c>
      <c r="G68" t="s">
        <v>3390</v>
      </c>
      <c r="I68" t="s">
        <v>3390</v>
      </c>
      <c r="J68" t="s">
        <v>3390</v>
      </c>
      <c r="K68" t="s">
        <v>2046</v>
      </c>
      <c r="M68" t="s">
        <v>2047</v>
      </c>
      <c r="O68" t="s">
        <v>778</v>
      </c>
      <c r="P68" t="s">
        <v>3391</v>
      </c>
      <c r="R68" t="s">
        <v>3221</v>
      </c>
      <c r="S68" t="s">
        <v>3222</v>
      </c>
      <c r="T68" t="s">
        <v>3223</v>
      </c>
      <c r="U68" t="s">
        <v>2692</v>
      </c>
      <c r="Y68" t="s">
        <v>3217</v>
      </c>
      <c r="Z68">
        <v>325</v>
      </c>
      <c r="AA68" s="31">
        <v>45604</v>
      </c>
      <c r="AB68" s="61">
        <v>0.72951388888888891</v>
      </c>
      <c r="AC68" t="s">
        <v>795</v>
      </c>
      <c r="AD68" s="31">
        <v>45929</v>
      </c>
      <c r="AE68" s="61">
        <v>0.70265046296296296</v>
      </c>
      <c r="AF68" t="s">
        <v>796</v>
      </c>
      <c r="AQ68">
        <v>1</v>
      </c>
    </row>
    <row r="69" spans="1:43" x14ac:dyDescent="0.3">
      <c r="A69" t="s">
        <v>3217</v>
      </c>
      <c r="B69">
        <v>68</v>
      </c>
      <c r="C69">
        <v>140</v>
      </c>
      <c r="D69">
        <v>173</v>
      </c>
      <c r="G69" t="s">
        <v>3392</v>
      </c>
      <c r="I69" t="s">
        <v>3392</v>
      </c>
      <c r="J69" t="s">
        <v>3392</v>
      </c>
      <c r="K69" t="s">
        <v>3393</v>
      </c>
      <c r="M69" t="s">
        <v>3394</v>
      </c>
      <c r="O69" t="s">
        <v>778</v>
      </c>
      <c r="R69" t="s">
        <v>3221</v>
      </c>
      <c r="S69" t="s">
        <v>3222</v>
      </c>
      <c r="T69" t="s">
        <v>3223</v>
      </c>
      <c r="U69" t="s">
        <v>2692</v>
      </c>
      <c r="Y69" t="s">
        <v>3217</v>
      </c>
      <c r="Z69">
        <v>325</v>
      </c>
      <c r="AA69" s="31">
        <v>45604</v>
      </c>
      <c r="AB69" s="61">
        <v>0.72951388888888891</v>
      </c>
      <c r="AC69" t="s">
        <v>795</v>
      </c>
      <c r="AD69" s="31">
        <v>45929</v>
      </c>
      <c r="AE69" s="61">
        <v>0.70267361111111115</v>
      </c>
      <c r="AF69" t="s">
        <v>796</v>
      </c>
      <c r="AQ69">
        <v>1</v>
      </c>
    </row>
    <row r="70" spans="1:43" x14ac:dyDescent="0.3">
      <c r="A70" t="s">
        <v>3217</v>
      </c>
      <c r="B70">
        <v>69</v>
      </c>
      <c r="C70">
        <v>141</v>
      </c>
      <c r="D70">
        <v>175</v>
      </c>
      <c r="G70" t="s">
        <v>434</v>
      </c>
      <c r="I70" t="s">
        <v>434</v>
      </c>
      <c r="J70" t="s">
        <v>434</v>
      </c>
      <c r="K70" t="s">
        <v>3395</v>
      </c>
      <c r="M70" t="s">
        <v>3396</v>
      </c>
      <c r="O70" t="s">
        <v>778</v>
      </c>
      <c r="R70" t="s">
        <v>3221</v>
      </c>
      <c r="S70" t="s">
        <v>3222</v>
      </c>
      <c r="T70" t="s">
        <v>3223</v>
      </c>
      <c r="U70" t="s">
        <v>2692</v>
      </c>
      <c r="Y70" t="s">
        <v>3217</v>
      </c>
      <c r="Z70">
        <v>325</v>
      </c>
      <c r="AA70" s="31">
        <v>45604</v>
      </c>
      <c r="AB70" s="61">
        <v>0.72951388888888891</v>
      </c>
      <c r="AC70" t="s">
        <v>795</v>
      </c>
      <c r="AD70" s="31">
        <v>45929</v>
      </c>
      <c r="AE70" s="61">
        <v>0.70270833333333338</v>
      </c>
      <c r="AF70" t="s">
        <v>796</v>
      </c>
      <c r="AQ70">
        <v>1</v>
      </c>
    </row>
    <row r="71" spans="1:43" x14ac:dyDescent="0.3">
      <c r="A71" t="s">
        <v>3217</v>
      </c>
      <c r="B71">
        <v>70</v>
      </c>
      <c r="C71">
        <v>142</v>
      </c>
      <c r="D71">
        <v>177</v>
      </c>
      <c r="G71" t="s">
        <v>3397</v>
      </c>
      <c r="I71" t="s">
        <v>3397</v>
      </c>
      <c r="J71" t="s">
        <v>3397</v>
      </c>
      <c r="K71" t="s">
        <v>3398</v>
      </c>
      <c r="M71" t="s">
        <v>3399</v>
      </c>
      <c r="O71" t="s">
        <v>778</v>
      </c>
      <c r="P71" t="s">
        <v>3400</v>
      </c>
      <c r="Q71" t="s">
        <v>1699</v>
      </c>
      <c r="R71" t="s">
        <v>3221</v>
      </c>
      <c r="S71" t="s">
        <v>3222</v>
      </c>
      <c r="T71" t="s">
        <v>3223</v>
      </c>
      <c r="U71" t="s">
        <v>2692</v>
      </c>
      <c r="Y71" t="s">
        <v>3217</v>
      </c>
      <c r="Z71">
        <v>325</v>
      </c>
      <c r="AA71" s="31">
        <v>45604</v>
      </c>
      <c r="AB71" s="61">
        <v>0.72951388888888891</v>
      </c>
      <c r="AC71" t="s">
        <v>795</v>
      </c>
      <c r="AD71" s="31">
        <v>45929</v>
      </c>
      <c r="AE71" s="61">
        <v>0.70271990740740742</v>
      </c>
      <c r="AF71" t="s">
        <v>796</v>
      </c>
      <c r="AQ71">
        <v>1</v>
      </c>
    </row>
    <row r="72" spans="1:43" x14ac:dyDescent="0.3">
      <c r="A72" t="s">
        <v>3217</v>
      </c>
      <c r="B72">
        <v>71</v>
      </c>
      <c r="C72">
        <v>143</v>
      </c>
      <c r="D72">
        <v>179</v>
      </c>
      <c r="G72" t="s">
        <v>689</v>
      </c>
      <c r="I72" t="s">
        <v>689</v>
      </c>
      <c r="J72" t="s">
        <v>689</v>
      </c>
      <c r="K72" t="s">
        <v>3401</v>
      </c>
      <c r="M72" t="s">
        <v>3402</v>
      </c>
      <c r="O72" t="s">
        <v>778</v>
      </c>
      <c r="R72" t="s">
        <v>3221</v>
      </c>
      <c r="S72" t="s">
        <v>3222</v>
      </c>
      <c r="T72" t="s">
        <v>3223</v>
      </c>
      <c r="U72" t="s">
        <v>2692</v>
      </c>
      <c r="Y72" t="s">
        <v>3217</v>
      </c>
      <c r="Z72">
        <v>325</v>
      </c>
      <c r="AA72" s="31">
        <v>45604</v>
      </c>
      <c r="AB72" s="61">
        <v>0.72951388888888891</v>
      </c>
      <c r="AC72" t="s">
        <v>795</v>
      </c>
      <c r="AD72" s="31">
        <v>45929</v>
      </c>
      <c r="AE72" s="61">
        <v>0.70274305555555561</v>
      </c>
      <c r="AF72" t="s">
        <v>796</v>
      </c>
      <c r="AQ72">
        <v>1</v>
      </c>
    </row>
    <row r="73" spans="1:43" x14ac:dyDescent="0.3">
      <c r="A73" t="s">
        <v>31</v>
      </c>
      <c r="B73">
        <v>72</v>
      </c>
      <c r="C73">
        <v>144</v>
      </c>
      <c r="D73">
        <v>521</v>
      </c>
      <c r="G73" t="s">
        <v>3403</v>
      </c>
      <c r="I73" t="s">
        <v>3404</v>
      </c>
      <c r="J73" t="s">
        <v>3405</v>
      </c>
      <c r="K73" t="s">
        <v>3406</v>
      </c>
      <c r="M73" t="s">
        <v>3407</v>
      </c>
      <c r="O73" t="s">
        <v>778</v>
      </c>
      <c r="S73" t="s">
        <v>3408</v>
      </c>
      <c r="T73" t="s">
        <v>319</v>
      </c>
      <c r="U73" t="s">
        <v>3409</v>
      </c>
      <c r="Y73" t="s">
        <v>22</v>
      </c>
      <c r="Z73">
        <v>142</v>
      </c>
      <c r="AA73" s="31">
        <v>45622</v>
      </c>
      <c r="AB73" s="61">
        <v>0.68312499999999998</v>
      </c>
      <c r="AC73" t="s">
        <v>795</v>
      </c>
      <c r="AD73" s="31">
        <v>45764</v>
      </c>
      <c r="AE73" s="61">
        <v>0.50594907407407408</v>
      </c>
      <c r="AF73" t="s">
        <v>934</v>
      </c>
      <c r="AH73" t="s">
        <v>3410</v>
      </c>
      <c r="AQ73">
        <v>1</v>
      </c>
    </row>
    <row r="74" spans="1:43" x14ac:dyDescent="0.3">
      <c r="A74" t="s">
        <v>31</v>
      </c>
      <c r="B74">
        <v>73</v>
      </c>
      <c r="C74">
        <v>144</v>
      </c>
      <c r="D74">
        <v>521</v>
      </c>
      <c r="G74" t="s">
        <v>3411</v>
      </c>
      <c r="I74" t="s">
        <v>3404</v>
      </c>
      <c r="J74" t="s">
        <v>3405</v>
      </c>
      <c r="K74" t="s">
        <v>3406</v>
      </c>
      <c r="M74" t="s">
        <v>3407</v>
      </c>
      <c r="O74" t="s">
        <v>778</v>
      </c>
      <c r="S74" t="s">
        <v>3412</v>
      </c>
      <c r="T74" t="s">
        <v>319</v>
      </c>
      <c r="U74" t="s">
        <v>3409</v>
      </c>
      <c r="Y74" t="s">
        <v>22</v>
      </c>
      <c r="Z74">
        <v>142</v>
      </c>
      <c r="AA74" s="31">
        <v>45622</v>
      </c>
      <c r="AB74" s="61">
        <v>0.68312499999999998</v>
      </c>
      <c r="AC74" t="s">
        <v>795</v>
      </c>
      <c r="AD74" s="31">
        <v>45764</v>
      </c>
      <c r="AE74" s="61">
        <v>0.50575231481481486</v>
      </c>
      <c r="AF74" t="s">
        <v>934</v>
      </c>
      <c r="AH74" t="s">
        <v>945</v>
      </c>
      <c r="AQ74">
        <v>1</v>
      </c>
    </row>
    <row r="75" spans="1:43" x14ac:dyDescent="0.3">
      <c r="A75" t="s">
        <v>31</v>
      </c>
      <c r="B75">
        <v>74</v>
      </c>
      <c r="C75">
        <v>97</v>
      </c>
      <c r="D75">
        <v>88</v>
      </c>
      <c r="G75" t="s">
        <v>3413</v>
      </c>
      <c r="H75">
        <v>22500484000170</v>
      </c>
      <c r="I75" t="s">
        <v>669</v>
      </c>
      <c r="J75" t="s">
        <v>3414</v>
      </c>
      <c r="K75" t="s">
        <v>3415</v>
      </c>
      <c r="M75" t="s">
        <v>3294</v>
      </c>
      <c r="O75" t="s">
        <v>778</v>
      </c>
      <c r="S75" t="s">
        <v>3416</v>
      </c>
      <c r="T75" t="s">
        <v>319</v>
      </c>
      <c r="U75" t="s">
        <v>3417</v>
      </c>
      <c r="Y75" t="s">
        <v>22</v>
      </c>
      <c r="Z75">
        <v>84</v>
      </c>
      <c r="AA75" s="31">
        <v>45622</v>
      </c>
      <c r="AB75" s="61">
        <v>0.68312499999999998</v>
      </c>
      <c r="AC75" t="s">
        <v>795</v>
      </c>
      <c r="AD75" s="31">
        <v>45706</v>
      </c>
      <c r="AE75" s="61">
        <v>0.72165509259259264</v>
      </c>
      <c r="AF75" t="s">
        <v>796</v>
      </c>
      <c r="AH75" t="s">
        <v>3418</v>
      </c>
      <c r="AQ75">
        <v>1</v>
      </c>
    </row>
    <row r="76" spans="1:43" x14ac:dyDescent="0.3">
      <c r="A76" t="s">
        <v>31</v>
      </c>
      <c r="B76">
        <v>75</v>
      </c>
      <c r="C76">
        <v>145</v>
      </c>
      <c r="D76">
        <v>525</v>
      </c>
      <c r="G76" t="s">
        <v>3419</v>
      </c>
      <c r="H76">
        <v>774215000160</v>
      </c>
      <c r="I76" t="s">
        <v>3420</v>
      </c>
      <c r="J76" t="s">
        <v>2927</v>
      </c>
      <c r="K76" t="s">
        <v>3421</v>
      </c>
      <c r="M76" t="s">
        <v>3422</v>
      </c>
      <c r="O76" t="s">
        <v>778</v>
      </c>
      <c r="S76" t="s">
        <v>3423</v>
      </c>
      <c r="T76" t="s">
        <v>319</v>
      </c>
      <c r="U76" t="s">
        <v>3417</v>
      </c>
      <c r="Y76" t="s">
        <v>22</v>
      </c>
      <c r="Z76">
        <v>15</v>
      </c>
      <c r="AA76" s="31">
        <v>45622</v>
      </c>
      <c r="AB76" s="61">
        <v>0.68312499999999998</v>
      </c>
      <c r="AC76" t="s">
        <v>795</v>
      </c>
      <c r="AD76" s="31">
        <v>45637</v>
      </c>
      <c r="AE76" s="61">
        <v>0.41211805555555547</v>
      </c>
      <c r="AF76" t="s">
        <v>974</v>
      </c>
      <c r="AH76" t="s">
        <v>947</v>
      </c>
      <c r="AQ76">
        <v>1</v>
      </c>
    </row>
    <row r="77" spans="1:43" x14ac:dyDescent="0.3">
      <c r="A77" t="s">
        <v>31</v>
      </c>
      <c r="B77">
        <v>76</v>
      </c>
      <c r="C77">
        <v>146</v>
      </c>
      <c r="D77">
        <v>527</v>
      </c>
      <c r="G77" t="s">
        <v>3424</v>
      </c>
      <c r="I77" t="s">
        <v>3425</v>
      </c>
      <c r="J77" t="s">
        <v>3426</v>
      </c>
      <c r="K77" t="s">
        <v>3427</v>
      </c>
      <c r="M77" t="s">
        <v>3428</v>
      </c>
      <c r="O77" t="s">
        <v>778</v>
      </c>
      <c r="S77" t="s">
        <v>3408</v>
      </c>
      <c r="T77" t="s">
        <v>319</v>
      </c>
      <c r="U77" t="s">
        <v>3409</v>
      </c>
      <c r="Y77" t="s">
        <v>22</v>
      </c>
      <c r="Z77">
        <v>182</v>
      </c>
      <c r="AA77" s="31">
        <v>45622</v>
      </c>
      <c r="AB77" s="61">
        <v>0.68312499999999998</v>
      </c>
      <c r="AC77" t="s">
        <v>795</v>
      </c>
      <c r="AD77" s="31">
        <v>45804</v>
      </c>
      <c r="AE77" s="61">
        <v>0.79173611111111108</v>
      </c>
      <c r="AF77" t="s">
        <v>796</v>
      </c>
      <c r="AH77" t="s">
        <v>946</v>
      </c>
      <c r="AQ77">
        <v>1</v>
      </c>
    </row>
    <row r="78" spans="1:43" x14ac:dyDescent="0.3">
      <c r="A78" t="s">
        <v>31</v>
      </c>
      <c r="B78">
        <v>77</v>
      </c>
      <c r="C78">
        <v>147</v>
      </c>
      <c r="D78">
        <v>848</v>
      </c>
      <c r="G78" t="s">
        <v>3429</v>
      </c>
      <c r="H78">
        <v>7964558000136</v>
      </c>
      <c r="I78" t="s">
        <v>3430</v>
      </c>
      <c r="J78" t="s">
        <v>3431</v>
      </c>
      <c r="K78" t="s">
        <v>3432</v>
      </c>
      <c r="M78" t="s">
        <v>3433</v>
      </c>
      <c r="O78" t="s">
        <v>778</v>
      </c>
      <c r="S78" t="s">
        <v>984</v>
      </c>
      <c r="T78" t="s">
        <v>319</v>
      </c>
      <c r="U78" t="s">
        <v>816</v>
      </c>
      <c r="W78">
        <v>4240</v>
      </c>
      <c r="Y78" t="s">
        <v>22</v>
      </c>
      <c r="Z78">
        <v>41</v>
      </c>
      <c r="AA78" s="31">
        <v>45622</v>
      </c>
      <c r="AB78" s="61">
        <v>0.68313657407407402</v>
      </c>
      <c r="AC78" t="s">
        <v>818</v>
      </c>
      <c r="AD78" s="31">
        <v>45663</v>
      </c>
      <c r="AE78" s="61">
        <v>0.61962962962962964</v>
      </c>
      <c r="AH78" t="s">
        <v>888</v>
      </c>
      <c r="AQ78">
        <v>1</v>
      </c>
    </row>
    <row r="79" spans="1:43" x14ac:dyDescent="0.3">
      <c r="A79" t="s">
        <v>31</v>
      </c>
      <c r="B79">
        <v>80</v>
      </c>
      <c r="C79">
        <v>150</v>
      </c>
      <c r="D79">
        <v>535</v>
      </c>
      <c r="G79" t="s">
        <v>3434</v>
      </c>
      <c r="H79">
        <v>32258848000101</v>
      </c>
      <c r="I79" t="s">
        <v>3435</v>
      </c>
      <c r="J79" t="s">
        <v>1540</v>
      </c>
      <c r="K79" t="s">
        <v>3436</v>
      </c>
      <c r="M79" t="s">
        <v>3437</v>
      </c>
      <c r="O79" t="s">
        <v>778</v>
      </c>
      <c r="S79" t="s">
        <v>3408</v>
      </c>
      <c r="T79" t="s">
        <v>319</v>
      </c>
      <c r="U79" t="s">
        <v>3417</v>
      </c>
      <c r="Y79" t="s">
        <v>22</v>
      </c>
      <c r="Z79">
        <v>121</v>
      </c>
      <c r="AA79" s="31">
        <v>45622</v>
      </c>
      <c r="AB79" s="61">
        <v>0.68313657407407402</v>
      </c>
      <c r="AC79" t="s">
        <v>795</v>
      </c>
      <c r="AD79" s="31">
        <v>45743</v>
      </c>
      <c r="AE79" s="61">
        <v>0.35857638888888888</v>
      </c>
      <c r="AF79" t="s">
        <v>796</v>
      </c>
      <c r="AH79" t="s">
        <v>957</v>
      </c>
      <c r="AI79" t="s">
        <v>1364</v>
      </c>
      <c r="AQ79">
        <v>1</v>
      </c>
    </row>
    <row r="80" spans="1:43" x14ac:dyDescent="0.3">
      <c r="A80" t="s">
        <v>31</v>
      </c>
      <c r="B80">
        <v>81</v>
      </c>
      <c r="C80">
        <v>151</v>
      </c>
      <c r="D80">
        <v>537</v>
      </c>
      <c r="G80" t="s">
        <v>3438</v>
      </c>
      <c r="I80" t="s">
        <v>3439</v>
      </c>
      <c r="J80" t="s">
        <v>3440</v>
      </c>
      <c r="K80" t="s">
        <v>3395</v>
      </c>
      <c r="M80" t="s">
        <v>3441</v>
      </c>
      <c r="O80" t="s">
        <v>778</v>
      </c>
      <c r="S80" t="s">
        <v>3442</v>
      </c>
      <c r="T80" t="s">
        <v>319</v>
      </c>
      <c r="U80" t="s">
        <v>816</v>
      </c>
      <c r="Y80" t="s">
        <v>22</v>
      </c>
      <c r="Z80">
        <v>73</v>
      </c>
      <c r="AA80" s="31">
        <v>45622</v>
      </c>
      <c r="AB80" s="61">
        <v>0.68313657407407402</v>
      </c>
      <c r="AC80" t="s">
        <v>795</v>
      </c>
      <c r="AD80" s="31">
        <v>45695</v>
      </c>
      <c r="AE80" s="61">
        <v>0.65645833333333337</v>
      </c>
      <c r="AF80" t="s">
        <v>796</v>
      </c>
      <c r="AH80" t="s">
        <v>3443</v>
      </c>
      <c r="AQ80">
        <v>1</v>
      </c>
    </row>
    <row r="81" spans="1:43" x14ac:dyDescent="0.3">
      <c r="A81" t="s">
        <v>31</v>
      </c>
      <c r="B81">
        <v>82</v>
      </c>
      <c r="C81">
        <v>152</v>
      </c>
      <c r="D81">
        <v>539</v>
      </c>
      <c r="G81" t="s">
        <v>3444</v>
      </c>
      <c r="I81" t="s">
        <v>3445</v>
      </c>
      <c r="J81" t="s">
        <v>3446</v>
      </c>
      <c r="K81" t="s">
        <v>3447</v>
      </c>
      <c r="M81" t="s">
        <v>3448</v>
      </c>
      <c r="O81" t="s">
        <v>778</v>
      </c>
      <c r="S81" t="s">
        <v>3408</v>
      </c>
      <c r="T81" t="s">
        <v>319</v>
      </c>
      <c r="U81" t="s">
        <v>3417</v>
      </c>
      <c r="Y81" t="s">
        <v>22</v>
      </c>
      <c r="Z81">
        <v>121</v>
      </c>
      <c r="AA81" s="31">
        <v>45622</v>
      </c>
      <c r="AB81" s="61">
        <v>0.68313657407407402</v>
      </c>
      <c r="AC81" t="s">
        <v>795</v>
      </c>
      <c r="AD81" s="31">
        <v>45743</v>
      </c>
      <c r="AE81" s="61">
        <v>0.35847222222222219</v>
      </c>
      <c r="AF81" t="s">
        <v>796</v>
      </c>
      <c r="AH81" t="s">
        <v>3449</v>
      </c>
      <c r="AQ81">
        <v>1</v>
      </c>
    </row>
    <row r="82" spans="1:43" x14ac:dyDescent="0.3">
      <c r="A82" t="s">
        <v>31</v>
      </c>
      <c r="B82">
        <v>83</v>
      </c>
      <c r="C82">
        <v>153</v>
      </c>
      <c r="D82">
        <v>541</v>
      </c>
      <c r="G82" t="s">
        <v>3450</v>
      </c>
      <c r="I82" t="s">
        <v>3451</v>
      </c>
      <c r="J82" t="s">
        <v>3452</v>
      </c>
      <c r="K82" t="s">
        <v>3453</v>
      </c>
      <c r="M82" t="s">
        <v>3454</v>
      </c>
      <c r="O82" t="s">
        <v>778</v>
      </c>
      <c r="S82" t="s">
        <v>984</v>
      </c>
      <c r="T82" t="s">
        <v>319</v>
      </c>
      <c r="U82" t="s">
        <v>3409</v>
      </c>
      <c r="Y82" t="s">
        <v>22</v>
      </c>
      <c r="Z82">
        <v>45</v>
      </c>
      <c r="AA82" s="31">
        <v>45622</v>
      </c>
      <c r="AB82" s="61">
        <v>0.68313657407407402</v>
      </c>
      <c r="AC82" t="s">
        <v>795</v>
      </c>
      <c r="AD82" s="31">
        <v>45667</v>
      </c>
      <c r="AE82" s="61">
        <v>0.63896990740740744</v>
      </c>
      <c r="AF82" t="s">
        <v>934</v>
      </c>
      <c r="AH82" t="s">
        <v>1021</v>
      </c>
      <c r="AQ82">
        <v>1</v>
      </c>
    </row>
    <row r="83" spans="1:43" x14ac:dyDescent="0.3">
      <c r="A83" t="s">
        <v>31</v>
      </c>
      <c r="B83">
        <v>84</v>
      </c>
      <c r="C83">
        <v>154</v>
      </c>
      <c r="D83">
        <v>543</v>
      </c>
      <c r="G83" t="s">
        <v>3455</v>
      </c>
      <c r="H83">
        <v>790751000159</v>
      </c>
      <c r="I83" t="s">
        <v>3456</v>
      </c>
      <c r="J83" t="s">
        <v>3457</v>
      </c>
      <c r="K83" t="s">
        <v>3458</v>
      </c>
      <c r="M83" t="s">
        <v>3459</v>
      </c>
      <c r="O83" t="s">
        <v>778</v>
      </c>
      <c r="S83" t="s">
        <v>3460</v>
      </c>
      <c r="T83" t="s">
        <v>319</v>
      </c>
      <c r="U83" t="s">
        <v>3417</v>
      </c>
      <c r="V83" t="s">
        <v>817</v>
      </c>
      <c r="W83">
        <v>169128</v>
      </c>
      <c r="X83">
        <v>7128</v>
      </c>
      <c r="Y83" t="s">
        <v>22</v>
      </c>
      <c r="Z83">
        <v>104</v>
      </c>
      <c r="AA83" s="31">
        <v>45622</v>
      </c>
      <c r="AB83" s="61">
        <v>0.68313657407407402</v>
      </c>
      <c r="AC83" t="s">
        <v>795</v>
      </c>
      <c r="AD83" s="31">
        <v>45726</v>
      </c>
      <c r="AE83" s="61">
        <v>0.42429398148148151</v>
      </c>
      <c r="AF83" t="s">
        <v>796</v>
      </c>
      <c r="AH83" t="s">
        <v>829</v>
      </c>
      <c r="AI83" t="s">
        <v>3461</v>
      </c>
      <c r="AQ83">
        <v>1</v>
      </c>
    </row>
    <row r="84" spans="1:43" x14ac:dyDescent="0.3">
      <c r="A84" t="s">
        <v>31</v>
      </c>
      <c r="B84">
        <v>117</v>
      </c>
      <c r="C84">
        <v>147</v>
      </c>
      <c r="D84">
        <v>848</v>
      </c>
      <c r="G84" t="s">
        <v>3462</v>
      </c>
      <c r="H84">
        <v>7964558000136</v>
      </c>
      <c r="I84" t="s">
        <v>3430</v>
      </c>
      <c r="J84" t="s">
        <v>3431</v>
      </c>
      <c r="K84" t="s">
        <v>3432</v>
      </c>
      <c r="M84" t="s">
        <v>3433</v>
      </c>
      <c r="O84" t="s">
        <v>778</v>
      </c>
      <c r="T84" t="s">
        <v>319</v>
      </c>
      <c r="U84" t="s">
        <v>3417</v>
      </c>
      <c r="Z84">
        <v>8</v>
      </c>
      <c r="AA84" s="31">
        <v>45629</v>
      </c>
      <c r="AB84" s="61">
        <v>0.68774305555555559</v>
      </c>
      <c r="AC84" t="s">
        <v>795</v>
      </c>
      <c r="AD84" s="31">
        <v>45637</v>
      </c>
      <c r="AE84" s="61">
        <v>0.41108796296296302</v>
      </c>
      <c r="AF84" t="s">
        <v>3463</v>
      </c>
      <c r="AH84" t="s">
        <v>829</v>
      </c>
      <c r="AI84" t="s">
        <v>829</v>
      </c>
      <c r="AQ84">
        <v>1</v>
      </c>
    </row>
    <row r="85" spans="1:43" x14ac:dyDescent="0.3">
      <c r="A85" t="s">
        <v>31</v>
      </c>
      <c r="B85">
        <v>120</v>
      </c>
      <c r="C85">
        <v>169</v>
      </c>
      <c r="D85">
        <v>853</v>
      </c>
      <c r="G85" t="s">
        <v>3464</v>
      </c>
      <c r="H85">
        <v>11458315000101</v>
      </c>
      <c r="I85" t="s">
        <v>3465</v>
      </c>
      <c r="J85" t="s">
        <v>3466</v>
      </c>
      <c r="K85" t="s">
        <v>3467</v>
      </c>
      <c r="M85" t="s">
        <v>3468</v>
      </c>
      <c r="O85" t="s">
        <v>3469</v>
      </c>
      <c r="P85" t="s">
        <v>3470</v>
      </c>
      <c r="Q85" t="s">
        <v>790</v>
      </c>
      <c r="S85" t="s">
        <v>3460</v>
      </c>
      <c r="T85" t="s">
        <v>319</v>
      </c>
      <c r="U85" t="s">
        <v>816</v>
      </c>
      <c r="W85">
        <v>66375</v>
      </c>
      <c r="X85">
        <v>0</v>
      </c>
      <c r="Z85">
        <v>147</v>
      </c>
      <c r="AA85" s="31">
        <v>45630</v>
      </c>
      <c r="AB85" s="61">
        <v>0.50695601851851857</v>
      </c>
      <c r="AC85" t="s">
        <v>818</v>
      </c>
      <c r="AD85" s="31">
        <v>45777</v>
      </c>
      <c r="AE85" s="61">
        <v>0.66732638888888884</v>
      </c>
      <c r="AH85" t="s">
        <v>1584</v>
      </c>
      <c r="AQ85">
        <v>1</v>
      </c>
    </row>
    <row r="86" spans="1:43" x14ac:dyDescent="0.3">
      <c r="A86" t="s">
        <v>31</v>
      </c>
      <c r="B86">
        <v>121</v>
      </c>
      <c r="C86">
        <v>113</v>
      </c>
      <c r="D86">
        <v>854</v>
      </c>
      <c r="G86" t="s">
        <v>3471</v>
      </c>
      <c r="I86" t="s">
        <v>65</v>
      </c>
      <c r="J86" t="s">
        <v>1252</v>
      </c>
      <c r="K86" t="s">
        <v>3472</v>
      </c>
      <c r="M86" t="s">
        <v>3329</v>
      </c>
      <c r="O86" t="s">
        <v>778</v>
      </c>
      <c r="T86" t="s">
        <v>319</v>
      </c>
      <c r="U86" t="s">
        <v>816</v>
      </c>
      <c r="W86">
        <v>3564</v>
      </c>
      <c r="Z86">
        <v>0</v>
      </c>
      <c r="AA86" s="31">
        <v>45630</v>
      </c>
      <c r="AB86" s="61">
        <v>0.51474537037037038</v>
      </c>
      <c r="AC86" t="s">
        <v>818</v>
      </c>
      <c r="AD86" s="31">
        <v>45630</v>
      </c>
      <c r="AE86" s="61">
        <v>0.65880787037037036</v>
      </c>
      <c r="AH86" t="s">
        <v>821</v>
      </c>
      <c r="AI86" t="s">
        <v>829</v>
      </c>
      <c r="AQ86">
        <v>1</v>
      </c>
    </row>
    <row r="87" spans="1:43" x14ac:dyDescent="0.3">
      <c r="A87" t="s">
        <v>31</v>
      </c>
      <c r="B87">
        <v>123</v>
      </c>
      <c r="C87">
        <v>169</v>
      </c>
      <c r="D87">
        <v>852</v>
      </c>
      <c r="G87" t="s">
        <v>3473</v>
      </c>
      <c r="H87">
        <v>11458315000101</v>
      </c>
      <c r="I87" t="s">
        <v>3465</v>
      </c>
      <c r="J87" t="s">
        <v>3474</v>
      </c>
      <c r="K87" t="s">
        <v>3475</v>
      </c>
      <c r="M87" t="s">
        <v>3468</v>
      </c>
      <c r="O87" t="s">
        <v>3469</v>
      </c>
      <c r="P87" t="s">
        <v>3470</v>
      </c>
      <c r="Q87" t="s">
        <v>790</v>
      </c>
      <c r="T87" t="s">
        <v>319</v>
      </c>
      <c r="U87" t="s">
        <v>3417</v>
      </c>
      <c r="Z87">
        <v>6</v>
      </c>
      <c r="AA87" s="31">
        <v>45631</v>
      </c>
      <c r="AB87" s="61">
        <v>0.45709490740740738</v>
      </c>
      <c r="AC87" t="s">
        <v>795</v>
      </c>
      <c r="AD87" s="31">
        <v>45637</v>
      </c>
      <c r="AE87" s="61">
        <v>0.61721064814814819</v>
      </c>
      <c r="AF87" t="s">
        <v>3463</v>
      </c>
      <c r="AH87" t="s">
        <v>1019</v>
      </c>
      <c r="AI87" t="s">
        <v>1019</v>
      </c>
      <c r="AQ87">
        <v>1</v>
      </c>
    </row>
    <row r="88" spans="1:43" x14ac:dyDescent="0.3">
      <c r="A88" t="s">
        <v>31</v>
      </c>
      <c r="B88">
        <v>124</v>
      </c>
      <c r="C88">
        <v>108</v>
      </c>
      <c r="D88">
        <v>109</v>
      </c>
      <c r="G88" t="s">
        <v>3476</v>
      </c>
      <c r="I88" t="s">
        <v>3321</v>
      </c>
      <c r="J88" t="s">
        <v>3321</v>
      </c>
      <c r="M88" t="s">
        <v>3322</v>
      </c>
      <c r="O88" t="s">
        <v>778</v>
      </c>
      <c r="T88" t="s">
        <v>319</v>
      </c>
      <c r="U88" t="s">
        <v>3417</v>
      </c>
      <c r="W88">
        <v>7140</v>
      </c>
      <c r="X88">
        <v>0</v>
      </c>
      <c r="Z88">
        <v>105</v>
      </c>
      <c r="AA88" s="31">
        <v>45631</v>
      </c>
      <c r="AB88" s="61">
        <v>0.6162037037037037</v>
      </c>
      <c r="AC88" t="s">
        <v>795</v>
      </c>
      <c r="AD88" s="31">
        <v>45736</v>
      </c>
      <c r="AE88" s="61">
        <v>0.41983796296296289</v>
      </c>
      <c r="AF88" t="s">
        <v>3463</v>
      </c>
      <c r="AH88" t="s">
        <v>1020</v>
      </c>
      <c r="AQ88">
        <v>1</v>
      </c>
    </row>
    <row r="89" spans="1:43" x14ac:dyDescent="0.3">
      <c r="A89" t="s">
        <v>31</v>
      </c>
      <c r="B89">
        <v>126</v>
      </c>
      <c r="C89">
        <v>170</v>
      </c>
      <c r="D89">
        <v>864</v>
      </c>
      <c r="G89" t="s">
        <v>496</v>
      </c>
      <c r="H89">
        <v>4150555001304</v>
      </c>
      <c r="I89" t="s">
        <v>3477</v>
      </c>
      <c r="J89" t="s">
        <v>3478</v>
      </c>
      <c r="K89" t="s">
        <v>3479</v>
      </c>
      <c r="M89" t="s">
        <v>3480</v>
      </c>
      <c r="O89" t="s">
        <v>3481</v>
      </c>
      <c r="P89" t="s">
        <v>3482</v>
      </c>
      <c r="Q89" t="s">
        <v>1699</v>
      </c>
      <c r="T89" t="s">
        <v>319</v>
      </c>
      <c r="U89" t="s">
        <v>816</v>
      </c>
      <c r="W89">
        <v>7128</v>
      </c>
      <c r="Z89">
        <v>2</v>
      </c>
      <c r="AA89" s="31">
        <v>45635</v>
      </c>
      <c r="AB89" s="61">
        <v>0.50931712962962961</v>
      </c>
      <c r="AC89" t="s">
        <v>818</v>
      </c>
      <c r="AD89" s="31">
        <v>45637</v>
      </c>
      <c r="AE89" s="61">
        <v>0.61657407407407405</v>
      </c>
      <c r="AH89" t="s">
        <v>841</v>
      </c>
      <c r="AI89" t="s">
        <v>1011</v>
      </c>
      <c r="AQ89">
        <v>1</v>
      </c>
    </row>
    <row r="90" spans="1:43" x14ac:dyDescent="0.3">
      <c r="A90" t="s">
        <v>31</v>
      </c>
      <c r="B90">
        <v>128</v>
      </c>
      <c r="C90">
        <v>171</v>
      </c>
      <c r="D90">
        <v>983</v>
      </c>
      <c r="G90" t="s">
        <v>3483</v>
      </c>
      <c r="H90">
        <v>39955762000187</v>
      </c>
      <c r="I90" t="s">
        <v>3484</v>
      </c>
      <c r="J90" t="s">
        <v>3485</v>
      </c>
      <c r="K90" t="s">
        <v>3486</v>
      </c>
      <c r="M90" t="s">
        <v>3487</v>
      </c>
      <c r="O90" t="s">
        <v>3488</v>
      </c>
      <c r="P90" t="s">
        <v>1094</v>
      </c>
      <c r="Q90" t="s">
        <v>790</v>
      </c>
      <c r="T90" t="s">
        <v>319</v>
      </c>
      <c r="U90" t="s">
        <v>816</v>
      </c>
      <c r="Z90">
        <v>2</v>
      </c>
      <c r="AA90" s="31">
        <v>45636</v>
      </c>
      <c r="AB90" s="61">
        <v>0.46460648148148148</v>
      </c>
      <c r="AC90" t="s">
        <v>818</v>
      </c>
      <c r="AD90" s="31">
        <v>45638</v>
      </c>
      <c r="AE90" s="61">
        <v>0.4626736111111111</v>
      </c>
      <c r="AH90" t="s">
        <v>1020</v>
      </c>
      <c r="AI90" t="s">
        <v>821</v>
      </c>
      <c r="AQ90">
        <v>1</v>
      </c>
    </row>
    <row r="91" spans="1:43" x14ac:dyDescent="0.3">
      <c r="A91" t="s">
        <v>31</v>
      </c>
      <c r="B91">
        <v>129</v>
      </c>
      <c r="C91">
        <v>93</v>
      </c>
      <c r="D91">
        <v>986</v>
      </c>
      <c r="G91" t="s">
        <v>3489</v>
      </c>
      <c r="I91" t="s">
        <v>3285</v>
      </c>
      <c r="J91" t="s">
        <v>3490</v>
      </c>
      <c r="K91" t="s">
        <v>3491</v>
      </c>
      <c r="M91" t="s">
        <v>3286</v>
      </c>
      <c r="O91" t="s">
        <v>778</v>
      </c>
      <c r="T91" t="s">
        <v>319</v>
      </c>
      <c r="U91" t="s">
        <v>781</v>
      </c>
      <c r="V91" t="s">
        <v>817</v>
      </c>
      <c r="W91">
        <v>0</v>
      </c>
      <c r="X91">
        <v>0</v>
      </c>
      <c r="Z91">
        <v>49</v>
      </c>
      <c r="AA91" s="31">
        <v>45637</v>
      </c>
      <c r="AB91" s="61">
        <v>0.61811342592592589</v>
      </c>
      <c r="AC91" t="s">
        <v>795</v>
      </c>
      <c r="AD91" s="31">
        <v>45686</v>
      </c>
      <c r="AE91" s="61">
        <v>0.72059027777777773</v>
      </c>
      <c r="AF91" t="s">
        <v>796</v>
      </c>
      <c r="AH91" t="s">
        <v>1003</v>
      </c>
      <c r="AI91" t="s">
        <v>3492</v>
      </c>
      <c r="AQ91">
        <v>1</v>
      </c>
    </row>
    <row r="92" spans="1:43" x14ac:dyDescent="0.3">
      <c r="A92" t="s">
        <v>31</v>
      </c>
      <c r="B92">
        <v>132</v>
      </c>
      <c r="C92">
        <v>150</v>
      </c>
      <c r="D92">
        <v>991</v>
      </c>
      <c r="G92" t="s">
        <v>3435</v>
      </c>
      <c r="H92">
        <v>32258848000101</v>
      </c>
      <c r="I92" t="s">
        <v>3435</v>
      </c>
      <c r="J92" t="s">
        <v>1540</v>
      </c>
      <c r="K92" t="s">
        <v>3493</v>
      </c>
      <c r="M92" t="s">
        <v>3437</v>
      </c>
      <c r="O92" t="s">
        <v>778</v>
      </c>
      <c r="T92" t="s">
        <v>319</v>
      </c>
      <c r="U92" t="s">
        <v>781</v>
      </c>
      <c r="Z92">
        <v>48</v>
      </c>
      <c r="AA92" s="31">
        <v>45638</v>
      </c>
      <c r="AB92" s="61">
        <v>0.50313657407407408</v>
      </c>
      <c r="AC92" t="s">
        <v>795</v>
      </c>
      <c r="AD92" s="31">
        <v>45686</v>
      </c>
      <c r="AE92" s="61">
        <v>0.72013888888888888</v>
      </c>
      <c r="AF92" t="s">
        <v>796</v>
      </c>
      <c r="AH92" t="s">
        <v>924</v>
      </c>
      <c r="AQ92">
        <v>1</v>
      </c>
    </row>
    <row r="93" spans="1:43" x14ac:dyDescent="0.3">
      <c r="A93" t="s">
        <v>31</v>
      </c>
      <c r="B93">
        <v>133</v>
      </c>
      <c r="C93">
        <v>173</v>
      </c>
      <c r="D93">
        <v>993</v>
      </c>
      <c r="G93" t="s">
        <v>3494</v>
      </c>
      <c r="H93">
        <v>27914031000104</v>
      </c>
      <c r="I93" t="s">
        <v>3495</v>
      </c>
      <c r="J93" t="s">
        <v>3496</v>
      </c>
      <c r="K93" t="s">
        <v>3497</v>
      </c>
      <c r="M93" t="s">
        <v>3498</v>
      </c>
      <c r="O93" t="s">
        <v>3499</v>
      </c>
      <c r="P93" t="s">
        <v>2489</v>
      </c>
      <c r="Q93" t="s">
        <v>790</v>
      </c>
      <c r="T93" t="s">
        <v>319</v>
      </c>
      <c r="U93" t="s">
        <v>816</v>
      </c>
      <c r="W93">
        <v>324648</v>
      </c>
      <c r="X93">
        <v>57024</v>
      </c>
      <c r="Z93">
        <v>67</v>
      </c>
      <c r="AA93" s="31">
        <v>45638</v>
      </c>
      <c r="AB93" s="61">
        <v>0.67980324074074072</v>
      </c>
      <c r="AC93" t="s">
        <v>818</v>
      </c>
      <c r="AD93" s="31">
        <v>45705</v>
      </c>
      <c r="AE93" s="61">
        <v>0.39378472222222222</v>
      </c>
      <c r="AH93" t="s">
        <v>830</v>
      </c>
      <c r="AI93" t="s">
        <v>1059</v>
      </c>
      <c r="AQ93">
        <v>1</v>
      </c>
    </row>
    <row r="94" spans="1:43" x14ac:dyDescent="0.3">
      <c r="A94" t="s">
        <v>31</v>
      </c>
      <c r="B94">
        <v>134</v>
      </c>
      <c r="C94">
        <v>172</v>
      </c>
      <c r="D94">
        <v>994</v>
      </c>
      <c r="G94" t="s">
        <v>3500</v>
      </c>
      <c r="H94">
        <v>33561753000125</v>
      </c>
      <c r="I94" t="s">
        <v>3501</v>
      </c>
      <c r="J94" t="s">
        <v>952</v>
      </c>
      <c r="K94" t="s">
        <v>3502</v>
      </c>
      <c r="M94" t="s">
        <v>3503</v>
      </c>
      <c r="O94" t="s">
        <v>3504</v>
      </c>
      <c r="P94" t="s">
        <v>3505</v>
      </c>
      <c r="Q94" t="s">
        <v>790</v>
      </c>
      <c r="T94" t="s">
        <v>319</v>
      </c>
      <c r="U94" t="s">
        <v>3417</v>
      </c>
      <c r="Z94">
        <v>29</v>
      </c>
      <c r="AA94" s="31">
        <v>45638</v>
      </c>
      <c r="AB94" s="61">
        <v>0.68358796296296298</v>
      </c>
      <c r="AC94" t="s">
        <v>795</v>
      </c>
      <c r="AD94" s="31">
        <v>45667</v>
      </c>
      <c r="AE94" s="61">
        <v>0.63577546296296295</v>
      </c>
      <c r="AF94" t="s">
        <v>934</v>
      </c>
      <c r="AH94" t="s">
        <v>1003</v>
      </c>
      <c r="AI94" t="s">
        <v>3492</v>
      </c>
      <c r="AQ94">
        <v>1</v>
      </c>
    </row>
    <row r="95" spans="1:43" x14ac:dyDescent="0.3">
      <c r="A95" t="s">
        <v>31</v>
      </c>
      <c r="B95">
        <v>136</v>
      </c>
      <c r="C95">
        <v>174</v>
      </c>
      <c r="D95">
        <v>1000</v>
      </c>
      <c r="G95" t="s">
        <v>3506</v>
      </c>
      <c r="H95">
        <v>45238441000164</v>
      </c>
      <c r="I95" t="s">
        <v>3507</v>
      </c>
      <c r="J95" t="s">
        <v>3508</v>
      </c>
      <c r="K95" t="s">
        <v>3509</v>
      </c>
      <c r="L95">
        <v>11973359869</v>
      </c>
      <c r="M95" t="s">
        <v>3510</v>
      </c>
      <c r="O95" t="s">
        <v>3511</v>
      </c>
      <c r="P95" t="s">
        <v>1094</v>
      </c>
      <c r="Q95" t="s">
        <v>790</v>
      </c>
      <c r="T95" t="s">
        <v>319</v>
      </c>
      <c r="U95" t="s">
        <v>3417</v>
      </c>
      <c r="Z95">
        <v>25</v>
      </c>
      <c r="AA95" s="31">
        <v>45639</v>
      </c>
      <c r="AB95" s="61">
        <v>0.4911921296296296</v>
      </c>
      <c r="AC95" t="s">
        <v>795</v>
      </c>
      <c r="AD95" s="31">
        <v>45664</v>
      </c>
      <c r="AE95" s="61">
        <v>0.63392361111111106</v>
      </c>
      <c r="AF95" t="s">
        <v>3463</v>
      </c>
      <c r="AH95" t="s">
        <v>3512</v>
      </c>
      <c r="AI95" t="s">
        <v>3513</v>
      </c>
      <c r="AQ95">
        <v>1</v>
      </c>
    </row>
    <row r="96" spans="1:43" x14ac:dyDescent="0.3">
      <c r="A96" t="s">
        <v>31</v>
      </c>
      <c r="B96">
        <v>137</v>
      </c>
      <c r="C96">
        <v>146</v>
      </c>
      <c r="D96">
        <v>1001</v>
      </c>
      <c r="G96" t="s">
        <v>3514</v>
      </c>
      <c r="I96" t="s">
        <v>3425</v>
      </c>
      <c r="J96" t="s">
        <v>3426</v>
      </c>
      <c r="K96" t="s">
        <v>3515</v>
      </c>
      <c r="M96" t="s">
        <v>3428</v>
      </c>
      <c r="O96" t="s">
        <v>778</v>
      </c>
      <c r="T96" t="s">
        <v>319</v>
      </c>
      <c r="U96" t="s">
        <v>816</v>
      </c>
      <c r="W96">
        <v>424</v>
      </c>
      <c r="Z96">
        <v>25</v>
      </c>
      <c r="AA96" s="31">
        <v>45639</v>
      </c>
      <c r="AB96" s="61">
        <v>0.50317129629629631</v>
      </c>
      <c r="AC96" t="s">
        <v>818</v>
      </c>
      <c r="AD96" s="31">
        <v>45664</v>
      </c>
      <c r="AE96" s="61">
        <v>0.51849537037037041</v>
      </c>
      <c r="AH96" t="s">
        <v>888</v>
      </c>
      <c r="AI96" t="s">
        <v>888</v>
      </c>
      <c r="AQ96">
        <v>1</v>
      </c>
    </row>
    <row r="97" spans="1:43" x14ac:dyDescent="0.3">
      <c r="A97" t="s">
        <v>31</v>
      </c>
      <c r="B97">
        <v>143</v>
      </c>
      <c r="C97">
        <v>93</v>
      </c>
      <c r="D97">
        <v>986</v>
      </c>
      <c r="G97" t="s">
        <v>3516</v>
      </c>
      <c r="I97" t="s">
        <v>3285</v>
      </c>
      <c r="J97" t="s">
        <v>3490</v>
      </c>
      <c r="K97" t="s">
        <v>3491</v>
      </c>
      <c r="M97" t="s">
        <v>3286</v>
      </c>
      <c r="O97" t="s">
        <v>778</v>
      </c>
      <c r="T97" t="s">
        <v>319</v>
      </c>
      <c r="U97" t="s">
        <v>3417</v>
      </c>
      <c r="W97">
        <v>16992</v>
      </c>
      <c r="X97">
        <v>55124</v>
      </c>
      <c r="Z97">
        <v>43</v>
      </c>
      <c r="AA97" s="31">
        <v>45663</v>
      </c>
      <c r="AB97" s="61">
        <v>0.64762731481481484</v>
      </c>
      <c r="AC97" t="s">
        <v>795</v>
      </c>
      <c r="AD97" s="31">
        <v>45706</v>
      </c>
      <c r="AE97" s="61">
        <v>0.72146990740740746</v>
      </c>
      <c r="AF97" t="s">
        <v>934</v>
      </c>
      <c r="AH97" t="s">
        <v>3517</v>
      </c>
      <c r="AI97" t="s">
        <v>3517</v>
      </c>
      <c r="AQ97">
        <v>1</v>
      </c>
    </row>
    <row r="98" spans="1:43" x14ac:dyDescent="0.3">
      <c r="A98" t="s">
        <v>31</v>
      </c>
      <c r="B98">
        <v>146</v>
      </c>
      <c r="C98">
        <v>175</v>
      </c>
      <c r="D98">
        <v>1520</v>
      </c>
      <c r="G98" t="s">
        <v>3518</v>
      </c>
      <c r="H98">
        <v>52362985000107</v>
      </c>
      <c r="I98" t="s">
        <v>3519</v>
      </c>
      <c r="J98" t="s">
        <v>1481</v>
      </c>
      <c r="K98" t="s">
        <v>3520</v>
      </c>
      <c r="M98" t="s">
        <v>3521</v>
      </c>
      <c r="O98" t="s">
        <v>3522</v>
      </c>
      <c r="P98" t="s">
        <v>3523</v>
      </c>
      <c r="Q98" t="s">
        <v>790</v>
      </c>
      <c r="T98" t="s">
        <v>319</v>
      </c>
      <c r="U98" t="s">
        <v>816</v>
      </c>
      <c r="Z98">
        <v>0</v>
      </c>
      <c r="AA98" s="31">
        <v>45665</v>
      </c>
      <c r="AB98" s="61">
        <v>0.44893518518518521</v>
      </c>
      <c r="AC98" t="s">
        <v>818</v>
      </c>
      <c r="AD98" s="31">
        <v>45665</v>
      </c>
      <c r="AE98" s="61">
        <v>0.44989583333333327</v>
      </c>
      <c r="AH98" t="s">
        <v>1070</v>
      </c>
      <c r="AQ98">
        <v>1</v>
      </c>
    </row>
    <row r="99" spans="1:43" x14ac:dyDescent="0.3">
      <c r="A99" t="s">
        <v>31</v>
      </c>
      <c r="B99">
        <v>149</v>
      </c>
      <c r="C99">
        <v>115</v>
      </c>
      <c r="D99">
        <v>1537</v>
      </c>
      <c r="G99" t="s">
        <v>3524</v>
      </c>
      <c r="I99" t="s">
        <v>3333</v>
      </c>
      <c r="J99" t="s">
        <v>3525</v>
      </c>
      <c r="K99" t="s">
        <v>3526</v>
      </c>
      <c r="M99" t="s">
        <v>3334</v>
      </c>
      <c r="O99" t="s">
        <v>778</v>
      </c>
      <c r="T99" t="s">
        <v>319</v>
      </c>
      <c r="U99" t="s">
        <v>3417</v>
      </c>
      <c r="W99">
        <v>14416</v>
      </c>
      <c r="X99">
        <v>0</v>
      </c>
      <c r="Z99">
        <v>13</v>
      </c>
      <c r="AA99" s="31">
        <v>45666</v>
      </c>
      <c r="AB99" s="61">
        <v>0.48031249999999998</v>
      </c>
      <c r="AC99" t="s">
        <v>795</v>
      </c>
      <c r="AD99" s="31">
        <v>45679</v>
      </c>
      <c r="AE99" s="61">
        <v>0.66752314814814817</v>
      </c>
      <c r="AF99" t="s">
        <v>934</v>
      </c>
      <c r="AH99" t="s">
        <v>3527</v>
      </c>
      <c r="AQ99">
        <v>1</v>
      </c>
    </row>
    <row r="100" spans="1:43" x14ac:dyDescent="0.3">
      <c r="A100" t="s">
        <v>31</v>
      </c>
      <c r="B100">
        <v>150</v>
      </c>
      <c r="C100">
        <v>176</v>
      </c>
      <c r="D100">
        <v>1539</v>
      </c>
      <c r="G100" t="s">
        <v>3528</v>
      </c>
      <c r="H100">
        <v>34728104000139</v>
      </c>
      <c r="I100" t="s">
        <v>3529</v>
      </c>
      <c r="J100" t="s">
        <v>3530</v>
      </c>
      <c r="K100" t="s">
        <v>3531</v>
      </c>
      <c r="M100" t="s">
        <v>3532</v>
      </c>
      <c r="O100" t="s">
        <v>3533</v>
      </c>
      <c r="P100" t="s">
        <v>1787</v>
      </c>
      <c r="Q100" t="s">
        <v>790</v>
      </c>
      <c r="T100" t="s">
        <v>319</v>
      </c>
      <c r="U100" t="s">
        <v>3417</v>
      </c>
      <c r="V100" t="s">
        <v>817</v>
      </c>
      <c r="W100">
        <v>340984</v>
      </c>
      <c r="X100">
        <v>1350296</v>
      </c>
      <c r="Z100">
        <v>81</v>
      </c>
      <c r="AA100" s="31">
        <v>45666</v>
      </c>
      <c r="AB100" s="61">
        <v>0.60988425925925926</v>
      </c>
      <c r="AC100" t="s">
        <v>795</v>
      </c>
      <c r="AD100" s="31">
        <v>45747</v>
      </c>
      <c r="AE100" s="61">
        <v>0.50875000000000004</v>
      </c>
      <c r="AF100" t="s">
        <v>974</v>
      </c>
      <c r="AH100" t="s">
        <v>3534</v>
      </c>
      <c r="AI100" t="s">
        <v>1055</v>
      </c>
      <c r="AQ100">
        <v>1</v>
      </c>
    </row>
    <row r="101" spans="1:43" x14ac:dyDescent="0.3">
      <c r="A101" t="s">
        <v>31</v>
      </c>
      <c r="B101">
        <v>152</v>
      </c>
      <c r="C101">
        <v>129</v>
      </c>
      <c r="D101">
        <v>1542</v>
      </c>
      <c r="G101" t="s">
        <v>3535</v>
      </c>
      <c r="I101" t="s">
        <v>679</v>
      </c>
      <c r="J101" t="s">
        <v>3536</v>
      </c>
      <c r="K101" t="s">
        <v>3537</v>
      </c>
      <c r="M101" t="s">
        <v>3366</v>
      </c>
      <c r="O101" t="s">
        <v>778</v>
      </c>
      <c r="T101" t="s">
        <v>319</v>
      </c>
      <c r="U101" t="s">
        <v>3417</v>
      </c>
      <c r="V101" t="s">
        <v>817</v>
      </c>
      <c r="W101">
        <v>0</v>
      </c>
      <c r="X101">
        <v>68904</v>
      </c>
      <c r="Z101">
        <v>36</v>
      </c>
      <c r="AA101" s="31">
        <v>45666</v>
      </c>
      <c r="AB101" s="61">
        <v>0.68798611111111108</v>
      </c>
      <c r="AC101" t="s">
        <v>795</v>
      </c>
      <c r="AD101" s="31">
        <v>45702</v>
      </c>
      <c r="AE101" s="61">
        <v>0.44013888888888891</v>
      </c>
      <c r="AF101" t="s">
        <v>796</v>
      </c>
      <c r="AH101" t="s">
        <v>3534</v>
      </c>
      <c r="AI101" t="s">
        <v>3534</v>
      </c>
      <c r="AQ101">
        <v>1</v>
      </c>
    </row>
    <row r="102" spans="1:43" x14ac:dyDescent="0.3">
      <c r="A102" t="s">
        <v>31</v>
      </c>
      <c r="B102">
        <v>153</v>
      </c>
      <c r="C102">
        <v>85</v>
      </c>
      <c r="D102">
        <v>63</v>
      </c>
      <c r="G102" t="s">
        <v>605</v>
      </c>
      <c r="I102" t="s">
        <v>3261</v>
      </c>
      <c r="J102" t="s">
        <v>3261</v>
      </c>
      <c r="K102" t="s">
        <v>3262</v>
      </c>
      <c r="M102" t="s">
        <v>3263</v>
      </c>
      <c r="O102" t="s">
        <v>778</v>
      </c>
      <c r="P102" t="s">
        <v>3264</v>
      </c>
      <c r="T102" t="s">
        <v>319</v>
      </c>
      <c r="U102" t="s">
        <v>816</v>
      </c>
      <c r="Z102">
        <v>0</v>
      </c>
      <c r="AA102" s="31">
        <v>45667</v>
      </c>
      <c r="AB102" s="61">
        <v>0.43425925925925918</v>
      </c>
      <c r="AC102" t="s">
        <v>818</v>
      </c>
      <c r="AD102" s="31">
        <v>45667</v>
      </c>
      <c r="AE102" s="61">
        <v>0.43490740740740741</v>
      </c>
      <c r="AH102" t="s">
        <v>1113</v>
      </c>
      <c r="AQ102">
        <v>1</v>
      </c>
    </row>
    <row r="103" spans="1:43" x14ac:dyDescent="0.3">
      <c r="A103" t="s">
        <v>31</v>
      </c>
      <c r="B103">
        <v>157</v>
      </c>
      <c r="C103">
        <v>178</v>
      </c>
      <c r="D103">
        <v>1551</v>
      </c>
      <c r="G103" t="s">
        <v>3538</v>
      </c>
      <c r="H103">
        <v>54124158000100</v>
      </c>
      <c r="I103" t="s">
        <v>3539</v>
      </c>
      <c r="J103" t="s">
        <v>3540</v>
      </c>
      <c r="K103" t="s">
        <v>3541</v>
      </c>
      <c r="M103" t="s">
        <v>3542</v>
      </c>
      <c r="O103" t="s">
        <v>3543</v>
      </c>
      <c r="P103" t="s">
        <v>1837</v>
      </c>
      <c r="Q103" t="s">
        <v>790</v>
      </c>
      <c r="T103" t="s">
        <v>319</v>
      </c>
      <c r="U103" t="s">
        <v>816</v>
      </c>
      <c r="W103">
        <v>1360152</v>
      </c>
      <c r="X103">
        <v>64152</v>
      </c>
      <c r="Z103">
        <v>4</v>
      </c>
      <c r="AA103" s="31">
        <v>45670</v>
      </c>
      <c r="AB103" s="61">
        <v>0.40980324074074082</v>
      </c>
      <c r="AC103" t="s">
        <v>818</v>
      </c>
      <c r="AD103" s="31">
        <v>45674</v>
      </c>
      <c r="AE103" s="61">
        <v>0.48346064814814821</v>
      </c>
      <c r="AH103" t="s">
        <v>3544</v>
      </c>
      <c r="AI103" t="s">
        <v>3544</v>
      </c>
      <c r="AQ103">
        <v>1</v>
      </c>
    </row>
    <row r="104" spans="1:43" x14ac:dyDescent="0.3">
      <c r="A104" t="s">
        <v>31</v>
      </c>
      <c r="B104">
        <v>158</v>
      </c>
      <c r="C104">
        <v>179</v>
      </c>
      <c r="D104">
        <v>1552</v>
      </c>
      <c r="G104" t="s">
        <v>3545</v>
      </c>
      <c r="H104">
        <v>21736169000184</v>
      </c>
      <c r="I104" t="s">
        <v>3546</v>
      </c>
      <c r="J104" t="s">
        <v>1243</v>
      </c>
      <c r="K104" t="s">
        <v>3547</v>
      </c>
      <c r="M104" t="s">
        <v>3548</v>
      </c>
      <c r="O104" t="s">
        <v>3549</v>
      </c>
      <c r="P104" t="s">
        <v>3550</v>
      </c>
      <c r="Q104" t="s">
        <v>874</v>
      </c>
      <c r="T104" t="s">
        <v>319</v>
      </c>
      <c r="U104" t="s">
        <v>816</v>
      </c>
      <c r="Z104">
        <v>0</v>
      </c>
      <c r="AA104" s="31">
        <v>45670</v>
      </c>
      <c r="AB104" s="61">
        <v>0.41332175925925918</v>
      </c>
      <c r="AC104" t="s">
        <v>818</v>
      </c>
      <c r="AD104" s="31">
        <v>45670</v>
      </c>
      <c r="AE104" s="61">
        <v>0.41498842592592589</v>
      </c>
      <c r="AH104" t="s">
        <v>1113</v>
      </c>
      <c r="AQ104">
        <v>1</v>
      </c>
    </row>
    <row r="105" spans="1:43" x14ac:dyDescent="0.3">
      <c r="A105" t="s">
        <v>31</v>
      </c>
      <c r="B105">
        <v>159</v>
      </c>
      <c r="C105">
        <v>132</v>
      </c>
      <c r="D105">
        <v>1556</v>
      </c>
      <c r="G105" t="s">
        <v>3551</v>
      </c>
      <c r="I105" t="s">
        <v>3373</v>
      </c>
      <c r="J105" t="s">
        <v>3552</v>
      </c>
      <c r="K105" t="s">
        <v>3553</v>
      </c>
      <c r="M105" t="s">
        <v>3375</v>
      </c>
      <c r="O105" t="s">
        <v>778</v>
      </c>
      <c r="T105" t="s">
        <v>319</v>
      </c>
      <c r="U105" t="s">
        <v>816</v>
      </c>
      <c r="V105" t="s">
        <v>817</v>
      </c>
      <c r="W105">
        <v>0</v>
      </c>
      <c r="X105">
        <v>0</v>
      </c>
      <c r="Z105">
        <v>2</v>
      </c>
      <c r="AA105" s="31">
        <v>45670</v>
      </c>
      <c r="AB105" s="61">
        <v>0.68215277777777783</v>
      </c>
      <c r="AC105" t="s">
        <v>818</v>
      </c>
      <c r="AD105" s="31">
        <v>45672</v>
      </c>
      <c r="AE105" s="61">
        <v>0.67391203703703706</v>
      </c>
      <c r="AH105" t="s">
        <v>3544</v>
      </c>
      <c r="AI105" t="s">
        <v>3544</v>
      </c>
      <c r="AQ105">
        <v>1</v>
      </c>
    </row>
    <row r="106" spans="1:43" x14ac:dyDescent="0.3">
      <c r="A106" t="s">
        <v>31</v>
      </c>
      <c r="B106">
        <v>160</v>
      </c>
      <c r="C106">
        <v>148</v>
      </c>
      <c r="D106">
        <v>1562</v>
      </c>
      <c r="G106" t="s">
        <v>3554</v>
      </c>
      <c r="H106">
        <v>8530284000130</v>
      </c>
      <c r="I106" t="s">
        <v>3555</v>
      </c>
      <c r="J106" t="s">
        <v>2927</v>
      </c>
      <c r="K106" t="s">
        <v>3556</v>
      </c>
      <c r="M106" t="s">
        <v>3557</v>
      </c>
      <c r="O106" t="s">
        <v>778</v>
      </c>
      <c r="T106" t="s">
        <v>319</v>
      </c>
      <c r="U106" t="s">
        <v>3417</v>
      </c>
      <c r="V106" t="s">
        <v>3558</v>
      </c>
      <c r="W106">
        <v>1600</v>
      </c>
      <c r="X106">
        <v>339587</v>
      </c>
      <c r="Z106">
        <v>13</v>
      </c>
      <c r="AA106" s="31">
        <v>45671</v>
      </c>
      <c r="AB106" s="61">
        <v>0.48020833333333329</v>
      </c>
      <c r="AC106" t="s">
        <v>795</v>
      </c>
      <c r="AD106" s="31">
        <v>45684</v>
      </c>
      <c r="AE106" s="61">
        <v>0.41270833333333329</v>
      </c>
      <c r="AF106" t="s">
        <v>934</v>
      </c>
      <c r="AH106" t="s">
        <v>3559</v>
      </c>
      <c r="AI106" t="s">
        <v>3559</v>
      </c>
      <c r="AQ106">
        <v>1</v>
      </c>
    </row>
    <row r="107" spans="1:43" x14ac:dyDescent="0.3">
      <c r="A107" t="s">
        <v>31</v>
      </c>
      <c r="B107">
        <v>161</v>
      </c>
      <c r="C107">
        <v>180</v>
      </c>
      <c r="D107">
        <v>1577</v>
      </c>
      <c r="G107" t="s">
        <v>3560</v>
      </c>
      <c r="H107">
        <v>7287290000226</v>
      </c>
      <c r="I107" t="s">
        <v>3561</v>
      </c>
      <c r="J107" t="s">
        <v>3562</v>
      </c>
      <c r="K107" t="s">
        <v>3563</v>
      </c>
      <c r="M107" t="s">
        <v>3564</v>
      </c>
      <c r="O107" t="s">
        <v>3565</v>
      </c>
      <c r="P107" t="s">
        <v>3566</v>
      </c>
      <c r="Q107" t="s">
        <v>790</v>
      </c>
      <c r="T107" t="s">
        <v>319</v>
      </c>
      <c r="U107" t="s">
        <v>816</v>
      </c>
      <c r="V107" t="s">
        <v>3558</v>
      </c>
      <c r="W107">
        <v>28512</v>
      </c>
      <c r="X107">
        <v>28512</v>
      </c>
      <c r="Z107">
        <v>0</v>
      </c>
      <c r="AA107" s="31">
        <v>45672</v>
      </c>
      <c r="AB107" s="61">
        <v>0.39792824074074068</v>
      </c>
      <c r="AC107" t="s">
        <v>818</v>
      </c>
      <c r="AD107" s="31">
        <v>45672</v>
      </c>
      <c r="AE107" s="61">
        <v>0.40056712962962959</v>
      </c>
      <c r="AH107" t="s">
        <v>3559</v>
      </c>
      <c r="AI107" t="s">
        <v>3559</v>
      </c>
      <c r="AQ107">
        <v>1</v>
      </c>
    </row>
    <row r="108" spans="1:43" x14ac:dyDescent="0.3">
      <c r="A108" t="s">
        <v>31</v>
      </c>
      <c r="B108">
        <v>162</v>
      </c>
      <c r="C108">
        <v>170</v>
      </c>
      <c r="D108">
        <v>1579</v>
      </c>
      <c r="G108" t="s">
        <v>3567</v>
      </c>
      <c r="H108">
        <v>4150555001304</v>
      </c>
      <c r="I108" t="s">
        <v>3477</v>
      </c>
      <c r="J108" t="s">
        <v>3568</v>
      </c>
      <c r="K108" t="s">
        <v>3569</v>
      </c>
      <c r="M108" t="s">
        <v>3480</v>
      </c>
      <c r="O108" t="s">
        <v>3481</v>
      </c>
      <c r="P108" t="s">
        <v>3482</v>
      </c>
      <c r="Q108" t="s">
        <v>1699</v>
      </c>
      <c r="T108" t="s">
        <v>319</v>
      </c>
      <c r="U108" t="s">
        <v>3417</v>
      </c>
      <c r="Z108">
        <v>14</v>
      </c>
      <c r="AA108" s="31">
        <v>45672</v>
      </c>
      <c r="AB108" s="61">
        <v>0.65109953703703705</v>
      </c>
      <c r="AC108" t="s">
        <v>795</v>
      </c>
      <c r="AD108" s="31">
        <v>45686</v>
      </c>
      <c r="AE108" s="61">
        <v>0.71326388888888892</v>
      </c>
      <c r="AF108" t="s">
        <v>796</v>
      </c>
      <c r="AH108" t="s">
        <v>3570</v>
      </c>
      <c r="AI108" t="s">
        <v>3570</v>
      </c>
      <c r="AQ108">
        <v>1</v>
      </c>
    </row>
    <row r="109" spans="1:43" x14ac:dyDescent="0.3">
      <c r="A109" t="s">
        <v>31</v>
      </c>
      <c r="B109">
        <v>163</v>
      </c>
      <c r="C109">
        <v>170</v>
      </c>
      <c r="D109">
        <v>1580</v>
      </c>
      <c r="G109" t="s">
        <v>3571</v>
      </c>
      <c r="H109">
        <v>4150555001304</v>
      </c>
      <c r="I109" t="s">
        <v>3477</v>
      </c>
      <c r="J109" t="s">
        <v>3478</v>
      </c>
      <c r="K109" t="s">
        <v>3569</v>
      </c>
      <c r="M109" t="s">
        <v>3480</v>
      </c>
      <c r="O109" t="s">
        <v>3481</v>
      </c>
      <c r="P109" t="s">
        <v>3482</v>
      </c>
      <c r="Q109" t="s">
        <v>1699</v>
      </c>
      <c r="T109" t="s">
        <v>319</v>
      </c>
      <c r="U109" t="s">
        <v>3417</v>
      </c>
      <c r="W109">
        <v>30816</v>
      </c>
      <c r="X109">
        <v>85536</v>
      </c>
      <c r="Z109">
        <v>71</v>
      </c>
      <c r="AA109" s="31">
        <v>45672</v>
      </c>
      <c r="AB109" s="61">
        <v>0.65299768518518519</v>
      </c>
      <c r="AC109" t="s">
        <v>795</v>
      </c>
      <c r="AD109" s="31">
        <v>45743</v>
      </c>
      <c r="AE109" s="61">
        <v>0.35817129629629629</v>
      </c>
      <c r="AF109" t="s">
        <v>796</v>
      </c>
      <c r="AH109" t="s">
        <v>3570</v>
      </c>
      <c r="AI109" t="s">
        <v>3570</v>
      </c>
      <c r="AQ109">
        <v>1</v>
      </c>
    </row>
    <row r="110" spans="1:43" x14ac:dyDescent="0.3">
      <c r="A110" t="s">
        <v>31</v>
      </c>
      <c r="B110">
        <v>165</v>
      </c>
      <c r="C110">
        <v>182</v>
      </c>
      <c r="D110">
        <v>1586</v>
      </c>
      <c r="G110" t="s">
        <v>3572</v>
      </c>
      <c r="H110">
        <v>23873456000161</v>
      </c>
      <c r="I110" t="s">
        <v>3573</v>
      </c>
      <c r="J110" t="s">
        <v>3574</v>
      </c>
      <c r="K110" t="s">
        <v>3575</v>
      </c>
      <c r="M110" t="s">
        <v>3576</v>
      </c>
      <c r="O110" t="s">
        <v>3577</v>
      </c>
      <c r="P110" t="s">
        <v>1837</v>
      </c>
      <c r="Q110" t="s">
        <v>790</v>
      </c>
      <c r="T110" t="s">
        <v>319</v>
      </c>
      <c r="U110" t="s">
        <v>816</v>
      </c>
      <c r="V110" t="s">
        <v>817</v>
      </c>
      <c r="W110">
        <v>840</v>
      </c>
      <c r="X110">
        <v>0</v>
      </c>
      <c r="Z110">
        <v>1</v>
      </c>
      <c r="AA110" s="31">
        <v>45672</v>
      </c>
      <c r="AB110" s="61">
        <v>0.74322916666666672</v>
      </c>
      <c r="AC110" t="s">
        <v>818</v>
      </c>
      <c r="AD110" s="31">
        <v>45673</v>
      </c>
      <c r="AE110" s="61">
        <v>0.39634259259259258</v>
      </c>
      <c r="AH110" t="s">
        <v>3570</v>
      </c>
      <c r="AQ110">
        <v>1</v>
      </c>
    </row>
    <row r="111" spans="1:43" x14ac:dyDescent="0.3">
      <c r="A111" t="s">
        <v>31</v>
      </c>
      <c r="B111">
        <v>168</v>
      </c>
      <c r="C111">
        <v>154</v>
      </c>
      <c r="D111">
        <v>1601</v>
      </c>
      <c r="G111" t="s">
        <v>3578</v>
      </c>
      <c r="H111">
        <v>790751000159</v>
      </c>
      <c r="I111" t="s">
        <v>3456</v>
      </c>
      <c r="J111" t="s">
        <v>3579</v>
      </c>
      <c r="K111" t="s">
        <v>3580</v>
      </c>
      <c r="M111" t="s">
        <v>3459</v>
      </c>
      <c r="O111" t="s">
        <v>778</v>
      </c>
      <c r="T111" t="s">
        <v>319</v>
      </c>
      <c r="U111" t="s">
        <v>3417</v>
      </c>
      <c r="W111">
        <v>0</v>
      </c>
      <c r="X111">
        <v>137479</v>
      </c>
      <c r="Z111">
        <v>28</v>
      </c>
      <c r="AA111" s="31">
        <v>45673</v>
      </c>
      <c r="AB111" s="61">
        <v>0.63656250000000003</v>
      </c>
      <c r="AC111" t="s">
        <v>795</v>
      </c>
      <c r="AD111" s="31">
        <v>45701</v>
      </c>
      <c r="AE111" s="61">
        <v>0.49040509259259257</v>
      </c>
      <c r="AF111" t="s">
        <v>796</v>
      </c>
      <c r="AH111" t="s">
        <v>3581</v>
      </c>
      <c r="AQ111">
        <v>1</v>
      </c>
    </row>
    <row r="112" spans="1:43" x14ac:dyDescent="0.3">
      <c r="A112" t="s">
        <v>31</v>
      </c>
      <c r="B112">
        <v>170</v>
      </c>
      <c r="C112">
        <v>133</v>
      </c>
      <c r="D112">
        <v>1602</v>
      </c>
      <c r="G112" t="s">
        <v>3582</v>
      </c>
      <c r="I112" t="s">
        <v>625</v>
      </c>
      <c r="J112" t="s">
        <v>3583</v>
      </c>
      <c r="K112" t="s">
        <v>3584</v>
      </c>
      <c r="M112" t="s">
        <v>2207</v>
      </c>
      <c r="O112" t="s">
        <v>778</v>
      </c>
      <c r="T112" t="s">
        <v>319</v>
      </c>
      <c r="U112" t="s">
        <v>816</v>
      </c>
      <c r="V112" t="s">
        <v>817</v>
      </c>
      <c r="W112">
        <v>14600</v>
      </c>
      <c r="X112">
        <v>1728</v>
      </c>
      <c r="Z112">
        <v>74</v>
      </c>
      <c r="AA112" s="31">
        <v>45673</v>
      </c>
      <c r="AB112" s="61">
        <v>0.75452546296296297</v>
      </c>
      <c r="AC112" t="s">
        <v>818</v>
      </c>
      <c r="AD112" s="31">
        <v>45721</v>
      </c>
      <c r="AE112" s="61">
        <v>0.42261574074074082</v>
      </c>
      <c r="AG112">
        <v>0</v>
      </c>
      <c r="AH112" t="s">
        <v>3581</v>
      </c>
      <c r="AI112" t="s">
        <v>3581</v>
      </c>
      <c r="AQ112">
        <v>1</v>
      </c>
    </row>
    <row r="113" spans="1:43" x14ac:dyDescent="0.3">
      <c r="A113" t="s">
        <v>31</v>
      </c>
      <c r="B113">
        <v>171</v>
      </c>
      <c r="C113">
        <v>170</v>
      </c>
      <c r="D113">
        <v>1604</v>
      </c>
      <c r="G113" t="s">
        <v>3585</v>
      </c>
      <c r="H113">
        <v>4150555001304</v>
      </c>
      <c r="I113" t="s">
        <v>3477</v>
      </c>
      <c r="J113" t="s">
        <v>3478</v>
      </c>
      <c r="K113" t="s">
        <v>3569</v>
      </c>
      <c r="M113" t="s">
        <v>3480</v>
      </c>
      <c r="O113" t="s">
        <v>3481</v>
      </c>
      <c r="P113" t="s">
        <v>3482</v>
      </c>
      <c r="Q113" t="s">
        <v>1699</v>
      </c>
      <c r="T113" t="s">
        <v>319</v>
      </c>
      <c r="U113" t="s">
        <v>816</v>
      </c>
      <c r="V113" t="s">
        <v>3558</v>
      </c>
      <c r="W113">
        <v>7764</v>
      </c>
      <c r="X113">
        <v>3564</v>
      </c>
      <c r="Z113">
        <v>0</v>
      </c>
      <c r="AA113" s="31">
        <v>45674</v>
      </c>
      <c r="AB113" s="61">
        <v>0.48375000000000001</v>
      </c>
      <c r="AC113" t="s">
        <v>818</v>
      </c>
      <c r="AD113" s="31">
        <v>45674</v>
      </c>
      <c r="AE113" s="61">
        <v>0.48546296296296299</v>
      </c>
      <c r="AH113" t="s">
        <v>3586</v>
      </c>
      <c r="AI113" t="s">
        <v>3581</v>
      </c>
      <c r="AQ113">
        <v>1</v>
      </c>
    </row>
    <row r="114" spans="1:43" x14ac:dyDescent="0.3">
      <c r="A114" t="s">
        <v>31</v>
      </c>
      <c r="B114">
        <v>172</v>
      </c>
      <c r="C114">
        <v>132</v>
      </c>
      <c r="D114">
        <v>1607</v>
      </c>
      <c r="G114" t="s">
        <v>3587</v>
      </c>
      <c r="I114" t="s">
        <v>3373</v>
      </c>
      <c r="J114" t="s">
        <v>3588</v>
      </c>
      <c r="K114" t="s">
        <v>3553</v>
      </c>
      <c r="M114" t="s">
        <v>3375</v>
      </c>
      <c r="O114" t="s">
        <v>778</v>
      </c>
      <c r="T114" t="s">
        <v>319</v>
      </c>
      <c r="U114" t="s">
        <v>816</v>
      </c>
      <c r="W114">
        <v>135165</v>
      </c>
      <c r="X114">
        <v>0</v>
      </c>
      <c r="Z114">
        <v>31</v>
      </c>
      <c r="AA114" s="31">
        <v>45674</v>
      </c>
      <c r="AB114" s="61">
        <v>0.73576388888888888</v>
      </c>
      <c r="AC114" t="s">
        <v>818</v>
      </c>
      <c r="AD114" s="31">
        <v>45705</v>
      </c>
      <c r="AE114" s="61">
        <v>0.44101851851851848</v>
      </c>
      <c r="AH114" t="s">
        <v>3586</v>
      </c>
      <c r="AQ114">
        <v>1</v>
      </c>
    </row>
    <row r="115" spans="1:43" x14ac:dyDescent="0.3">
      <c r="A115" t="s">
        <v>31</v>
      </c>
      <c r="B115">
        <v>173</v>
      </c>
      <c r="C115">
        <v>112</v>
      </c>
      <c r="D115">
        <v>1612</v>
      </c>
      <c r="G115" t="s">
        <v>3589</v>
      </c>
      <c r="I115" t="s">
        <v>3327</v>
      </c>
      <c r="J115" t="s">
        <v>914</v>
      </c>
      <c r="K115" t="s">
        <v>3590</v>
      </c>
      <c r="M115" t="s">
        <v>3328</v>
      </c>
      <c r="O115" t="s">
        <v>778</v>
      </c>
      <c r="T115" t="s">
        <v>319</v>
      </c>
      <c r="U115" t="s">
        <v>816</v>
      </c>
      <c r="V115" t="s">
        <v>3558</v>
      </c>
      <c r="W115">
        <v>714</v>
      </c>
      <c r="X115">
        <v>0</v>
      </c>
      <c r="Z115">
        <v>0</v>
      </c>
      <c r="AA115" s="31">
        <v>45677</v>
      </c>
      <c r="AB115" s="61">
        <v>0.4858912037037037</v>
      </c>
      <c r="AC115" t="s">
        <v>818</v>
      </c>
      <c r="AD115" s="31">
        <v>45677</v>
      </c>
      <c r="AE115" s="61">
        <v>0.73797453703703708</v>
      </c>
      <c r="AH115" t="s">
        <v>1136</v>
      </c>
      <c r="AQ115">
        <v>1</v>
      </c>
    </row>
    <row r="116" spans="1:43" x14ac:dyDescent="0.3">
      <c r="A116" t="s">
        <v>31</v>
      </c>
      <c r="B116">
        <v>175</v>
      </c>
      <c r="C116">
        <v>178</v>
      </c>
      <c r="D116">
        <v>1614</v>
      </c>
      <c r="G116" t="s">
        <v>3591</v>
      </c>
      <c r="H116">
        <v>54124158000100</v>
      </c>
      <c r="I116" t="s">
        <v>3539</v>
      </c>
      <c r="J116" t="s">
        <v>1243</v>
      </c>
      <c r="K116" t="s">
        <v>3541</v>
      </c>
      <c r="M116" t="s">
        <v>3542</v>
      </c>
      <c r="O116" t="s">
        <v>3543</v>
      </c>
      <c r="P116" t="s">
        <v>1837</v>
      </c>
      <c r="Q116" t="s">
        <v>790</v>
      </c>
      <c r="T116" t="s">
        <v>319</v>
      </c>
      <c r="U116" t="s">
        <v>3417</v>
      </c>
      <c r="W116">
        <v>44651</v>
      </c>
      <c r="X116">
        <v>0</v>
      </c>
      <c r="Z116">
        <v>23</v>
      </c>
      <c r="AA116" s="31">
        <v>45678</v>
      </c>
      <c r="AB116" s="61">
        <v>0.45103009259259258</v>
      </c>
      <c r="AC116" t="s">
        <v>795</v>
      </c>
      <c r="AD116" s="31">
        <v>45701</v>
      </c>
      <c r="AE116" s="61">
        <v>0.48978009259259259</v>
      </c>
      <c r="AF116" t="s">
        <v>3463</v>
      </c>
      <c r="AH116" t="s">
        <v>3592</v>
      </c>
      <c r="AQ116">
        <v>1</v>
      </c>
    </row>
    <row r="117" spans="1:43" x14ac:dyDescent="0.3">
      <c r="A117" t="s">
        <v>31</v>
      </c>
      <c r="B117">
        <v>176</v>
      </c>
      <c r="C117">
        <v>183</v>
      </c>
      <c r="D117">
        <v>1615</v>
      </c>
      <c r="G117" t="s">
        <v>3593</v>
      </c>
      <c r="H117">
        <v>3204281000192</v>
      </c>
      <c r="I117" t="s">
        <v>3594</v>
      </c>
      <c r="J117" t="s">
        <v>3595</v>
      </c>
      <c r="K117" t="s">
        <v>3596</v>
      </c>
      <c r="M117" t="s">
        <v>2617</v>
      </c>
      <c r="O117" t="s">
        <v>3597</v>
      </c>
      <c r="P117" t="s">
        <v>2618</v>
      </c>
      <c r="Q117" t="s">
        <v>790</v>
      </c>
      <c r="T117" t="s">
        <v>319</v>
      </c>
      <c r="U117" t="s">
        <v>816</v>
      </c>
      <c r="V117" t="s">
        <v>817</v>
      </c>
      <c r="W117">
        <v>831196</v>
      </c>
      <c r="X117">
        <v>36106</v>
      </c>
      <c r="Z117">
        <v>16</v>
      </c>
      <c r="AA117" s="31">
        <v>45678</v>
      </c>
      <c r="AB117" s="61">
        <v>0.51611111111111108</v>
      </c>
      <c r="AC117" t="s">
        <v>818</v>
      </c>
      <c r="AD117" s="31">
        <v>45694</v>
      </c>
      <c r="AE117" s="61">
        <v>0.43015046296296289</v>
      </c>
      <c r="AH117" t="s">
        <v>3592</v>
      </c>
      <c r="AQ117">
        <v>1</v>
      </c>
    </row>
    <row r="118" spans="1:43" x14ac:dyDescent="0.3">
      <c r="A118" t="s">
        <v>31</v>
      </c>
      <c r="B118">
        <v>177</v>
      </c>
      <c r="C118">
        <v>185</v>
      </c>
      <c r="D118">
        <v>1617</v>
      </c>
      <c r="G118" t="s">
        <v>3598</v>
      </c>
      <c r="H118">
        <v>51496785000176</v>
      </c>
      <c r="I118" t="s">
        <v>3599</v>
      </c>
      <c r="J118" t="s">
        <v>3600</v>
      </c>
      <c r="K118" t="s">
        <v>3601</v>
      </c>
      <c r="M118" t="s">
        <v>3602</v>
      </c>
      <c r="O118" t="s">
        <v>3603</v>
      </c>
      <c r="P118" t="s">
        <v>847</v>
      </c>
      <c r="Q118" t="s">
        <v>848</v>
      </c>
      <c r="T118" t="s">
        <v>319</v>
      </c>
      <c r="U118" t="s">
        <v>3417</v>
      </c>
      <c r="V118" t="s">
        <v>817</v>
      </c>
      <c r="W118">
        <v>33696</v>
      </c>
      <c r="X118">
        <v>7128</v>
      </c>
      <c r="Z118">
        <v>36</v>
      </c>
      <c r="AA118" s="31">
        <v>45679</v>
      </c>
      <c r="AB118" s="61">
        <v>0.43111111111111111</v>
      </c>
      <c r="AC118" t="s">
        <v>795</v>
      </c>
      <c r="AD118" s="31">
        <v>45715</v>
      </c>
      <c r="AE118" s="61">
        <v>0.51508101851851851</v>
      </c>
      <c r="AF118" t="s">
        <v>1358</v>
      </c>
      <c r="AH118" t="s">
        <v>3604</v>
      </c>
      <c r="AI118" t="s">
        <v>3517</v>
      </c>
      <c r="AQ118">
        <v>1</v>
      </c>
    </row>
    <row r="119" spans="1:43" x14ac:dyDescent="0.3">
      <c r="A119" t="s">
        <v>31</v>
      </c>
      <c r="B119">
        <v>180</v>
      </c>
      <c r="C119">
        <v>170</v>
      </c>
      <c r="D119">
        <v>1624</v>
      </c>
      <c r="G119" t="s">
        <v>3605</v>
      </c>
      <c r="H119">
        <v>4150555001304</v>
      </c>
      <c r="I119" t="s">
        <v>3477</v>
      </c>
      <c r="J119" t="s">
        <v>1499</v>
      </c>
      <c r="K119" t="s">
        <v>3569</v>
      </c>
      <c r="M119" t="s">
        <v>3480</v>
      </c>
      <c r="O119" t="s">
        <v>3481</v>
      </c>
      <c r="P119" t="s">
        <v>3482</v>
      </c>
      <c r="Q119" t="s">
        <v>1699</v>
      </c>
      <c r="T119" t="s">
        <v>319</v>
      </c>
      <c r="U119" t="s">
        <v>3606</v>
      </c>
      <c r="Z119">
        <v>21</v>
      </c>
      <c r="AA119" s="31">
        <v>45680</v>
      </c>
      <c r="AB119" s="61">
        <v>0.64934027777777781</v>
      </c>
      <c r="AC119" t="s">
        <v>795</v>
      </c>
      <c r="AD119" s="31">
        <v>45701</v>
      </c>
      <c r="AE119" s="61">
        <v>0.47988425925925932</v>
      </c>
      <c r="AF119" t="s">
        <v>1358</v>
      </c>
      <c r="AI119" t="s">
        <v>1010</v>
      </c>
      <c r="AQ119">
        <v>1</v>
      </c>
    </row>
    <row r="120" spans="1:43" x14ac:dyDescent="0.3">
      <c r="A120" t="s">
        <v>31</v>
      </c>
      <c r="B120">
        <v>181</v>
      </c>
      <c r="C120">
        <v>118</v>
      </c>
      <c r="D120">
        <v>1628</v>
      </c>
      <c r="G120" t="s">
        <v>3607</v>
      </c>
      <c r="I120" t="s">
        <v>686</v>
      </c>
      <c r="J120" t="s">
        <v>3608</v>
      </c>
      <c r="K120" t="s">
        <v>3609</v>
      </c>
      <c r="M120" t="s">
        <v>3343</v>
      </c>
      <c r="O120" t="s">
        <v>778</v>
      </c>
      <c r="T120" t="s">
        <v>319</v>
      </c>
      <c r="U120" t="s">
        <v>3417</v>
      </c>
      <c r="W120">
        <v>33696</v>
      </c>
      <c r="X120">
        <v>0</v>
      </c>
      <c r="Z120">
        <v>20</v>
      </c>
      <c r="AA120" s="31">
        <v>45681</v>
      </c>
      <c r="AB120" s="61">
        <v>0.41077546296296302</v>
      </c>
      <c r="AC120" t="s">
        <v>795</v>
      </c>
      <c r="AD120" s="31">
        <v>45701</v>
      </c>
      <c r="AE120" s="61">
        <v>0.7180671296296296</v>
      </c>
      <c r="AF120" t="s">
        <v>796</v>
      </c>
      <c r="AH120" t="s">
        <v>3610</v>
      </c>
      <c r="AQ120">
        <v>1</v>
      </c>
    </row>
    <row r="121" spans="1:43" x14ac:dyDescent="0.3">
      <c r="A121" t="s">
        <v>31</v>
      </c>
      <c r="B121">
        <v>182</v>
      </c>
      <c r="C121">
        <v>181</v>
      </c>
      <c r="D121">
        <v>1630</v>
      </c>
      <c r="G121" t="s">
        <v>3611</v>
      </c>
      <c r="H121">
        <v>43204189000147</v>
      </c>
      <c r="I121" t="s">
        <v>3612</v>
      </c>
      <c r="J121" t="s">
        <v>990</v>
      </c>
      <c r="K121" t="s">
        <v>3613</v>
      </c>
      <c r="M121" t="s">
        <v>3614</v>
      </c>
      <c r="O121" t="s">
        <v>3615</v>
      </c>
      <c r="P121" t="s">
        <v>3616</v>
      </c>
      <c r="Q121" t="s">
        <v>790</v>
      </c>
      <c r="T121" t="s">
        <v>319</v>
      </c>
      <c r="U121" t="s">
        <v>3417</v>
      </c>
      <c r="Z121">
        <v>0</v>
      </c>
      <c r="AA121" s="31">
        <v>45681</v>
      </c>
      <c r="AB121" s="61">
        <v>0.42917824074074068</v>
      </c>
      <c r="AC121" t="s">
        <v>795</v>
      </c>
      <c r="AD121" s="31">
        <v>45681</v>
      </c>
      <c r="AE121" s="61">
        <v>0.43184027777777778</v>
      </c>
      <c r="AF121" t="s">
        <v>796</v>
      </c>
      <c r="AH121" t="s">
        <v>3586</v>
      </c>
      <c r="AQ121">
        <v>1</v>
      </c>
    </row>
    <row r="122" spans="1:43" x14ac:dyDescent="0.3">
      <c r="A122" t="s">
        <v>31</v>
      </c>
      <c r="B122">
        <v>184</v>
      </c>
      <c r="C122">
        <v>83</v>
      </c>
      <c r="D122">
        <v>1632</v>
      </c>
      <c r="G122" t="s">
        <v>3617</v>
      </c>
      <c r="I122" t="s">
        <v>3255</v>
      </c>
      <c r="J122" t="s">
        <v>3618</v>
      </c>
      <c r="M122" t="s">
        <v>3256</v>
      </c>
      <c r="O122" t="s">
        <v>778</v>
      </c>
      <c r="P122" t="s">
        <v>3257</v>
      </c>
      <c r="T122" t="s">
        <v>319</v>
      </c>
      <c r="U122" t="s">
        <v>781</v>
      </c>
      <c r="Z122">
        <v>5</v>
      </c>
      <c r="AA122" s="31">
        <v>45681</v>
      </c>
      <c r="AB122" s="61">
        <v>0.49629629629629629</v>
      </c>
      <c r="AC122" t="s">
        <v>795</v>
      </c>
      <c r="AD122" s="31">
        <v>45686</v>
      </c>
      <c r="AE122" s="61">
        <v>0.71755787037037033</v>
      </c>
      <c r="AF122" t="s">
        <v>796</v>
      </c>
      <c r="AH122" t="s">
        <v>3619</v>
      </c>
      <c r="AQ122">
        <v>1</v>
      </c>
    </row>
    <row r="123" spans="1:43" x14ac:dyDescent="0.3">
      <c r="A123" t="s">
        <v>31</v>
      </c>
      <c r="B123">
        <v>185</v>
      </c>
      <c r="C123">
        <v>152</v>
      </c>
      <c r="D123">
        <v>1633</v>
      </c>
      <c r="G123" t="s">
        <v>3445</v>
      </c>
      <c r="I123" t="s">
        <v>3445</v>
      </c>
      <c r="J123" t="s">
        <v>3620</v>
      </c>
      <c r="K123" t="s">
        <v>3621</v>
      </c>
      <c r="M123" t="s">
        <v>3448</v>
      </c>
      <c r="O123" t="s">
        <v>778</v>
      </c>
      <c r="T123" t="s">
        <v>319</v>
      </c>
      <c r="U123" t="s">
        <v>816</v>
      </c>
      <c r="V123" t="s">
        <v>817</v>
      </c>
      <c r="W123">
        <v>33696</v>
      </c>
      <c r="X123">
        <v>0</v>
      </c>
      <c r="Z123">
        <v>0</v>
      </c>
      <c r="AA123" s="31">
        <v>45681</v>
      </c>
      <c r="AB123" s="61">
        <v>0.66790509259259256</v>
      </c>
      <c r="AC123" t="s">
        <v>818</v>
      </c>
      <c r="AD123" s="31">
        <v>45681</v>
      </c>
      <c r="AE123" s="61">
        <v>0.67667824074074079</v>
      </c>
      <c r="AH123" t="s">
        <v>3619</v>
      </c>
      <c r="AQ123">
        <v>1</v>
      </c>
    </row>
    <row r="124" spans="1:43" x14ac:dyDescent="0.3">
      <c r="A124" t="s">
        <v>31</v>
      </c>
      <c r="B124">
        <v>186</v>
      </c>
      <c r="C124">
        <v>76</v>
      </c>
      <c r="D124">
        <v>1634</v>
      </c>
      <c r="G124" t="s">
        <v>3622</v>
      </c>
      <c r="I124" t="s">
        <v>225</v>
      </c>
      <c r="J124" t="s">
        <v>1499</v>
      </c>
      <c r="K124" t="s">
        <v>3623</v>
      </c>
      <c r="M124" t="s">
        <v>3233</v>
      </c>
      <c r="O124" t="s">
        <v>778</v>
      </c>
      <c r="P124" t="s">
        <v>3234</v>
      </c>
      <c r="Q124" t="s">
        <v>1699</v>
      </c>
      <c r="T124" t="s">
        <v>319</v>
      </c>
      <c r="U124" t="s">
        <v>3417</v>
      </c>
      <c r="W124">
        <v>67392</v>
      </c>
      <c r="X124">
        <v>3564</v>
      </c>
      <c r="Z124">
        <v>45</v>
      </c>
      <c r="AA124" s="31">
        <v>45681</v>
      </c>
      <c r="AB124" s="61">
        <v>0.6774768518518518</v>
      </c>
      <c r="AC124" t="s">
        <v>795</v>
      </c>
      <c r="AD124" s="31">
        <v>45726</v>
      </c>
      <c r="AE124" s="61">
        <v>0.42464120370370367</v>
      </c>
      <c r="AF124" t="s">
        <v>796</v>
      </c>
      <c r="AH124" t="s">
        <v>3619</v>
      </c>
      <c r="AI124" t="s">
        <v>3619</v>
      </c>
      <c r="AQ124">
        <v>1</v>
      </c>
    </row>
    <row r="125" spans="1:43" x14ac:dyDescent="0.3">
      <c r="A125" t="s">
        <v>31</v>
      </c>
      <c r="B125">
        <v>189</v>
      </c>
      <c r="C125">
        <v>186</v>
      </c>
      <c r="D125">
        <v>1645</v>
      </c>
      <c r="G125" t="s">
        <v>3624</v>
      </c>
      <c r="H125">
        <v>10899939000193</v>
      </c>
      <c r="I125" t="s">
        <v>3625</v>
      </c>
      <c r="J125" t="s">
        <v>704</v>
      </c>
      <c r="K125" t="s">
        <v>3626</v>
      </c>
      <c r="M125" t="s">
        <v>3627</v>
      </c>
      <c r="O125" t="s">
        <v>3628</v>
      </c>
      <c r="P125" t="s">
        <v>3629</v>
      </c>
      <c r="Q125" t="s">
        <v>932</v>
      </c>
      <c r="T125" t="s">
        <v>319</v>
      </c>
      <c r="U125" t="s">
        <v>816</v>
      </c>
      <c r="V125" t="s">
        <v>817</v>
      </c>
      <c r="W125">
        <v>33696</v>
      </c>
      <c r="X125">
        <v>3564</v>
      </c>
      <c r="Z125">
        <v>1</v>
      </c>
      <c r="AA125" s="31">
        <v>45684</v>
      </c>
      <c r="AB125" s="61">
        <v>0.69358796296296299</v>
      </c>
      <c r="AC125" t="s">
        <v>818</v>
      </c>
      <c r="AD125" s="31">
        <v>45685</v>
      </c>
      <c r="AE125" s="61">
        <v>0.37228009259259259</v>
      </c>
      <c r="AH125" t="s">
        <v>3630</v>
      </c>
      <c r="AQ125">
        <v>1</v>
      </c>
    </row>
    <row r="126" spans="1:43" x14ac:dyDescent="0.3">
      <c r="A126" t="s">
        <v>31</v>
      </c>
      <c r="B126">
        <v>190</v>
      </c>
      <c r="C126">
        <v>187</v>
      </c>
      <c r="D126">
        <v>1646</v>
      </c>
      <c r="G126" t="s">
        <v>439</v>
      </c>
      <c r="H126">
        <v>17063632000105</v>
      </c>
      <c r="I126" t="s">
        <v>3631</v>
      </c>
      <c r="J126" t="s">
        <v>3632</v>
      </c>
      <c r="K126" t="s">
        <v>3633</v>
      </c>
      <c r="M126" t="s">
        <v>3634</v>
      </c>
      <c r="O126" t="s">
        <v>3635</v>
      </c>
      <c r="P126" t="s">
        <v>3636</v>
      </c>
      <c r="Q126" t="s">
        <v>1699</v>
      </c>
      <c r="T126" t="s">
        <v>319</v>
      </c>
      <c r="U126" t="s">
        <v>3417</v>
      </c>
      <c r="W126">
        <v>116253</v>
      </c>
      <c r="X126">
        <v>0</v>
      </c>
      <c r="Z126">
        <v>11</v>
      </c>
      <c r="AA126" s="31">
        <v>45684</v>
      </c>
      <c r="AB126" s="61">
        <v>0.71214120370370371</v>
      </c>
      <c r="AC126" t="s">
        <v>795</v>
      </c>
      <c r="AD126" s="31">
        <v>45695</v>
      </c>
      <c r="AE126" s="61">
        <v>0.66339120370370375</v>
      </c>
      <c r="AF126" t="s">
        <v>934</v>
      </c>
      <c r="AH126" t="s">
        <v>3630</v>
      </c>
      <c r="AQ126">
        <v>1</v>
      </c>
    </row>
    <row r="127" spans="1:43" x14ac:dyDescent="0.3">
      <c r="A127" t="s">
        <v>31</v>
      </c>
      <c r="B127">
        <v>192</v>
      </c>
      <c r="C127">
        <v>146</v>
      </c>
      <c r="D127">
        <v>1652</v>
      </c>
      <c r="G127" t="s">
        <v>3637</v>
      </c>
      <c r="I127" t="s">
        <v>3425</v>
      </c>
      <c r="J127" t="s">
        <v>3426</v>
      </c>
      <c r="K127" t="s">
        <v>3515</v>
      </c>
      <c r="M127" t="s">
        <v>3428</v>
      </c>
      <c r="O127" t="s">
        <v>778</v>
      </c>
      <c r="T127" t="s">
        <v>319</v>
      </c>
      <c r="U127" t="s">
        <v>816</v>
      </c>
      <c r="V127" t="s">
        <v>3558</v>
      </c>
      <c r="W127">
        <v>63179</v>
      </c>
      <c r="X127">
        <v>0</v>
      </c>
      <c r="Z127">
        <v>0</v>
      </c>
      <c r="AA127" s="31">
        <v>45685</v>
      </c>
      <c r="AB127" s="61">
        <v>0.69449074074074069</v>
      </c>
      <c r="AC127" t="s">
        <v>818</v>
      </c>
      <c r="AD127" s="31">
        <v>45685</v>
      </c>
      <c r="AE127" s="61">
        <v>0.69738425925925929</v>
      </c>
      <c r="AH127" t="s">
        <v>1187</v>
      </c>
      <c r="AQ127">
        <v>1</v>
      </c>
    </row>
    <row r="128" spans="1:43" x14ac:dyDescent="0.3">
      <c r="A128" t="s">
        <v>31</v>
      </c>
      <c r="B128">
        <v>194</v>
      </c>
      <c r="C128">
        <v>188</v>
      </c>
      <c r="D128">
        <v>1654</v>
      </c>
      <c r="G128" t="s">
        <v>3638</v>
      </c>
      <c r="H128">
        <v>134729000150</v>
      </c>
      <c r="I128" t="s">
        <v>3639</v>
      </c>
      <c r="J128" t="s">
        <v>3640</v>
      </c>
      <c r="K128" t="s">
        <v>3641</v>
      </c>
      <c r="M128" t="s">
        <v>3642</v>
      </c>
      <c r="O128" t="s">
        <v>3643</v>
      </c>
      <c r="P128" t="s">
        <v>847</v>
      </c>
      <c r="Q128" t="s">
        <v>848</v>
      </c>
      <c r="S128" t="s">
        <v>1327</v>
      </c>
      <c r="T128" t="s">
        <v>319</v>
      </c>
      <c r="U128" t="s">
        <v>3417</v>
      </c>
      <c r="W128">
        <v>1600</v>
      </c>
      <c r="X128">
        <v>674148</v>
      </c>
      <c r="Z128">
        <v>22</v>
      </c>
      <c r="AA128" s="31">
        <v>45685</v>
      </c>
      <c r="AB128" s="61">
        <v>0.70484953703703701</v>
      </c>
      <c r="AC128" t="s">
        <v>795</v>
      </c>
      <c r="AD128" s="31">
        <v>45707</v>
      </c>
      <c r="AE128" s="61">
        <v>0.37031249999999999</v>
      </c>
      <c r="AF128" t="s">
        <v>796</v>
      </c>
      <c r="AH128" t="s">
        <v>1187</v>
      </c>
      <c r="AI128" t="s">
        <v>1187</v>
      </c>
      <c r="AQ128">
        <v>1</v>
      </c>
    </row>
    <row r="129" spans="1:43" x14ac:dyDescent="0.3">
      <c r="A129" t="s">
        <v>31</v>
      </c>
      <c r="B129">
        <v>216</v>
      </c>
      <c r="C129">
        <v>149</v>
      </c>
      <c r="D129">
        <v>1716</v>
      </c>
      <c r="G129" t="s">
        <v>3644</v>
      </c>
      <c r="H129">
        <v>12418196000118</v>
      </c>
      <c r="I129" t="s">
        <v>3645</v>
      </c>
      <c r="J129" t="s">
        <v>3646</v>
      </c>
      <c r="K129" t="s">
        <v>3647</v>
      </c>
      <c r="M129" t="s">
        <v>3648</v>
      </c>
      <c r="O129" t="s">
        <v>778</v>
      </c>
      <c r="T129" t="s">
        <v>319</v>
      </c>
      <c r="U129" t="s">
        <v>3417</v>
      </c>
      <c r="W129">
        <v>1600</v>
      </c>
      <c r="X129">
        <v>1458885</v>
      </c>
      <c r="Z129">
        <v>39</v>
      </c>
      <c r="AA129" s="31">
        <v>45694</v>
      </c>
      <c r="AB129" s="61">
        <v>0.58359953703703704</v>
      </c>
      <c r="AC129" t="s">
        <v>795</v>
      </c>
      <c r="AD129" s="31">
        <v>45733</v>
      </c>
      <c r="AE129" s="61">
        <v>0.40326388888888892</v>
      </c>
      <c r="AF129" t="s">
        <v>796</v>
      </c>
      <c r="AH129" t="s">
        <v>1293</v>
      </c>
      <c r="AI129" t="s">
        <v>1293</v>
      </c>
      <c r="AQ129">
        <v>1</v>
      </c>
    </row>
    <row r="130" spans="1:43" x14ac:dyDescent="0.3">
      <c r="A130" t="s">
        <v>31</v>
      </c>
      <c r="B130">
        <v>217</v>
      </c>
      <c r="C130">
        <v>102</v>
      </c>
      <c r="D130">
        <v>1717</v>
      </c>
      <c r="G130" t="s">
        <v>3649</v>
      </c>
      <c r="I130" t="s">
        <v>3306</v>
      </c>
      <c r="J130" t="s">
        <v>3650</v>
      </c>
      <c r="K130" t="s">
        <v>3651</v>
      </c>
      <c r="M130" t="s">
        <v>3308</v>
      </c>
      <c r="O130" t="s">
        <v>778</v>
      </c>
      <c r="S130" t="s">
        <v>1266</v>
      </c>
      <c r="T130" t="s">
        <v>319</v>
      </c>
      <c r="U130" t="s">
        <v>3417</v>
      </c>
      <c r="W130">
        <v>16200</v>
      </c>
      <c r="X130">
        <v>2160</v>
      </c>
      <c r="Z130">
        <v>39</v>
      </c>
      <c r="AA130" s="31">
        <v>45694</v>
      </c>
      <c r="AB130" s="61">
        <v>0.61443287037037042</v>
      </c>
      <c r="AC130" t="s">
        <v>795</v>
      </c>
      <c r="AD130" s="31">
        <v>45733</v>
      </c>
      <c r="AE130" s="61">
        <v>0.40384259259259259</v>
      </c>
      <c r="AF130" t="s">
        <v>796</v>
      </c>
      <c r="AH130" t="s">
        <v>1293</v>
      </c>
      <c r="AI130" t="s">
        <v>1293</v>
      </c>
      <c r="AQ130">
        <v>1</v>
      </c>
    </row>
    <row r="131" spans="1:43" x14ac:dyDescent="0.3">
      <c r="A131" t="s">
        <v>31</v>
      </c>
      <c r="B131">
        <v>218</v>
      </c>
      <c r="C131">
        <v>76</v>
      </c>
      <c r="D131">
        <v>1718</v>
      </c>
      <c r="G131" t="s">
        <v>3652</v>
      </c>
      <c r="I131" t="s">
        <v>225</v>
      </c>
      <c r="J131" t="s">
        <v>3653</v>
      </c>
      <c r="K131" t="s">
        <v>3623</v>
      </c>
      <c r="M131" t="s">
        <v>3233</v>
      </c>
      <c r="O131" t="s">
        <v>778</v>
      </c>
      <c r="P131" t="s">
        <v>3234</v>
      </c>
      <c r="Q131" t="s">
        <v>1699</v>
      </c>
      <c r="S131" t="s">
        <v>1266</v>
      </c>
      <c r="T131" t="s">
        <v>319</v>
      </c>
      <c r="U131" t="s">
        <v>781</v>
      </c>
      <c r="Z131">
        <v>67</v>
      </c>
      <c r="AA131" s="31">
        <v>45694</v>
      </c>
      <c r="AB131" s="61">
        <v>0.63978009259259261</v>
      </c>
      <c r="AC131" t="s">
        <v>795</v>
      </c>
      <c r="AD131" s="31">
        <v>45761</v>
      </c>
      <c r="AE131" s="61">
        <v>0.36935185185185188</v>
      </c>
      <c r="AF131" t="s">
        <v>796</v>
      </c>
      <c r="AQ131">
        <v>1</v>
      </c>
    </row>
    <row r="132" spans="1:43" x14ac:dyDescent="0.3">
      <c r="A132" t="s">
        <v>31</v>
      </c>
      <c r="B132">
        <v>220</v>
      </c>
      <c r="C132">
        <v>129</v>
      </c>
      <c r="D132">
        <v>1723</v>
      </c>
      <c r="G132" t="s">
        <v>3654</v>
      </c>
      <c r="I132" t="s">
        <v>679</v>
      </c>
      <c r="J132" t="s">
        <v>3655</v>
      </c>
      <c r="K132" t="s">
        <v>3537</v>
      </c>
      <c r="M132" t="s">
        <v>3366</v>
      </c>
      <c r="O132" t="s">
        <v>778</v>
      </c>
      <c r="T132" t="s">
        <v>319</v>
      </c>
      <c r="U132" t="s">
        <v>816</v>
      </c>
      <c r="W132">
        <v>321408</v>
      </c>
      <c r="X132">
        <v>57024</v>
      </c>
      <c r="Z132">
        <v>48</v>
      </c>
      <c r="AA132" s="31">
        <v>45695</v>
      </c>
      <c r="AB132" s="61">
        <v>0.36967592592592591</v>
      </c>
      <c r="AC132" t="s">
        <v>795</v>
      </c>
      <c r="AD132" s="31">
        <v>45743</v>
      </c>
      <c r="AE132" s="61">
        <v>0.35805555555555563</v>
      </c>
      <c r="AF132" t="s">
        <v>796</v>
      </c>
      <c r="AH132" t="s">
        <v>1292</v>
      </c>
      <c r="AI132" t="s">
        <v>1293</v>
      </c>
      <c r="AQ132">
        <v>1</v>
      </c>
    </row>
    <row r="133" spans="1:43" x14ac:dyDescent="0.3">
      <c r="A133" t="s">
        <v>31</v>
      </c>
      <c r="B133">
        <v>221</v>
      </c>
      <c r="C133">
        <v>129</v>
      </c>
      <c r="D133">
        <v>1724</v>
      </c>
      <c r="G133" t="s">
        <v>3656</v>
      </c>
      <c r="I133" t="s">
        <v>679</v>
      </c>
      <c r="J133" t="s">
        <v>928</v>
      </c>
      <c r="K133" t="s">
        <v>3537</v>
      </c>
      <c r="M133" t="s">
        <v>3366</v>
      </c>
      <c r="O133" t="s">
        <v>778</v>
      </c>
      <c r="S133" t="s">
        <v>1266</v>
      </c>
      <c r="T133" t="s">
        <v>319</v>
      </c>
      <c r="U133" t="s">
        <v>816</v>
      </c>
      <c r="W133">
        <v>23580</v>
      </c>
      <c r="X133">
        <v>3400</v>
      </c>
      <c r="Z133">
        <v>48</v>
      </c>
      <c r="AA133" s="31">
        <v>45695</v>
      </c>
      <c r="AB133" s="61">
        <v>0.41024305555555562</v>
      </c>
      <c r="AC133" t="s">
        <v>795</v>
      </c>
      <c r="AD133" s="31">
        <v>45743</v>
      </c>
      <c r="AE133" s="61">
        <v>0.35790509259259262</v>
      </c>
      <c r="AF133" t="s">
        <v>796</v>
      </c>
      <c r="AH133" t="s">
        <v>1292</v>
      </c>
      <c r="AI133" t="s">
        <v>1293</v>
      </c>
      <c r="AQ133">
        <v>1</v>
      </c>
    </row>
    <row r="134" spans="1:43" x14ac:dyDescent="0.3">
      <c r="A134" t="s">
        <v>31</v>
      </c>
      <c r="B134">
        <v>222</v>
      </c>
      <c r="C134">
        <v>172</v>
      </c>
      <c r="D134">
        <v>1725</v>
      </c>
      <c r="G134" t="s">
        <v>3657</v>
      </c>
      <c r="H134">
        <v>33561753000125</v>
      </c>
      <c r="I134" t="s">
        <v>3501</v>
      </c>
      <c r="J134" t="s">
        <v>952</v>
      </c>
      <c r="K134" t="s">
        <v>3502</v>
      </c>
      <c r="M134" t="s">
        <v>3503</v>
      </c>
      <c r="O134" t="s">
        <v>3504</v>
      </c>
      <c r="P134" t="s">
        <v>3505</v>
      </c>
      <c r="Q134" t="s">
        <v>790</v>
      </c>
      <c r="S134" t="s">
        <v>1266</v>
      </c>
      <c r="T134" t="s">
        <v>319</v>
      </c>
      <c r="U134" t="s">
        <v>3417</v>
      </c>
      <c r="W134">
        <v>23580</v>
      </c>
      <c r="X134">
        <v>3400</v>
      </c>
      <c r="Z134">
        <v>91</v>
      </c>
      <c r="AA134" s="31">
        <v>45695</v>
      </c>
      <c r="AB134" s="61">
        <v>0.44217592592592592</v>
      </c>
      <c r="AC134" t="s">
        <v>795</v>
      </c>
      <c r="AD134" s="31">
        <v>45786</v>
      </c>
      <c r="AE134" s="61">
        <v>0.6146759259259259</v>
      </c>
      <c r="AF134" t="s">
        <v>934</v>
      </c>
      <c r="AH134" t="s">
        <v>1292</v>
      </c>
      <c r="AI134" t="s">
        <v>1286</v>
      </c>
      <c r="AQ134">
        <v>1</v>
      </c>
    </row>
    <row r="135" spans="1:43" x14ac:dyDescent="0.3">
      <c r="A135" t="s">
        <v>31</v>
      </c>
      <c r="B135">
        <v>223</v>
      </c>
      <c r="C135">
        <v>172</v>
      </c>
      <c r="D135">
        <v>1726</v>
      </c>
      <c r="G135" t="s">
        <v>3658</v>
      </c>
      <c r="H135">
        <v>33561753000125</v>
      </c>
      <c r="I135" t="s">
        <v>3501</v>
      </c>
      <c r="J135" t="s">
        <v>952</v>
      </c>
      <c r="K135" t="s">
        <v>3502</v>
      </c>
      <c r="M135" t="s">
        <v>3503</v>
      </c>
      <c r="O135" t="s">
        <v>3504</v>
      </c>
      <c r="P135" t="s">
        <v>3505</v>
      </c>
      <c r="Q135" t="s">
        <v>790</v>
      </c>
      <c r="S135" t="s">
        <v>1266</v>
      </c>
      <c r="T135" t="s">
        <v>319</v>
      </c>
      <c r="U135" t="s">
        <v>3417</v>
      </c>
      <c r="W135">
        <v>214272</v>
      </c>
      <c r="X135">
        <v>48472</v>
      </c>
      <c r="Z135">
        <v>91</v>
      </c>
      <c r="AA135" s="31">
        <v>45695</v>
      </c>
      <c r="AB135" s="61">
        <v>0.44530092592592591</v>
      </c>
      <c r="AC135" t="s">
        <v>795</v>
      </c>
      <c r="AD135" s="31">
        <v>45786</v>
      </c>
      <c r="AE135" s="61">
        <v>0.61391203703703701</v>
      </c>
      <c r="AF135" t="s">
        <v>934</v>
      </c>
      <c r="AH135" t="s">
        <v>1292</v>
      </c>
      <c r="AI135" t="s">
        <v>1286</v>
      </c>
      <c r="AQ135">
        <v>1</v>
      </c>
    </row>
    <row r="136" spans="1:43" x14ac:dyDescent="0.3">
      <c r="A136" t="s">
        <v>31</v>
      </c>
      <c r="B136">
        <v>224</v>
      </c>
      <c r="C136">
        <v>172</v>
      </c>
      <c r="D136">
        <v>1727</v>
      </c>
      <c r="G136" t="s">
        <v>3659</v>
      </c>
      <c r="H136">
        <v>33561753000125</v>
      </c>
      <c r="I136" t="s">
        <v>3501</v>
      </c>
      <c r="J136" t="s">
        <v>952</v>
      </c>
      <c r="K136" t="s">
        <v>3502</v>
      </c>
      <c r="M136" t="s">
        <v>3503</v>
      </c>
      <c r="O136" t="s">
        <v>3504</v>
      </c>
      <c r="P136" t="s">
        <v>3505</v>
      </c>
      <c r="Q136" t="s">
        <v>790</v>
      </c>
      <c r="S136" t="s">
        <v>1266</v>
      </c>
      <c r="T136" t="s">
        <v>319</v>
      </c>
      <c r="U136" t="s">
        <v>3417</v>
      </c>
      <c r="W136">
        <v>142848</v>
      </c>
      <c r="X136">
        <v>0</v>
      </c>
      <c r="Z136">
        <v>91</v>
      </c>
      <c r="AA136" s="31">
        <v>45695</v>
      </c>
      <c r="AB136" s="61">
        <v>0.45251157407407411</v>
      </c>
      <c r="AC136" t="s">
        <v>795</v>
      </c>
      <c r="AD136" s="31">
        <v>45786</v>
      </c>
      <c r="AE136" s="61">
        <v>0.61659722222222224</v>
      </c>
      <c r="AF136" t="s">
        <v>934</v>
      </c>
      <c r="AH136" t="s">
        <v>1292</v>
      </c>
      <c r="AI136" t="s">
        <v>1286</v>
      </c>
      <c r="AQ136">
        <v>1</v>
      </c>
    </row>
    <row r="137" spans="1:43" x14ac:dyDescent="0.3">
      <c r="A137" t="s">
        <v>31</v>
      </c>
      <c r="B137">
        <v>225</v>
      </c>
      <c r="C137">
        <v>172</v>
      </c>
      <c r="D137">
        <v>1728</v>
      </c>
      <c r="G137" t="s">
        <v>3660</v>
      </c>
      <c r="H137">
        <v>33561753000125</v>
      </c>
      <c r="I137" t="s">
        <v>3501</v>
      </c>
      <c r="J137" t="s">
        <v>952</v>
      </c>
      <c r="K137" t="s">
        <v>3502</v>
      </c>
      <c r="M137" t="s">
        <v>3503</v>
      </c>
      <c r="O137" t="s">
        <v>3504</v>
      </c>
      <c r="P137" t="s">
        <v>3505</v>
      </c>
      <c r="Q137" t="s">
        <v>790</v>
      </c>
      <c r="S137" t="s">
        <v>1266</v>
      </c>
      <c r="T137" t="s">
        <v>319</v>
      </c>
      <c r="U137" t="s">
        <v>3417</v>
      </c>
      <c r="W137">
        <v>1600</v>
      </c>
      <c r="X137">
        <v>235228</v>
      </c>
      <c r="Z137">
        <v>91</v>
      </c>
      <c r="AA137" s="31">
        <v>45695</v>
      </c>
      <c r="AB137" s="61">
        <v>0.45512731481481478</v>
      </c>
      <c r="AC137" t="s">
        <v>795</v>
      </c>
      <c r="AD137" s="31">
        <v>45786</v>
      </c>
      <c r="AE137" s="61">
        <v>0.61518518518518517</v>
      </c>
      <c r="AF137" t="s">
        <v>934</v>
      </c>
      <c r="AH137" t="s">
        <v>1292</v>
      </c>
      <c r="AI137" t="s">
        <v>1286</v>
      </c>
      <c r="AQ137">
        <v>1</v>
      </c>
    </row>
    <row r="138" spans="1:43" x14ac:dyDescent="0.3">
      <c r="A138" t="s">
        <v>31</v>
      </c>
      <c r="B138">
        <v>226</v>
      </c>
      <c r="C138">
        <v>152</v>
      </c>
      <c r="D138">
        <v>1729</v>
      </c>
      <c r="G138" t="s">
        <v>3661</v>
      </c>
      <c r="I138" t="s">
        <v>3445</v>
      </c>
      <c r="J138" t="s">
        <v>3662</v>
      </c>
      <c r="K138" t="s">
        <v>3621</v>
      </c>
      <c r="M138" t="s">
        <v>3448</v>
      </c>
      <c r="O138" t="s">
        <v>778</v>
      </c>
      <c r="T138" t="s">
        <v>319</v>
      </c>
      <c r="U138" t="s">
        <v>816</v>
      </c>
      <c r="W138">
        <v>89361</v>
      </c>
      <c r="X138">
        <v>0</v>
      </c>
      <c r="Z138">
        <v>26</v>
      </c>
      <c r="AA138" s="31">
        <v>45695</v>
      </c>
      <c r="AB138" s="61">
        <v>0.55688657407407405</v>
      </c>
      <c r="AC138" t="s">
        <v>795</v>
      </c>
      <c r="AD138" s="31">
        <v>45721</v>
      </c>
      <c r="AE138" s="61">
        <v>0.42237268518518523</v>
      </c>
      <c r="AF138" t="s">
        <v>3463</v>
      </c>
      <c r="AH138" t="s">
        <v>1292</v>
      </c>
      <c r="AQ138">
        <v>1</v>
      </c>
    </row>
    <row r="139" spans="1:43" x14ac:dyDescent="0.3">
      <c r="A139" t="s">
        <v>31</v>
      </c>
      <c r="B139">
        <v>227</v>
      </c>
      <c r="C139">
        <v>171</v>
      </c>
      <c r="D139">
        <v>1730</v>
      </c>
      <c r="G139" t="s">
        <v>3663</v>
      </c>
      <c r="H139">
        <v>39955762000187</v>
      </c>
      <c r="I139" t="s">
        <v>3484</v>
      </c>
      <c r="J139" t="s">
        <v>3664</v>
      </c>
      <c r="K139" t="s">
        <v>3665</v>
      </c>
      <c r="M139" t="s">
        <v>3487</v>
      </c>
      <c r="O139" t="s">
        <v>3488</v>
      </c>
      <c r="P139" t="s">
        <v>1094</v>
      </c>
      <c r="Q139" t="s">
        <v>790</v>
      </c>
      <c r="T139" t="s">
        <v>319</v>
      </c>
      <c r="U139" t="s">
        <v>3417</v>
      </c>
      <c r="W139">
        <v>245704</v>
      </c>
      <c r="X139">
        <v>0</v>
      </c>
      <c r="Z139">
        <v>7</v>
      </c>
      <c r="AA139" s="31">
        <v>45695</v>
      </c>
      <c r="AB139" s="61">
        <v>0.55918981481481478</v>
      </c>
      <c r="AC139" t="s">
        <v>795</v>
      </c>
      <c r="AD139" s="31">
        <v>45702</v>
      </c>
      <c r="AE139" s="61">
        <v>0.4418287037037037</v>
      </c>
      <c r="AF139" t="s">
        <v>796</v>
      </c>
      <c r="AH139" t="s">
        <v>1292</v>
      </c>
      <c r="AQ139">
        <v>1</v>
      </c>
    </row>
    <row r="140" spans="1:43" x14ac:dyDescent="0.3">
      <c r="A140" t="s">
        <v>31</v>
      </c>
      <c r="B140">
        <v>228</v>
      </c>
      <c r="C140">
        <v>103</v>
      </c>
      <c r="D140">
        <v>1731</v>
      </c>
      <c r="G140" t="s">
        <v>3666</v>
      </c>
      <c r="H140">
        <v>12549273000179</v>
      </c>
      <c r="I140" t="s">
        <v>3309</v>
      </c>
      <c r="J140" t="s">
        <v>1804</v>
      </c>
      <c r="K140" t="s">
        <v>3667</v>
      </c>
      <c r="M140" t="s">
        <v>3312</v>
      </c>
      <c r="O140" t="s">
        <v>3313</v>
      </c>
      <c r="P140" t="s">
        <v>1596</v>
      </c>
      <c r="Q140" t="s">
        <v>790</v>
      </c>
      <c r="T140" t="s">
        <v>319</v>
      </c>
      <c r="U140" t="s">
        <v>3417</v>
      </c>
      <c r="W140">
        <v>7413</v>
      </c>
      <c r="X140">
        <v>0</v>
      </c>
      <c r="Z140">
        <v>33</v>
      </c>
      <c r="AA140" s="31">
        <v>45695</v>
      </c>
      <c r="AB140" s="61">
        <v>0.56200231481481477</v>
      </c>
      <c r="AC140" t="s">
        <v>795</v>
      </c>
      <c r="AD140" s="31">
        <v>45728</v>
      </c>
      <c r="AE140" s="61">
        <v>0.63368055555555558</v>
      </c>
      <c r="AF140" t="s">
        <v>796</v>
      </c>
      <c r="AH140" t="s">
        <v>1292</v>
      </c>
      <c r="AQ140">
        <v>1</v>
      </c>
    </row>
    <row r="141" spans="1:43" x14ac:dyDescent="0.3">
      <c r="A141" t="s">
        <v>31</v>
      </c>
      <c r="B141">
        <v>229</v>
      </c>
      <c r="C141">
        <v>81</v>
      </c>
      <c r="D141">
        <v>1732</v>
      </c>
      <c r="G141" t="s">
        <v>3668</v>
      </c>
      <c r="I141" t="s">
        <v>3248</v>
      </c>
      <c r="J141" t="s">
        <v>3669</v>
      </c>
      <c r="K141" t="s">
        <v>3670</v>
      </c>
      <c r="M141" t="s">
        <v>3250</v>
      </c>
      <c r="O141" t="s">
        <v>778</v>
      </c>
      <c r="S141" t="s">
        <v>1266</v>
      </c>
      <c r="T141" t="s">
        <v>319</v>
      </c>
      <c r="U141" t="s">
        <v>3417</v>
      </c>
      <c r="W141">
        <v>16200</v>
      </c>
      <c r="X141">
        <v>2160</v>
      </c>
      <c r="Z141">
        <v>6</v>
      </c>
      <c r="AA141" s="31">
        <v>45695</v>
      </c>
      <c r="AB141" s="61">
        <v>0.62017361111111113</v>
      </c>
      <c r="AC141" t="s">
        <v>795</v>
      </c>
      <c r="AD141" s="31">
        <v>45701</v>
      </c>
      <c r="AE141" s="61">
        <v>0.48325231481481479</v>
      </c>
      <c r="AF141" t="s">
        <v>3463</v>
      </c>
      <c r="AH141" t="s">
        <v>1292</v>
      </c>
      <c r="AI141" t="s">
        <v>1292</v>
      </c>
      <c r="AQ141">
        <v>1</v>
      </c>
    </row>
    <row r="142" spans="1:43" x14ac:dyDescent="0.3">
      <c r="A142" t="s">
        <v>31</v>
      </c>
      <c r="B142">
        <v>238</v>
      </c>
      <c r="C142">
        <v>96</v>
      </c>
      <c r="D142">
        <v>1761</v>
      </c>
      <c r="G142" t="s">
        <v>3671</v>
      </c>
      <c r="I142" t="s">
        <v>3291</v>
      </c>
      <c r="J142" t="s">
        <v>704</v>
      </c>
      <c r="K142" t="s">
        <v>3672</v>
      </c>
      <c r="M142" t="s">
        <v>3293</v>
      </c>
      <c r="O142" t="s">
        <v>778</v>
      </c>
      <c r="S142" t="s">
        <v>1327</v>
      </c>
      <c r="T142" t="s">
        <v>319</v>
      </c>
      <c r="U142" t="s">
        <v>3417</v>
      </c>
      <c r="W142">
        <v>16200</v>
      </c>
      <c r="X142">
        <v>1404</v>
      </c>
      <c r="Z142">
        <v>7</v>
      </c>
      <c r="AA142" s="31">
        <v>45701</v>
      </c>
      <c r="AB142" s="61">
        <v>0.48359953703703712</v>
      </c>
      <c r="AC142" t="s">
        <v>795</v>
      </c>
      <c r="AD142" s="31">
        <v>45708</v>
      </c>
      <c r="AE142" s="61">
        <v>0.38273148148148151</v>
      </c>
      <c r="AF142" t="s">
        <v>3463</v>
      </c>
      <c r="AH142" t="s">
        <v>3673</v>
      </c>
      <c r="AI142" t="s">
        <v>3673</v>
      </c>
      <c r="AQ142">
        <v>1</v>
      </c>
    </row>
    <row r="143" spans="1:43" x14ac:dyDescent="0.3">
      <c r="A143" t="s">
        <v>31</v>
      </c>
      <c r="B143">
        <v>239</v>
      </c>
      <c r="C143">
        <v>130</v>
      </c>
      <c r="D143">
        <v>1762</v>
      </c>
      <c r="G143" t="s">
        <v>3674</v>
      </c>
      <c r="I143" t="s">
        <v>141</v>
      </c>
      <c r="J143" t="s">
        <v>3675</v>
      </c>
      <c r="K143" t="s">
        <v>3676</v>
      </c>
      <c r="M143" t="s">
        <v>3368</v>
      </c>
      <c r="O143" t="s">
        <v>778</v>
      </c>
      <c r="P143" t="s">
        <v>923</v>
      </c>
      <c r="Q143" t="s">
        <v>790</v>
      </c>
      <c r="S143" t="s">
        <v>1266</v>
      </c>
      <c r="T143" t="s">
        <v>319</v>
      </c>
      <c r="U143" t="s">
        <v>3417</v>
      </c>
      <c r="Z143">
        <v>20</v>
      </c>
      <c r="AA143" s="31">
        <v>45701</v>
      </c>
      <c r="AB143" s="61">
        <v>0.65766203703703707</v>
      </c>
      <c r="AC143" t="s">
        <v>795</v>
      </c>
      <c r="AD143" s="31">
        <v>45721</v>
      </c>
      <c r="AE143" s="61">
        <v>0.42332175925925919</v>
      </c>
      <c r="AF143" t="s">
        <v>796</v>
      </c>
      <c r="AH143" t="s">
        <v>3677</v>
      </c>
      <c r="AI143" t="s">
        <v>1286</v>
      </c>
      <c r="AQ143">
        <v>1</v>
      </c>
    </row>
    <row r="144" spans="1:43" x14ac:dyDescent="0.3">
      <c r="A144" t="s">
        <v>31</v>
      </c>
      <c r="B144">
        <v>240</v>
      </c>
      <c r="C144">
        <v>147</v>
      </c>
      <c r="D144">
        <v>1764</v>
      </c>
      <c r="G144" t="s">
        <v>3678</v>
      </c>
      <c r="H144">
        <v>7964558000136</v>
      </c>
      <c r="I144" t="s">
        <v>3430</v>
      </c>
      <c r="J144" t="s">
        <v>3679</v>
      </c>
      <c r="K144" t="s">
        <v>3515</v>
      </c>
      <c r="M144" t="s">
        <v>3433</v>
      </c>
      <c r="O144" t="s">
        <v>778</v>
      </c>
      <c r="S144" t="s">
        <v>1266</v>
      </c>
      <c r="T144" t="s">
        <v>319</v>
      </c>
      <c r="U144" t="s">
        <v>781</v>
      </c>
      <c r="Z144">
        <v>20</v>
      </c>
      <c r="AA144" s="31">
        <v>45701</v>
      </c>
      <c r="AB144" s="61">
        <v>0.72121527777777783</v>
      </c>
      <c r="AC144" t="s">
        <v>795</v>
      </c>
      <c r="AD144" s="31">
        <v>45721</v>
      </c>
      <c r="AE144" s="61">
        <v>0.42427083333333332</v>
      </c>
      <c r="AF144" t="s">
        <v>796</v>
      </c>
      <c r="AH144" t="s">
        <v>3677</v>
      </c>
      <c r="AI144" t="s">
        <v>3677</v>
      </c>
      <c r="AQ144">
        <v>1</v>
      </c>
    </row>
    <row r="145" spans="1:43" x14ac:dyDescent="0.3">
      <c r="A145" t="s">
        <v>31</v>
      </c>
      <c r="B145">
        <v>241</v>
      </c>
      <c r="C145">
        <v>170</v>
      </c>
      <c r="D145">
        <v>1765</v>
      </c>
      <c r="G145" t="s">
        <v>3680</v>
      </c>
      <c r="H145">
        <v>4150555001304</v>
      </c>
      <c r="I145" t="s">
        <v>3477</v>
      </c>
      <c r="J145" t="s">
        <v>3478</v>
      </c>
      <c r="K145" t="s">
        <v>3569</v>
      </c>
      <c r="M145" t="s">
        <v>3480</v>
      </c>
      <c r="O145" t="s">
        <v>3481</v>
      </c>
      <c r="P145" t="s">
        <v>3482</v>
      </c>
      <c r="Q145" t="s">
        <v>1699</v>
      </c>
      <c r="S145" t="s">
        <v>1327</v>
      </c>
      <c r="T145" t="s">
        <v>319</v>
      </c>
      <c r="U145" t="s">
        <v>816</v>
      </c>
      <c r="W145">
        <v>838823</v>
      </c>
      <c r="X145">
        <v>0</v>
      </c>
      <c r="Z145">
        <v>42</v>
      </c>
      <c r="AA145" s="31">
        <v>45701</v>
      </c>
      <c r="AB145" s="61">
        <v>0.72212962962962968</v>
      </c>
      <c r="AC145" t="s">
        <v>818</v>
      </c>
      <c r="AD145" s="31">
        <v>45743</v>
      </c>
      <c r="AE145" s="61">
        <v>0.67868055555555551</v>
      </c>
      <c r="AQ145">
        <v>1</v>
      </c>
    </row>
    <row r="146" spans="1:43" x14ac:dyDescent="0.3">
      <c r="A146" t="s">
        <v>31</v>
      </c>
      <c r="B146">
        <v>243</v>
      </c>
      <c r="C146">
        <v>194</v>
      </c>
      <c r="D146">
        <v>1766</v>
      </c>
      <c r="G146" t="s">
        <v>3681</v>
      </c>
      <c r="H146">
        <v>44580314000186</v>
      </c>
      <c r="I146" t="s">
        <v>3682</v>
      </c>
      <c r="J146" t="s">
        <v>3683</v>
      </c>
      <c r="K146" t="s">
        <v>3684</v>
      </c>
      <c r="M146" t="s">
        <v>3685</v>
      </c>
      <c r="O146" t="s">
        <v>3686</v>
      </c>
      <c r="P146" t="s">
        <v>3687</v>
      </c>
      <c r="Q146" t="s">
        <v>790</v>
      </c>
      <c r="T146" t="s">
        <v>319</v>
      </c>
      <c r="U146" t="s">
        <v>816</v>
      </c>
      <c r="W146">
        <v>1440</v>
      </c>
      <c r="X146">
        <v>0</v>
      </c>
      <c r="Z146">
        <v>0</v>
      </c>
      <c r="AA146" s="31">
        <v>45702</v>
      </c>
      <c r="AB146" s="61">
        <v>0.36876157407407412</v>
      </c>
      <c r="AC146" t="s">
        <v>818</v>
      </c>
      <c r="AD146" s="31">
        <v>45702</v>
      </c>
      <c r="AE146" s="61">
        <v>0.40575231481481477</v>
      </c>
      <c r="AH146" t="s">
        <v>1359</v>
      </c>
      <c r="AI146" t="s">
        <v>1359</v>
      </c>
      <c r="AQ146">
        <v>1</v>
      </c>
    </row>
    <row r="147" spans="1:43" x14ac:dyDescent="0.3">
      <c r="A147" t="s">
        <v>31</v>
      </c>
      <c r="B147">
        <v>244</v>
      </c>
      <c r="C147">
        <v>149</v>
      </c>
      <c r="D147">
        <v>1767</v>
      </c>
      <c r="G147" t="s">
        <v>3645</v>
      </c>
      <c r="H147">
        <v>12418196000118</v>
      </c>
      <c r="I147" t="s">
        <v>3645</v>
      </c>
      <c r="J147" t="s">
        <v>3688</v>
      </c>
      <c r="K147" t="s">
        <v>3647</v>
      </c>
      <c r="M147" t="s">
        <v>3648</v>
      </c>
      <c r="O147" t="s">
        <v>778</v>
      </c>
      <c r="S147" t="s">
        <v>1327</v>
      </c>
      <c r="T147" t="s">
        <v>319</v>
      </c>
      <c r="U147" t="s">
        <v>3417</v>
      </c>
      <c r="Z147">
        <v>0</v>
      </c>
      <c r="AA147" s="31">
        <v>45702</v>
      </c>
      <c r="AB147" s="61">
        <v>0.43881944444444437</v>
      </c>
      <c r="AC147" t="s">
        <v>795</v>
      </c>
      <c r="AD147" s="31">
        <v>45702</v>
      </c>
      <c r="AE147" s="61">
        <v>0.43979166666666669</v>
      </c>
      <c r="AF147" t="s">
        <v>796</v>
      </c>
      <c r="AI147" t="s">
        <v>1359</v>
      </c>
      <c r="AQ147">
        <v>1</v>
      </c>
    </row>
    <row r="148" spans="1:43" x14ac:dyDescent="0.3">
      <c r="A148" t="s">
        <v>31</v>
      </c>
      <c r="B148">
        <v>247</v>
      </c>
      <c r="C148">
        <v>190</v>
      </c>
      <c r="D148">
        <v>1769</v>
      </c>
      <c r="G148" t="s">
        <v>3689</v>
      </c>
      <c r="H148">
        <v>18203215000175</v>
      </c>
      <c r="I148" t="s">
        <v>3690</v>
      </c>
      <c r="J148" t="s">
        <v>3691</v>
      </c>
      <c r="K148" t="s">
        <v>3692</v>
      </c>
      <c r="M148" t="s">
        <v>3693</v>
      </c>
      <c r="O148" t="s">
        <v>3694</v>
      </c>
      <c r="P148" t="s">
        <v>3695</v>
      </c>
      <c r="Q148" t="s">
        <v>790</v>
      </c>
      <c r="S148" t="s">
        <v>1266</v>
      </c>
      <c r="T148" t="s">
        <v>319</v>
      </c>
      <c r="U148" t="s">
        <v>3409</v>
      </c>
      <c r="W148">
        <v>16200</v>
      </c>
      <c r="X148">
        <v>2160</v>
      </c>
      <c r="Z148">
        <v>25</v>
      </c>
      <c r="AA148" s="31">
        <v>45702</v>
      </c>
      <c r="AB148" s="61">
        <v>0.48204861111111108</v>
      </c>
      <c r="AC148" t="s">
        <v>795</v>
      </c>
      <c r="AD148" s="31">
        <v>45727</v>
      </c>
      <c r="AE148" s="61">
        <v>0.68393518518518515</v>
      </c>
      <c r="AF148" t="s">
        <v>796</v>
      </c>
      <c r="AH148" t="s">
        <v>1286</v>
      </c>
      <c r="AI148" t="s">
        <v>1286</v>
      </c>
      <c r="AQ148">
        <v>1</v>
      </c>
    </row>
    <row r="149" spans="1:43" x14ac:dyDescent="0.3">
      <c r="A149" t="s">
        <v>31</v>
      </c>
      <c r="B149">
        <v>251</v>
      </c>
      <c r="C149">
        <v>142</v>
      </c>
      <c r="D149">
        <v>1773</v>
      </c>
      <c r="G149" t="s">
        <v>3696</v>
      </c>
      <c r="I149" t="s">
        <v>3397</v>
      </c>
      <c r="J149" t="s">
        <v>3697</v>
      </c>
      <c r="K149" t="s">
        <v>3698</v>
      </c>
      <c r="M149" t="s">
        <v>3399</v>
      </c>
      <c r="O149" t="s">
        <v>778</v>
      </c>
      <c r="P149" t="s">
        <v>3400</v>
      </c>
      <c r="Q149" t="s">
        <v>1699</v>
      </c>
      <c r="S149" t="s">
        <v>1266</v>
      </c>
      <c r="T149" t="s">
        <v>319</v>
      </c>
      <c r="U149" t="s">
        <v>3417</v>
      </c>
      <c r="W149">
        <v>16200</v>
      </c>
      <c r="X149">
        <v>2160</v>
      </c>
      <c r="Z149">
        <v>0</v>
      </c>
      <c r="AA149" s="31">
        <v>45702</v>
      </c>
      <c r="AB149" s="61">
        <v>0.70365740740740745</v>
      </c>
      <c r="AC149" t="s">
        <v>795</v>
      </c>
      <c r="AD149" s="31">
        <v>45702</v>
      </c>
      <c r="AE149" s="61">
        <v>0.70915509259259257</v>
      </c>
      <c r="AF149" t="s">
        <v>3463</v>
      </c>
      <c r="AH149" t="s">
        <v>1359</v>
      </c>
      <c r="AI149" t="s">
        <v>1286</v>
      </c>
      <c r="AQ149">
        <v>1</v>
      </c>
    </row>
    <row r="150" spans="1:43" x14ac:dyDescent="0.3">
      <c r="A150" t="s">
        <v>31</v>
      </c>
      <c r="B150">
        <v>252</v>
      </c>
      <c r="C150">
        <v>147</v>
      </c>
      <c r="D150">
        <v>1774</v>
      </c>
      <c r="G150" t="s">
        <v>3699</v>
      </c>
      <c r="H150">
        <v>7964558000136</v>
      </c>
      <c r="I150" t="s">
        <v>3430</v>
      </c>
      <c r="J150" t="s">
        <v>3700</v>
      </c>
      <c r="K150" t="s">
        <v>3515</v>
      </c>
      <c r="M150" t="s">
        <v>3433</v>
      </c>
      <c r="O150" t="s">
        <v>778</v>
      </c>
      <c r="S150" t="s">
        <v>1327</v>
      </c>
      <c r="T150" t="s">
        <v>319</v>
      </c>
      <c r="U150" t="s">
        <v>3417</v>
      </c>
      <c r="W150">
        <v>4212</v>
      </c>
      <c r="X150">
        <v>3564</v>
      </c>
      <c r="Z150">
        <v>4</v>
      </c>
      <c r="AA150" s="31">
        <v>45702</v>
      </c>
      <c r="AB150" s="61">
        <v>0.71611111111111114</v>
      </c>
      <c r="AC150" t="s">
        <v>795</v>
      </c>
      <c r="AD150" s="31">
        <v>45706</v>
      </c>
      <c r="AE150" s="61">
        <v>0.71895833333333337</v>
      </c>
      <c r="AF150" t="s">
        <v>796</v>
      </c>
      <c r="AI150" t="s">
        <v>1359</v>
      </c>
      <c r="AQ150">
        <v>1</v>
      </c>
    </row>
    <row r="151" spans="1:43" x14ac:dyDescent="0.3">
      <c r="A151" t="s">
        <v>31</v>
      </c>
      <c r="B151">
        <v>262</v>
      </c>
      <c r="C151">
        <v>137</v>
      </c>
      <c r="D151">
        <v>1787</v>
      </c>
      <c r="G151" t="s">
        <v>3701</v>
      </c>
      <c r="I151" t="s">
        <v>116</v>
      </c>
      <c r="J151" t="s">
        <v>3702</v>
      </c>
      <c r="K151" t="s">
        <v>3703</v>
      </c>
      <c r="M151" t="s">
        <v>3386</v>
      </c>
      <c r="O151" t="s">
        <v>778</v>
      </c>
      <c r="T151" t="s">
        <v>319</v>
      </c>
      <c r="U151" t="s">
        <v>3417</v>
      </c>
      <c r="W151">
        <v>0</v>
      </c>
      <c r="X151">
        <v>46332</v>
      </c>
      <c r="Z151">
        <v>77</v>
      </c>
      <c r="AA151" s="31">
        <v>45705</v>
      </c>
      <c r="AB151" s="61">
        <v>0.62427083333333333</v>
      </c>
      <c r="AC151" t="s">
        <v>795</v>
      </c>
      <c r="AD151" s="31">
        <v>45782</v>
      </c>
      <c r="AE151" s="61">
        <v>0.66953703703703704</v>
      </c>
      <c r="AF151" t="s">
        <v>934</v>
      </c>
      <c r="AH151" t="s">
        <v>1378</v>
      </c>
      <c r="AI151" t="s">
        <v>1359</v>
      </c>
      <c r="AQ151">
        <v>1</v>
      </c>
    </row>
    <row r="152" spans="1:43" x14ac:dyDescent="0.3">
      <c r="A152" t="s">
        <v>31</v>
      </c>
      <c r="B152">
        <v>264</v>
      </c>
      <c r="C152">
        <v>170</v>
      </c>
      <c r="D152">
        <v>1791</v>
      </c>
      <c r="G152" t="s">
        <v>3704</v>
      </c>
      <c r="H152">
        <v>4150555001304</v>
      </c>
      <c r="I152" t="s">
        <v>3477</v>
      </c>
      <c r="J152" t="s">
        <v>3478</v>
      </c>
      <c r="K152" t="s">
        <v>3569</v>
      </c>
      <c r="M152" t="s">
        <v>3480</v>
      </c>
      <c r="O152" t="s">
        <v>3481</v>
      </c>
      <c r="P152" t="s">
        <v>3482</v>
      </c>
      <c r="Q152" t="s">
        <v>1699</v>
      </c>
      <c r="S152" t="s">
        <v>1266</v>
      </c>
      <c r="T152" t="s">
        <v>319</v>
      </c>
      <c r="U152" t="s">
        <v>781</v>
      </c>
      <c r="Z152">
        <v>55</v>
      </c>
      <c r="AA152" s="31">
        <v>45706</v>
      </c>
      <c r="AB152" s="61">
        <v>0.42887731481481478</v>
      </c>
      <c r="AC152" t="s">
        <v>795</v>
      </c>
      <c r="AD152" s="31">
        <v>45761</v>
      </c>
      <c r="AE152" s="61">
        <v>0.36827546296296299</v>
      </c>
      <c r="AF152" t="s">
        <v>796</v>
      </c>
      <c r="AI152" t="s">
        <v>3705</v>
      </c>
      <c r="AQ152">
        <v>1</v>
      </c>
    </row>
    <row r="153" spans="1:43" x14ac:dyDescent="0.3">
      <c r="A153" t="s">
        <v>31</v>
      </c>
      <c r="B153">
        <v>265</v>
      </c>
      <c r="C153">
        <v>103</v>
      </c>
      <c r="D153">
        <v>1864</v>
      </c>
      <c r="G153" t="s">
        <v>3706</v>
      </c>
      <c r="H153">
        <v>12549273000179</v>
      </c>
      <c r="I153" t="s">
        <v>3309</v>
      </c>
      <c r="J153" t="s">
        <v>3707</v>
      </c>
      <c r="M153" t="s">
        <v>3312</v>
      </c>
      <c r="O153" t="s">
        <v>3313</v>
      </c>
      <c r="P153" t="s">
        <v>1596</v>
      </c>
      <c r="Q153" t="s">
        <v>790</v>
      </c>
      <c r="T153" t="s">
        <v>319</v>
      </c>
      <c r="U153" t="s">
        <v>781</v>
      </c>
      <c r="Z153">
        <v>36</v>
      </c>
      <c r="AA153" s="31">
        <v>45707</v>
      </c>
      <c r="AB153" s="61">
        <v>0.41913194444444452</v>
      </c>
      <c r="AC153" t="s">
        <v>795</v>
      </c>
      <c r="AD153" s="31">
        <v>45743</v>
      </c>
      <c r="AE153" s="61">
        <v>0.6802083333333333</v>
      </c>
      <c r="AF153" t="s">
        <v>796</v>
      </c>
      <c r="AI153" t="s">
        <v>3708</v>
      </c>
      <c r="AQ153">
        <v>1</v>
      </c>
    </row>
    <row r="154" spans="1:43" x14ac:dyDescent="0.3">
      <c r="A154" t="s">
        <v>31</v>
      </c>
      <c r="B154">
        <v>269</v>
      </c>
      <c r="C154">
        <v>183</v>
      </c>
      <c r="D154">
        <v>1615</v>
      </c>
      <c r="G154" t="s">
        <v>3709</v>
      </c>
      <c r="H154">
        <v>3204281000192</v>
      </c>
      <c r="I154" t="s">
        <v>3594</v>
      </c>
      <c r="J154" t="s">
        <v>3595</v>
      </c>
      <c r="K154" t="s">
        <v>3596</v>
      </c>
      <c r="M154" t="s">
        <v>2617</v>
      </c>
      <c r="O154" t="s">
        <v>3597</v>
      </c>
      <c r="P154" t="s">
        <v>2618</v>
      </c>
      <c r="Q154" t="s">
        <v>790</v>
      </c>
      <c r="T154" t="s">
        <v>319</v>
      </c>
      <c r="U154" t="s">
        <v>816</v>
      </c>
      <c r="W154">
        <v>33696</v>
      </c>
      <c r="X154">
        <v>0</v>
      </c>
      <c r="Z154">
        <v>0</v>
      </c>
      <c r="AA154" s="31">
        <v>45708</v>
      </c>
      <c r="AB154" s="61">
        <v>0.46069444444444452</v>
      </c>
      <c r="AC154" t="s">
        <v>818</v>
      </c>
      <c r="AD154" s="31">
        <v>45708</v>
      </c>
      <c r="AE154" s="61">
        <v>0.46159722222222221</v>
      </c>
      <c r="AH154" t="s">
        <v>1453</v>
      </c>
      <c r="AQ154">
        <v>1</v>
      </c>
    </row>
    <row r="155" spans="1:43" x14ac:dyDescent="0.3">
      <c r="A155" t="s">
        <v>31</v>
      </c>
      <c r="B155">
        <v>271</v>
      </c>
      <c r="C155">
        <v>186</v>
      </c>
      <c r="D155">
        <v>1881</v>
      </c>
      <c r="G155" t="s">
        <v>3710</v>
      </c>
      <c r="H155">
        <v>10899939000193</v>
      </c>
      <c r="I155" t="s">
        <v>3625</v>
      </c>
      <c r="J155" t="s">
        <v>704</v>
      </c>
      <c r="K155" t="s">
        <v>3626</v>
      </c>
      <c r="M155" t="s">
        <v>3627</v>
      </c>
      <c r="O155" t="s">
        <v>3628</v>
      </c>
      <c r="P155" t="s">
        <v>3629</v>
      </c>
      <c r="Q155" t="s">
        <v>932</v>
      </c>
      <c r="T155" t="s">
        <v>319</v>
      </c>
      <c r="U155" t="s">
        <v>3417</v>
      </c>
      <c r="W155">
        <v>1600</v>
      </c>
      <c r="X155">
        <v>748029</v>
      </c>
      <c r="Z155">
        <v>105</v>
      </c>
      <c r="AA155" s="31">
        <v>45709</v>
      </c>
      <c r="AB155" s="61">
        <v>0.47337962962962971</v>
      </c>
      <c r="AC155" t="s">
        <v>795</v>
      </c>
      <c r="AD155" s="31">
        <v>45814</v>
      </c>
      <c r="AE155" s="61">
        <v>0.62725694444444446</v>
      </c>
      <c r="AF155" t="s">
        <v>934</v>
      </c>
      <c r="AH155" t="s">
        <v>1454</v>
      </c>
      <c r="AI155" t="s">
        <v>1454</v>
      </c>
      <c r="AQ155">
        <v>1</v>
      </c>
    </row>
    <row r="156" spans="1:43" x14ac:dyDescent="0.3">
      <c r="A156" t="s">
        <v>31</v>
      </c>
      <c r="B156">
        <v>274</v>
      </c>
      <c r="C156">
        <v>187</v>
      </c>
      <c r="D156">
        <v>1884</v>
      </c>
      <c r="G156" t="s">
        <v>3711</v>
      </c>
      <c r="H156">
        <v>17063632000105</v>
      </c>
      <c r="I156" t="s">
        <v>3631</v>
      </c>
      <c r="J156" t="s">
        <v>3712</v>
      </c>
      <c r="K156" t="s">
        <v>3713</v>
      </c>
      <c r="M156" t="s">
        <v>3634</v>
      </c>
      <c r="O156" t="s">
        <v>3635</v>
      </c>
      <c r="P156" t="s">
        <v>3636</v>
      </c>
      <c r="Q156" t="s">
        <v>1699</v>
      </c>
      <c r="T156" t="s">
        <v>319</v>
      </c>
      <c r="U156" t="s">
        <v>781</v>
      </c>
      <c r="Z156">
        <v>0</v>
      </c>
      <c r="AA156" s="31">
        <v>45713</v>
      </c>
      <c r="AB156" s="61">
        <v>0.46167824074074082</v>
      </c>
      <c r="AC156" t="s">
        <v>795</v>
      </c>
      <c r="AD156" s="31">
        <v>45713</v>
      </c>
      <c r="AE156" s="61">
        <v>0.49975694444444452</v>
      </c>
      <c r="AF156" t="s">
        <v>934</v>
      </c>
      <c r="AQ156">
        <v>1</v>
      </c>
    </row>
    <row r="157" spans="1:43" x14ac:dyDescent="0.3">
      <c r="A157" t="s">
        <v>31</v>
      </c>
      <c r="B157">
        <v>275</v>
      </c>
      <c r="C157">
        <v>196</v>
      </c>
      <c r="D157">
        <v>1885</v>
      </c>
      <c r="G157" t="s">
        <v>3714</v>
      </c>
      <c r="H157">
        <v>32494222000102</v>
      </c>
      <c r="I157" t="s">
        <v>3715</v>
      </c>
      <c r="J157" t="s">
        <v>3716</v>
      </c>
      <c r="K157" t="s">
        <v>3717</v>
      </c>
      <c r="M157" t="s">
        <v>3718</v>
      </c>
      <c r="O157" t="s">
        <v>3719</v>
      </c>
      <c r="P157" t="s">
        <v>3720</v>
      </c>
      <c r="Q157" t="s">
        <v>790</v>
      </c>
      <c r="T157" t="s">
        <v>319</v>
      </c>
      <c r="U157" t="s">
        <v>816</v>
      </c>
      <c r="W157">
        <v>2100</v>
      </c>
      <c r="X157">
        <v>0</v>
      </c>
      <c r="Z157">
        <v>57</v>
      </c>
      <c r="AA157" s="31">
        <v>45713</v>
      </c>
      <c r="AB157" s="61">
        <v>0.63856481481481486</v>
      </c>
      <c r="AC157" t="s">
        <v>818</v>
      </c>
      <c r="AD157" s="31">
        <v>45770</v>
      </c>
      <c r="AE157" s="61">
        <v>0.38543981481481482</v>
      </c>
      <c r="AH157" t="s">
        <v>1583</v>
      </c>
      <c r="AI157" t="s">
        <v>1619</v>
      </c>
      <c r="AQ157">
        <v>1</v>
      </c>
    </row>
    <row r="158" spans="1:43" x14ac:dyDescent="0.3">
      <c r="A158" t="s">
        <v>31</v>
      </c>
      <c r="B158">
        <v>276</v>
      </c>
      <c r="C158">
        <v>118</v>
      </c>
      <c r="D158">
        <v>1886</v>
      </c>
      <c r="G158" t="s">
        <v>3721</v>
      </c>
      <c r="I158" t="s">
        <v>686</v>
      </c>
      <c r="J158" t="s">
        <v>3722</v>
      </c>
      <c r="K158" t="s">
        <v>3609</v>
      </c>
      <c r="M158" t="s">
        <v>3343</v>
      </c>
      <c r="O158" t="s">
        <v>778</v>
      </c>
      <c r="T158" t="s">
        <v>319</v>
      </c>
      <c r="U158" t="s">
        <v>3417</v>
      </c>
      <c r="W158">
        <v>3360</v>
      </c>
      <c r="X158">
        <v>3564</v>
      </c>
      <c r="Z158">
        <v>57</v>
      </c>
      <c r="AA158" s="31">
        <v>45713</v>
      </c>
      <c r="AB158" s="61">
        <v>0.65831018518518514</v>
      </c>
      <c r="AC158" t="s">
        <v>795</v>
      </c>
      <c r="AD158" s="31">
        <v>45770</v>
      </c>
      <c r="AE158" s="61">
        <v>0.41612268518518519</v>
      </c>
      <c r="AF158" t="s">
        <v>796</v>
      </c>
      <c r="AH158" t="s">
        <v>3723</v>
      </c>
      <c r="AI158" t="s">
        <v>3724</v>
      </c>
      <c r="AQ158">
        <v>1</v>
      </c>
    </row>
    <row r="159" spans="1:43" x14ac:dyDescent="0.3">
      <c r="A159" t="s">
        <v>31</v>
      </c>
      <c r="B159">
        <v>278</v>
      </c>
      <c r="C159">
        <v>197</v>
      </c>
      <c r="D159">
        <v>1888</v>
      </c>
      <c r="G159" t="s">
        <v>3725</v>
      </c>
      <c r="H159">
        <v>8616236000169</v>
      </c>
      <c r="I159" t="s">
        <v>3726</v>
      </c>
      <c r="J159" t="s">
        <v>704</v>
      </c>
      <c r="K159" t="s">
        <v>3727</v>
      </c>
      <c r="M159" t="s">
        <v>3728</v>
      </c>
      <c r="O159" t="s">
        <v>3729</v>
      </c>
      <c r="P159" t="s">
        <v>3687</v>
      </c>
      <c r="Q159" t="s">
        <v>790</v>
      </c>
      <c r="T159" t="s">
        <v>319</v>
      </c>
      <c r="U159" t="s">
        <v>3417</v>
      </c>
      <c r="W159">
        <v>1600</v>
      </c>
      <c r="X159">
        <v>867233</v>
      </c>
      <c r="Z159">
        <v>97</v>
      </c>
      <c r="AA159" s="31">
        <v>45714</v>
      </c>
      <c r="AB159" s="61">
        <v>0.51196759259259261</v>
      </c>
      <c r="AC159" t="s">
        <v>795</v>
      </c>
      <c r="AD159" s="31">
        <v>45811</v>
      </c>
      <c r="AE159" s="61">
        <v>0.64706018518518515</v>
      </c>
      <c r="AF159" t="s">
        <v>796</v>
      </c>
      <c r="AH159" t="s">
        <v>1455</v>
      </c>
      <c r="AI159" t="s">
        <v>1455</v>
      </c>
      <c r="AQ159">
        <v>1</v>
      </c>
    </row>
    <row r="160" spans="1:43" x14ac:dyDescent="0.3">
      <c r="A160" t="s">
        <v>31</v>
      </c>
      <c r="B160">
        <v>280</v>
      </c>
      <c r="C160">
        <v>183</v>
      </c>
      <c r="D160">
        <v>1891</v>
      </c>
      <c r="G160" t="s">
        <v>3730</v>
      </c>
      <c r="H160">
        <v>3204281000192</v>
      </c>
      <c r="I160" t="s">
        <v>3594</v>
      </c>
      <c r="J160" t="s">
        <v>3731</v>
      </c>
      <c r="K160" t="s">
        <v>3596</v>
      </c>
      <c r="M160" t="s">
        <v>2617</v>
      </c>
      <c r="O160" t="s">
        <v>3597</v>
      </c>
      <c r="P160" t="s">
        <v>2618</v>
      </c>
      <c r="Q160" t="s">
        <v>790</v>
      </c>
      <c r="T160" t="s">
        <v>319</v>
      </c>
      <c r="U160" t="s">
        <v>816</v>
      </c>
      <c r="W160">
        <v>23166</v>
      </c>
      <c r="X160">
        <v>0</v>
      </c>
      <c r="Z160">
        <v>6</v>
      </c>
      <c r="AA160" s="31">
        <v>45715</v>
      </c>
      <c r="AB160" s="61">
        <v>0.70269675925925923</v>
      </c>
      <c r="AC160" t="s">
        <v>818</v>
      </c>
      <c r="AD160" s="31">
        <v>45721</v>
      </c>
      <c r="AE160" s="61">
        <v>0.4221064814814815</v>
      </c>
      <c r="AH160" t="s">
        <v>3732</v>
      </c>
      <c r="AQ160">
        <v>1</v>
      </c>
    </row>
    <row r="161" spans="1:43" x14ac:dyDescent="0.3">
      <c r="A161" t="s">
        <v>31</v>
      </c>
      <c r="B161">
        <v>285</v>
      </c>
      <c r="C161">
        <v>191</v>
      </c>
      <c r="D161">
        <v>1899</v>
      </c>
      <c r="G161" t="s">
        <v>3733</v>
      </c>
      <c r="H161">
        <v>18628799000120</v>
      </c>
      <c r="I161" t="s">
        <v>3734</v>
      </c>
      <c r="J161" t="s">
        <v>3735</v>
      </c>
      <c r="K161" t="s">
        <v>2216</v>
      </c>
      <c r="M161" t="s">
        <v>2217</v>
      </c>
      <c r="O161" t="s">
        <v>3736</v>
      </c>
      <c r="P161" t="s">
        <v>1094</v>
      </c>
      <c r="Q161" t="s">
        <v>790</v>
      </c>
      <c r="T161" t="s">
        <v>319</v>
      </c>
      <c r="U161" t="s">
        <v>3417</v>
      </c>
      <c r="W161">
        <v>21384</v>
      </c>
      <c r="X161">
        <v>28512</v>
      </c>
      <c r="Z161">
        <v>60</v>
      </c>
      <c r="AA161" s="31">
        <v>45723</v>
      </c>
      <c r="AB161" s="61">
        <v>0.41721064814814812</v>
      </c>
      <c r="AC161" t="s">
        <v>795</v>
      </c>
      <c r="AD161" s="31">
        <v>45783</v>
      </c>
      <c r="AE161" s="61">
        <v>0.50687499999999996</v>
      </c>
      <c r="AF161" t="s">
        <v>934</v>
      </c>
      <c r="AH161" t="s">
        <v>3737</v>
      </c>
      <c r="AI161" t="s">
        <v>3738</v>
      </c>
      <c r="AQ161">
        <v>1</v>
      </c>
    </row>
    <row r="162" spans="1:43" x14ac:dyDescent="0.3">
      <c r="A162" t="s">
        <v>31</v>
      </c>
      <c r="B162">
        <v>288</v>
      </c>
      <c r="C162">
        <v>194</v>
      </c>
      <c r="D162">
        <v>1766</v>
      </c>
      <c r="G162" t="s">
        <v>3739</v>
      </c>
      <c r="H162">
        <v>44580314000186</v>
      </c>
      <c r="I162" t="s">
        <v>3682</v>
      </c>
      <c r="J162" t="s">
        <v>3683</v>
      </c>
      <c r="K162" t="s">
        <v>3684</v>
      </c>
      <c r="M162" t="s">
        <v>3685</v>
      </c>
      <c r="O162" t="s">
        <v>3686</v>
      </c>
      <c r="P162" t="s">
        <v>3687</v>
      </c>
      <c r="Q162" t="s">
        <v>790</v>
      </c>
      <c r="T162" t="s">
        <v>319</v>
      </c>
      <c r="U162" t="s">
        <v>816</v>
      </c>
      <c r="W162">
        <v>9720</v>
      </c>
      <c r="X162">
        <v>0</v>
      </c>
      <c r="Z162">
        <v>0</v>
      </c>
      <c r="AA162" s="31">
        <v>45728</v>
      </c>
      <c r="AB162" s="61">
        <v>0.40008101851851852</v>
      </c>
      <c r="AC162" t="s">
        <v>818</v>
      </c>
      <c r="AD162" s="31">
        <v>45728</v>
      </c>
      <c r="AE162" s="61">
        <v>0.40126157407407409</v>
      </c>
      <c r="AH162" t="s">
        <v>3740</v>
      </c>
      <c r="AQ162">
        <v>1</v>
      </c>
    </row>
    <row r="163" spans="1:43" x14ac:dyDescent="0.3">
      <c r="A163" t="s">
        <v>31</v>
      </c>
      <c r="B163">
        <v>289</v>
      </c>
      <c r="C163">
        <v>169</v>
      </c>
      <c r="D163">
        <v>1903</v>
      </c>
      <c r="G163" t="s">
        <v>3741</v>
      </c>
      <c r="H163">
        <v>11458315000101</v>
      </c>
      <c r="I163" t="s">
        <v>3465</v>
      </c>
      <c r="J163" t="s">
        <v>3742</v>
      </c>
      <c r="K163" t="s">
        <v>3467</v>
      </c>
      <c r="M163" t="s">
        <v>3468</v>
      </c>
      <c r="O163" t="s">
        <v>3469</v>
      </c>
      <c r="P163" t="s">
        <v>3470</v>
      </c>
      <c r="Q163" t="s">
        <v>790</v>
      </c>
      <c r="T163" t="s">
        <v>319</v>
      </c>
      <c r="U163" t="s">
        <v>3417</v>
      </c>
      <c r="W163">
        <v>4015</v>
      </c>
      <c r="X163">
        <v>0</v>
      </c>
      <c r="Z163">
        <v>5</v>
      </c>
      <c r="AA163" s="31">
        <v>45728</v>
      </c>
      <c r="AB163" s="61">
        <v>0.64027777777777772</v>
      </c>
      <c r="AC163" t="s">
        <v>795</v>
      </c>
      <c r="AD163" s="31">
        <v>45733</v>
      </c>
      <c r="AE163" s="61">
        <v>0.48651620370370369</v>
      </c>
      <c r="AF163" t="s">
        <v>3463</v>
      </c>
      <c r="AH163" t="s">
        <v>3740</v>
      </c>
      <c r="AQ163">
        <v>1</v>
      </c>
    </row>
    <row r="164" spans="1:43" x14ac:dyDescent="0.3">
      <c r="A164" t="s">
        <v>31</v>
      </c>
      <c r="B164">
        <v>290</v>
      </c>
      <c r="C164">
        <v>187</v>
      </c>
      <c r="D164">
        <v>1884</v>
      </c>
      <c r="G164" t="s">
        <v>3743</v>
      </c>
      <c r="H164">
        <v>17063632000105</v>
      </c>
      <c r="I164" t="s">
        <v>3631</v>
      </c>
      <c r="J164" t="s">
        <v>3712</v>
      </c>
      <c r="K164" t="s">
        <v>3713</v>
      </c>
      <c r="M164" t="s">
        <v>3634</v>
      </c>
      <c r="O164" t="s">
        <v>3635</v>
      </c>
      <c r="P164" t="s">
        <v>3636</v>
      </c>
      <c r="Q164" t="s">
        <v>1699</v>
      </c>
      <c r="T164" t="s">
        <v>319</v>
      </c>
      <c r="U164" t="s">
        <v>816</v>
      </c>
      <c r="W164">
        <v>16800</v>
      </c>
      <c r="X164">
        <v>0</v>
      </c>
      <c r="Z164">
        <v>75</v>
      </c>
      <c r="AA164" s="31">
        <v>45728</v>
      </c>
      <c r="AB164" s="61">
        <v>0.72614583333333338</v>
      </c>
      <c r="AC164" t="s">
        <v>795</v>
      </c>
      <c r="AD164" s="31">
        <v>45803</v>
      </c>
      <c r="AE164" s="61">
        <v>0.80439814814814814</v>
      </c>
      <c r="AF164" t="s">
        <v>796</v>
      </c>
      <c r="AH164" t="s">
        <v>3740</v>
      </c>
      <c r="AI164" t="s">
        <v>1364</v>
      </c>
      <c r="AQ164">
        <v>1</v>
      </c>
    </row>
    <row r="165" spans="1:43" x14ac:dyDescent="0.3">
      <c r="A165" t="s">
        <v>31</v>
      </c>
      <c r="B165">
        <v>292</v>
      </c>
      <c r="C165">
        <v>198</v>
      </c>
      <c r="D165">
        <v>1905</v>
      </c>
      <c r="G165" t="s">
        <v>3744</v>
      </c>
      <c r="H165">
        <v>6014742000152</v>
      </c>
      <c r="I165" t="s">
        <v>3745</v>
      </c>
      <c r="J165" t="s">
        <v>3700</v>
      </c>
      <c r="K165" t="s">
        <v>3746</v>
      </c>
      <c r="M165" t="s">
        <v>3747</v>
      </c>
      <c r="O165" t="s">
        <v>3748</v>
      </c>
      <c r="P165" t="s">
        <v>1837</v>
      </c>
      <c r="Q165" t="s">
        <v>790</v>
      </c>
      <c r="T165" t="s">
        <v>319</v>
      </c>
      <c r="U165" t="s">
        <v>3417</v>
      </c>
      <c r="W165">
        <v>28512</v>
      </c>
      <c r="X165">
        <v>32076</v>
      </c>
      <c r="Z165">
        <v>6</v>
      </c>
      <c r="AA165" s="31">
        <v>45730</v>
      </c>
      <c r="AB165" s="61">
        <v>0.62114583333333329</v>
      </c>
      <c r="AC165" t="s">
        <v>795</v>
      </c>
      <c r="AD165" s="31">
        <v>45736</v>
      </c>
      <c r="AE165" s="61">
        <v>0.43630787037037039</v>
      </c>
      <c r="AF165" t="s">
        <v>796</v>
      </c>
      <c r="AH165" t="s">
        <v>3737</v>
      </c>
      <c r="AQ165">
        <v>1</v>
      </c>
    </row>
    <row r="166" spans="1:43" x14ac:dyDescent="0.3">
      <c r="A166" t="s">
        <v>31</v>
      </c>
      <c r="B166">
        <v>296</v>
      </c>
      <c r="C166">
        <v>199</v>
      </c>
      <c r="D166">
        <v>1910</v>
      </c>
      <c r="G166" t="s">
        <v>3749</v>
      </c>
      <c r="H166">
        <v>50963243000101</v>
      </c>
      <c r="I166" t="s">
        <v>3750</v>
      </c>
      <c r="J166" t="s">
        <v>3751</v>
      </c>
      <c r="K166" t="s">
        <v>3752</v>
      </c>
      <c r="M166" t="s">
        <v>3753</v>
      </c>
      <c r="O166" t="s">
        <v>3754</v>
      </c>
      <c r="P166" t="s">
        <v>1094</v>
      </c>
      <c r="Q166" t="s">
        <v>790</v>
      </c>
      <c r="T166" t="s">
        <v>319</v>
      </c>
      <c r="U166" t="s">
        <v>816</v>
      </c>
      <c r="W166">
        <v>756</v>
      </c>
      <c r="X166">
        <v>0</v>
      </c>
      <c r="Z166">
        <v>0</v>
      </c>
      <c r="AA166" s="31">
        <v>45733</v>
      </c>
      <c r="AB166" s="61">
        <v>0.66232638888888884</v>
      </c>
      <c r="AC166" t="s">
        <v>818</v>
      </c>
      <c r="AD166" s="31">
        <v>45733</v>
      </c>
      <c r="AE166" s="61">
        <v>0.71744212962962961</v>
      </c>
      <c r="AH166" t="s">
        <v>1503</v>
      </c>
      <c r="AI166" t="s">
        <v>1503</v>
      </c>
      <c r="AQ166">
        <v>1</v>
      </c>
    </row>
    <row r="167" spans="1:43" x14ac:dyDescent="0.3">
      <c r="A167" t="s">
        <v>31</v>
      </c>
      <c r="B167">
        <v>297</v>
      </c>
      <c r="C167">
        <v>110</v>
      </c>
      <c r="D167">
        <v>1912</v>
      </c>
      <c r="G167" t="s">
        <v>3755</v>
      </c>
      <c r="I167" t="s">
        <v>629</v>
      </c>
      <c r="J167" t="s">
        <v>1239</v>
      </c>
      <c r="K167" t="s">
        <v>3756</v>
      </c>
      <c r="M167" t="s">
        <v>3325</v>
      </c>
      <c r="O167" t="s">
        <v>778</v>
      </c>
      <c r="T167" t="s">
        <v>319</v>
      </c>
      <c r="U167" t="s">
        <v>816</v>
      </c>
      <c r="W167">
        <v>294415</v>
      </c>
      <c r="X167">
        <v>0</v>
      </c>
      <c r="Z167">
        <v>2</v>
      </c>
      <c r="AA167" s="31">
        <v>45734</v>
      </c>
      <c r="AB167" s="61">
        <v>0.40950231481481481</v>
      </c>
      <c r="AC167" t="s">
        <v>818</v>
      </c>
      <c r="AD167" s="31">
        <v>45736</v>
      </c>
      <c r="AE167" s="61">
        <v>0.65533564814814815</v>
      </c>
      <c r="AH167" t="s">
        <v>3757</v>
      </c>
      <c r="AQ167">
        <v>1</v>
      </c>
    </row>
    <row r="168" spans="1:43" x14ac:dyDescent="0.3">
      <c r="A168" t="s">
        <v>31</v>
      </c>
      <c r="B168">
        <v>299</v>
      </c>
      <c r="C168">
        <v>187</v>
      </c>
      <c r="D168">
        <v>1914</v>
      </c>
      <c r="G168" t="s">
        <v>3758</v>
      </c>
      <c r="H168">
        <v>17063632000105</v>
      </c>
      <c r="I168" t="s">
        <v>3631</v>
      </c>
      <c r="J168" t="s">
        <v>3759</v>
      </c>
      <c r="K168" t="s">
        <v>3633</v>
      </c>
      <c r="M168" t="s">
        <v>3634</v>
      </c>
      <c r="O168" t="s">
        <v>3635</v>
      </c>
      <c r="P168" t="s">
        <v>3636</v>
      </c>
      <c r="Q168" t="s">
        <v>1699</v>
      </c>
      <c r="T168" t="s">
        <v>319</v>
      </c>
      <c r="U168" t="s">
        <v>3417</v>
      </c>
      <c r="W168">
        <v>630</v>
      </c>
      <c r="X168">
        <v>7128</v>
      </c>
      <c r="Z168">
        <v>16</v>
      </c>
      <c r="AA168" s="31">
        <v>45735</v>
      </c>
      <c r="AB168" s="61">
        <v>0.45504629629629628</v>
      </c>
      <c r="AC168" t="s">
        <v>795</v>
      </c>
      <c r="AD168" s="31">
        <v>45751</v>
      </c>
      <c r="AE168" s="61">
        <v>0.44026620370370367</v>
      </c>
      <c r="AF168" t="s">
        <v>3463</v>
      </c>
      <c r="AH168" t="s">
        <v>3760</v>
      </c>
      <c r="AI168" t="s">
        <v>1503</v>
      </c>
      <c r="AQ168">
        <v>1</v>
      </c>
    </row>
    <row r="169" spans="1:43" x14ac:dyDescent="0.3">
      <c r="A169" t="s">
        <v>31</v>
      </c>
      <c r="B169">
        <v>300</v>
      </c>
      <c r="C169">
        <v>171</v>
      </c>
      <c r="D169">
        <v>1915</v>
      </c>
      <c r="G169" t="s">
        <v>3761</v>
      </c>
      <c r="H169">
        <v>39955762000187</v>
      </c>
      <c r="I169" t="s">
        <v>3484</v>
      </c>
      <c r="J169" t="s">
        <v>3664</v>
      </c>
      <c r="K169" t="s">
        <v>3665</v>
      </c>
      <c r="M169" t="s">
        <v>3487</v>
      </c>
      <c r="O169" t="s">
        <v>3488</v>
      </c>
      <c r="P169" t="s">
        <v>1094</v>
      </c>
      <c r="Q169" t="s">
        <v>790</v>
      </c>
      <c r="T169" t="s">
        <v>319</v>
      </c>
      <c r="U169" t="s">
        <v>816</v>
      </c>
      <c r="W169">
        <v>491408</v>
      </c>
      <c r="X169">
        <v>0</v>
      </c>
      <c r="Z169">
        <v>1</v>
      </c>
      <c r="AA169" s="31">
        <v>45735</v>
      </c>
      <c r="AB169" s="61">
        <v>0.62850694444444444</v>
      </c>
      <c r="AC169" t="s">
        <v>818</v>
      </c>
      <c r="AD169" s="31">
        <v>45736</v>
      </c>
      <c r="AE169" s="61">
        <v>0.6549652777777778</v>
      </c>
      <c r="AH169" t="s">
        <v>3760</v>
      </c>
      <c r="AQ169">
        <v>1</v>
      </c>
    </row>
    <row r="170" spans="1:43" x14ac:dyDescent="0.3">
      <c r="A170" t="s">
        <v>31</v>
      </c>
      <c r="B170">
        <v>302</v>
      </c>
      <c r="C170">
        <v>200</v>
      </c>
      <c r="D170">
        <v>1918</v>
      </c>
      <c r="G170" t="s">
        <v>3762</v>
      </c>
      <c r="H170">
        <v>8933028000193</v>
      </c>
      <c r="I170" t="s">
        <v>3763</v>
      </c>
      <c r="J170" t="s">
        <v>3764</v>
      </c>
      <c r="K170" t="s">
        <v>3765</v>
      </c>
      <c r="O170" t="s">
        <v>3766</v>
      </c>
      <c r="P170" t="s">
        <v>3767</v>
      </c>
      <c r="Q170" t="s">
        <v>1699</v>
      </c>
      <c r="T170" t="s">
        <v>319</v>
      </c>
      <c r="U170" t="s">
        <v>3417</v>
      </c>
      <c r="W170">
        <v>4212</v>
      </c>
      <c r="X170">
        <v>3564</v>
      </c>
      <c r="Z170">
        <v>5</v>
      </c>
      <c r="AA170" s="31">
        <v>45737</v>
      </c>
      <c r="AB170" s="61">
        <v>0.70013888888888887</v>
      </c>
      <c r="AC170" t="s">
        <v>795</v>
      </c>
      <c r="AD170" s="31">
        <v>45742</v>
      </c>
      <c r="AE170" s="61">
        <v>0.69468750000000001</v>
      </c>
      <c r="AF170" t="s">
        <v>796</v>
      </c>
      <c r="AH170" t="s">
        <v>3768</v>
      </c>
      <c r="AQ170">
        <v>1</v>
      </c>
    </row>
    <row r="171" spans="1:43" x14ac:dyDescent="0.3">
      <c r="A171" t="s">
        <v>31</v>
      </c>
      <c r="B171">
        <v>306</v>
      </c>
      <c r="C171">
        <v>201</v>
      </c>
      <c r="D171">
        <v>1925</v>
      </c>
      <c r="G171" t="s">
        <v>3769</v>
      </c>
      <c r="H171">
        <v>5291214000188</v>
      </c>
      <c r="I171" t="s">
        <v>3770</v>
      </c>
      <c r="J171" t="s">
        <v>1540</v>
      </c>
      <c r="K171" t="s">
        <v>3771</v>
      </c>
      <c r="M171" t="s">
        <v>3772</v>
      </c>
      <c r="O171" t="s">
        <v>3773</v>
      </c>
      <c r="P171" t="s">
        <v>3774</v>
      </c>
      <c r="Q171" t="s">
        <v>1105</v>
      </c>
      <c r="T171" t="s">
        <v>319</v>
      </c>
      <c r="U171" t="s">
        <v>816</v>
      </c>
      <c r="W171">
        <v>415052</v>
      </c>
      <c r="X171">
        <v>30294</v>
      </c>
      <c r="Z171">
        <v>121</v>
      </c>
      <c r="AA171" s="31">
        <v>45742</v>
      </c>
      <c r="AB171" s="61">
        <v>0.65071759259259254</v>
      </c>
      <c r="AC171" t="s">
        <v>818</v>
      </c>
      <c r="AD171" s="31">
        <v>45751</v>
      </c>
      <c r="AE171" s="61">
        <v>0.44199074074074068</v>
      </c>
      <c r="AG171">
        <v>0</v>
      </c>
      <c r="AH171" t="s">
        <v>1885</v>
      </c>
      <c r="AI171" t="s">
        <v>1885</v>
      </c>
      <c r="AQ171">
        <v>1</v>
      </c>
    </row>
    <row r="172" spans="1:43" x14ac:dyDescent="0.3">
      <c r="A172" t="s">
        <v>31</v>
      </c>
      <c r="B172">
        <v>307</v>
      </c>
      <c r="C172">
        <v>113</v>
      </c>
      <c r="D172">
        <v>1926</v>
      </c>
      <c r="G172" t="s">
        <v>3775</v>
      </c>
      <c r="I172" t="s">
        <v>65</v>
      </c>
      <c r="J172" t="s">
        <v>1252</v>
      </c>
      <c r="K172" t="s">
        <v>3472</v>
      </c>
      <c r="M172" t="s">
        <v>3329</v>
      </c>
      <c r="O172" t="s">
        <v>778</v>
      </c>
      <c r="T172" t="s">
        <v>319</v>
      </c>
      <c r="U172" t="s">
        <v>3417</v>
      </c>
      <c r="W172">
        <v>1600</v>
      </c>
      <c r="X172">
        <v>1122183</v>
      </c>
      <c r="Z172">
        <v>69</v>
      </c>
      <c r="AA172" s="31">
        <v>45742</v>
      </c>
      <c r="AB172" s="61">
        <v>0.65554398148148152</v>
      </c>
      <c r="AC172" t="s">
        <v>795</v>
      </c>
      <c r="AD172" s="31">
        <v>45811</v>
      </c>
      <c r="AE172" s="61">
        <v>0.65164351851851854</v>
      </c>
      <c r="AF172" t="s">
        <v>796</v>
      </c>
      <c r="AH172" t="s">
        <v>3776</v>
      </c>
      <c r="AQ172">
        <v>1</v>
      </c>
    </row>
    <row r="173" spans="1:43" x14ac:dyDescent="0.3">
      <c r="A173" t="s">
        <v>31</v>
      </c>
      <c r="B173">
        <v>308</v>
      </c>
      <c r="C173">
        <v>202</v>
      </c>
      <c r="D173">
        <v>1927</v>
      </c>
      <c r="G173" t="s">
        <v>3777</v>
      </c>
      <c r="H173">
        <v>16939440000149</v>
      </c>
      <c r="I173" t="s">
        <v>3778</v>
      </c>
      <c r="J173" t="s">
        <v>707</v>
      </c>
      <c r="K173" t="s">
        <v>3779</v>
      </c>
      <c r="M173" t="s">
        <v>3780</v>
      </c>
      <c r="O173" t="s">
        <v>3781</v>
      </c>
      <c r="P173" t="s">
        <v>3782</v>
      </c>
      <c r="Q173" t="s">
        <v>790</v>
      </c>
      <c r="T173" t="s">
        <v>319</v>
      </c>
      <c r="U173" t="s">
        <v>816</v>
      </c>
      <c r="W173">
        <v>299691</v>
      </c>
      <c r="X173">
        <v>0</v>
      </c>
      <c r="Z173">
        <v>2</v>
      </c>
      <c r="AA173" s="31">
        <v>45742</v>
      </c>
      <c r="AB173" s="61">
        <v>0.69520833333333332</v>
      </c>
      <c r="AC173" t="s">
        <v>818</v>
      </c>
      <c r="AD173" s="31">
        <v>45744</v>
      </c>
      <c r="AE173" s="61">
        <v>0.61129629629629634</v>
      </c>
      <c r="AH173" t="s">
        <v>3776</v>
      </c>
      <c r="AQ173">
        <v>1</v>
      </c>
    </row>
    <row r="174" spans="1:43" x14ac:dyDescent="0.3">
      <c r="A174" t="s">
        <v>31</v>
      </c>
      <c r="B174">
        <v>309</v>
      </c>
      <c r="C174">
        <v>115</v>
      </c>
      <c r="D174">
        <v>1928</v>
      </c>
      <c r="G174" t="s">
        <v>3783</v>
      </c>
      <c r="I174" t="s">
        <v>3333</v>
      </c>
      <c r="J174" t="s">
        <v>1474</v>
      </c>
      <c r="K174" t="s">
        <v>3526</v>
      </c>
      <c r="M174" t="s">
        <v>3334</v>
      </c>
      <c r="O174" t="s">
        <v>778</v>
      </c>
      <c r="T174" t="s">
        <v>319</v>
      </c>
      <c r="U174" t="s">
        <v>3417</v>
      </c>
      <c r="Z174">
        <v>40</v>
      </c>
      <c r="AA174" s="31">
        <v>45742</v>
      </c>
      <c r="AB174" s="61">
        <v>0.7003935185185185</v>
      </c>
      <c r="AC174" t="s">
        <v>795</v>
      </c>
      <c r="AD174" s="31">
        <v>45782</v>
      </c>
      <c r="AE174" s="61">
        <v>0.66651620370370368</v>
      </c>
      <c r="AF174" t="s">
        <v>934</v>
      </c>
      <c r="AH174" t="s">
        <v>3724</v>
      </c>
      <c r="AQ174">
        <v>1</v>
      </c>
    </row>
    <row r="175" spans="1:43" x14ac:dyDescent="0.3">
      <c r="A175" t="s">
        <v>31</v>
      </c>
      <c r="B175">
        <v>312</v>
      </c>
      <c r="C175">
        <v>197</v>
      </c>
      <c r="D175">
        <v>1943</v>
      </c>
      <c r="G175" t="s">
        <v>3784</v>
      </c>
      <c r="H175">
        <v>8616236000169</v>
      </c>
      <c r="I175" t="s">
        <v>3726</v>
      </c>
      <c r="J175" t="s">
        <v>704</v>
      </c>
      <c r="K175" t="s">
        <v>3785</v>
      </c>
      <c r="M175" t="s">
        <v>3728</v>
      </c>
      <c r="O175" t="s">
        <v>3729</v>
      </c>
      <c r="P175" t="s">
        <v>3687</v>
      </c>
      <c r="Q175" t="s">
        <v>790</v>
      </c>
      <c r="T175" t="s">
        <v>319</v>
      </c>
      <c r="U175" t="s">
        <v>3417</v>
      </c>
      <c r="Z175">
        <v>5</v>
      </c>
      <c r="AA175" s="31">
        <v>45743</v>
      </c>
      <c r="AB175" s="61">
        <v>0.65775462962962961</v>
      </c>
      <c r="AC175" t="s">
        <v>795</v>
      </c>
      <c r="AD175" s="31">
        <v>45748</v>
      </c>
      <c r="AE175" s="61">
        <v>0.4075347222222222</v>
      </c>
      <c r="AF175" t="s">
        <v>934</v>
      </c>
      <c r="AH175" t="s">
        <v>3724</v>
      </c>
      <c r="AQ175">
        <v>1</v>
      </c>
    </row>
    <row r="176" spans="1:43" x14ac:dyDescent="0.3">
      <c r="A176" t="s">
        <v>31</v>
      </c>
      <c r="B176">
        <v>320</v>
      </c>
      <c r="C176">
        <v>183</v>
      </c>
      <c r="D176">
        <v>1959</v>
      </c>
      <c r="G176" t="s">
        <v>3786</v>
      </c>
      <c r="H176">
        <v>3204281000192</v>
      </c>
      <c r="I176" t="s">
        <v>3594</v>
      </c>
      <c r="J176" t="s">
        <v>3787</v>
      </c>
      <c r="K176" t="s">
        <v>3596</v>
      </c>
      <c r="M176" t="s">
        <v>2617</v>
      </c>
      <c r="O176" t="s">
        <v>3597</v>
      </c>
      <c r="P176" t="s">
        <v>2618</v>
      </c>
      <c r="Q176" t="s">
        <v>790</v>
      </c>
      <c r="T176" t="s">
        <v>319</v>
      </c>
      <c r="U176" t="s">
        <v>816</v>
      </c>
      <c r="W176">
        <v>2730</v>
      </c>
      <c r="X176">
        <v>0</v>
      </c>
      <c r="Z176">
        <v>0</v>
      </c>
      <c r="AA176" s="31">
        <v>45747</v>
      </c>
      <c r="AB176" s="61">
        <v>0.49092592592592588</v>
      </c>
      <c r="AC176" t="s">
        <v>818</v>
      </c>
      <c r="AD176" s="31">
        <v>45747</v>
      </c>
      <c r="AE176" s="61">
        <v>0.50187499999999996</v>
      </c>
      <c r="AH176" t="s">
        <v>3788</v>
      </c>
      <c r="AI176" t="s">
        <v>3789</v>
      </c>
      <c r="AQ176">
        <v>1</v>
      </c>
    </row>
    <row r="177" spans="1:43" x14ac:dyDescent="0.3">
      <c r="A177" t="s">
        <v>31</v>
      </c>
      <c r="B177">
        <v>324</v>
      </c>
      <c r="C177">
        <v>203</v>
      </c>
      <c r="D177">
        <v>1965</v>
      </c>
      <c r="G177" t="s">
        <v>3790</v>
      </c>
      <c r="H177">
        <v>11806036000183</v>
      </c>
      <c r="I177" t="s">
        <v>3791</v>
      </c>
      <c r="J177" t="s">
        <v>2600</v>
      </c>
      <c r="K177" t="s">
        <v>3792</v>
      </c>
      <c r="M177" t="s">
        <v>3793</v>
      </c>
      <c r="O177" t="s">
        <v>3794</v>
      </c>
      <c r="P177" t="s">
        <v>3636</v>
      </c>
      <c r="Q177" t="s">
        <v>1699</v>
      </c>
      <c r="T177" t="s">
        <v>319</v>
      </c>
      <c r="U177" t="s">
        <v>3417</v>
      </c>
      <c r="W177">
        <v>26200</v>
      </c>
      <c r="X177">
        <v>3400</v>
      </c>
      <c r="Z177">
        <v>6</v>
      </c>
      <c r="AA177" s="31">
        <v>45748</v>
      </c>
      <c r="AB177" s="61">
        <v>0.40835648148148151</v>
      </c>
      <c r="AC177" t="s">
        <v>795</v>
      </c>
      <c r="AD177" s="31">
        <v>45754</v>
      </c>
      <c r="AE177" s="61">
        <v>0.4082175925925926</v>
      </c>
      <c r="AF177" t="s">
        <v>1358</v>
      </c>
      <c r="AH177" t="s">
        <v>3795</v>
      </c>
      <c r="AI177" t="s">
        <v>3795</v>
      </c>
      <c r="AQ177">
        <v>1</v>
      </c>
    </row>
    <row r="178" spans="1:43" x14ac:dyDescent="0.3">
      <c r="A178" t="s">
        <v>31</v>
      </c>
      <c r="B178">
        <v>325</v>
      </c>
      <c r="C178">
        <v>186</v>
      </c>
      <c r="D178">
        <v>1967</v>
      </c>
      <c r="G178" t="s">
        <v>3796</v>
      </c>
      <c r="H178">
        <v>10899939000193</v>
      </c>
      <c r="I178" t="s">
        <v>3625</v>
      </c>
      <c r="J178" t="s">
        <v>704</v>
      </c>
      <c r="K178" t="s">
        <v>3626</v>
      </c>
      <c r="M178" t="s">
        <v>3627</v>
      </c>
      <c r="O178" t="s">
        <v>3628</v>
      </c>
      <c r="P178" t="s">
        <v>3629</v>
      </c>
      <c r="Q178" t="s">
        <v>932</v>
      </c>
      <c r="T178" t="s">
        <v>319</v>
      </c>
      <c r="U178" t="s">
        <v>816</v>
      </c>
      <c r="W178">
        <v>1701</v>
      </c>
      <c r="X178">
        <v>0</v>
      </c>
      <c r="Z178">
        <v>66</v>
      </c>
      <c r="AA178" s="31">
        <v>45748</v>
      </c>
      <c r="AB178" s="61">
        <v>0.41013888888888889</v>
      </c>
      <c r="AC178" t="s">
        <v>818</v>
      </c>
      <c r="AD178" s="31">
        <v>45814</v>
      </c>
      <c r="AE178" s="61">
        <v>0.39609953703703699</v>
      </c>
      <c r="AH178" t="s">
        <v>3795</v>
      </c>
      <c r="AQ178">
        <v>1</v>
      </c>
    </row>
    <row r="179" spans="1:43" x14ac:dyDescent="0.3">
      <c r="A179" t="s">
        <v>31</v>
      </c>
      <c r="B179">
        <v>326</v>
      </c>
      <c r="C179">
        <v>76</v>
      </c>
      <c r="D179">
        <v>1968</v>
      </c>
      <c r="G179" t="s">
        <v>3797</v>
      </c>
      <c r="I179" t="s">
        <v>225</v>
      </c>
      <c r="J179" t="s">
        <v>1115</v>
      </c>
      <c r="K179" t="s">
        <v>3623</v>
      </c>
      <c r="M179" t="s">
        <v>3233</v>
      </c>
      <c r="O179" t="s">
        <v>778</v>
      </c>
      <c r="P179" t="s">
        <v>3234</v>
      </c>
      <c r="Q179" t="s">
        <v>1699</v>
      </c>
      <c r="T179" t="s">
        <v>319</v>
      </c>
      <c r="U179" t="s">
        <v>3606</v>
      </c>
      <c r="Z179">
        <v>50</v>
      </c>
      <c r="AA179" s="31">
        <v>45748</v>
      </c>
      <c r="AB179" s="61">
        <v>0.41334490740740742</v>
      </c>
      <c r="AC179" t="s">
        <v>795</v>
      </c>
      <c r="AD179" s="31">
        <v>45798</v>
      </c>
      <c r="AE179" s="61">
        <v>0.53116898148148151</v>
      </c>
      <c r="AF179" t="s">
        <v>934</v>
      </c>
      <c r="AH179" t="s">
        <v>3798</v>
      </c>
      <c r="AI179" t="s">
        <v>3798</v>
      </c>
      <c r="AQ179">
        <v>1</v>
      </c>
    </row>
    <row r="180" spans="1:43" x14ac:dyDescent="0.3">
      <c r="A180" t="s">
        <v>31</v>
      </c>
      <c r="B180">
        <v>327</v>
      </c>
      <c r="C180">
        <v>187</v>
      </c>
      <c r="D180">
        <v>1969</v>
      </c>
      <c r="G180" t="s">
        <v>3799</v>
      </c>
      <c r="H180">
        <v>17063632000105</v>
      </c>
      <c r="I180" t="s">
        <v>3631</v>
      </c>
      <c r="J180" t="s">
        <v>3800</v>
      </c>
      <c r="K180" t="s">
        <v>3633</v>
      </c>
      <c r="M180" t="s">
        <v>3634</v>
      </c>
      <c r="O180" t="s">
        <v>3635</v>
      </c>
      <c r="P180" t="s">
        <v>3636</v>
      </c>
      <c r="Q180" t="s">
        <v>1699</v>
      </c>
      <c r="T180" t="s">
        <v>319</v>
      </c>
      <c r="U180" t="s">
        <v>3417</v>
      </c>
      <c r="W180">
        <v>3360</v>
      </c>
      <c r="X180">
        <v>0</v>
      </c>
      <c r="Z180">
        <v>52</v>
      </c>
      <c r="AA180" s="31">
        <v>45748</v>
      </c>
      <c r="AB180" s="61">
        <v>0.47216435185185179</v>
      </c>
      <c r="AC180" t="s">
        <v>795</v>
      </c>
      <c r="AD180" s="31">
        <v>45800</v>
      </c>
      <c r="AE180" s="61">
        <v>0.5276967592592593</v>
      </c>
      <c r="AF180" t="s">
        <v>934</v>
      </c>
      <c r="AH180" t="s">
        <v>3795</v>
      </c>
      <c r="AQ180">
        <v>1</v>
      </c>
    </row>
    <row r="181" spans="1:43" x14ac:dyDescent="0.3">
      <c r="A181" t="s">
        <v>31</v>
      </c>
      <c r="B181">
        <v>329</v>
      </c>
      <c r="C181">
        <v>182</v>
      </c>
      <c r="D181">
        <v>1973</v>
      </c>
      <c r="G181" t="s">
        <v>3801</v>
      </c>
      <c r="H181">
        <v>23873456000161</v>
      </c>
      <c r="I181" t="s">
        <v>3573</v>
      </c>
      <c r="J181" t="s">
        <v>3802</v>
      </c>
      <c r="K181" t="s">
        <v>3575</v>
      </c>
      <c r="M181" t="s">
        <v>3576</v>
      </c>
      <c r="O181" t="s">
        <v>3577</v>
      </c>
      <c r="P181" t="s">
        <v>1837</v>
      </c>
      <c r="Q181" t="s">
        <v>790</v>
      </c>
      <c r="T181" t="s">
        <v>319</v>
      </c>
      <c r="U181" t="s">
        <v>3417</v>
      </c>
      <c r="Z181">
        <v>33</v>
      </c>
      <c r="AA181" s="31">
        <v>45749</v>
      </c>
      <c r="AB181" s="61">
        <v>0.48545138888888889</v>
      </c>
      <c r="AC181" t="s">
        <v>795</v>
      </c>
      <c r="AD181" s="31">
        <v>45782</v>
      </c>
      <c r="AE181" s="61">
        <v>0.66695601851851849</v>
      </c>
      <c r="AF181" t="s">
        <v>934</v>
      </c>
      <c r="AH181" t="s">
        <v>1543</v>
      </c>
      <c r="AQ181">
        <v>1</v>
      </c>
    </row>
    <row r="182" spans="1:43" x14ac:dyDescent="0.3">
      <c r="A182" t="s">
        <v>31</v>
      </c>
      <c r="B182">
        <v>330</v>
      </c>
      <c r="C182">
        <v>197</v>
      </c>
      <c r="D182">
        <v>1974</v>
      </c>
      <c r="G182" t="s">
        <v>3803</v>
      </c>
      <c r="H182">
        <v>8616236000169</v>
      </c>
      <c r="I182" t="s">
        <v>3726</v>
      </c>
      <c r="J182" t="s">
        <v>704</v>
      </c>
      <c r="K182" t="s">
        <v>3727</v>
      </c>
      <c r="M182" t="s">
        <v>3728</v>
      </c>
      <c r="O182" t="s">
        <v>3729</v>
      </c>
      <c r="P182" t="s">
        <v>3687</v>
      </c>
      <c r="Q182" t="s">
        <v>790</v>
      </c>
      <c r="T182" t="s">
        <v>319</v>
      </c>
      <c r="U182" t="s">
        <v>816</v>
      </c>
      <c r="W182">
        <v>56880</v>
      </c>
      <c r="X182">
        <v>68904</v>
      </c>
      <c r="Z182">
        <v>60</v>
      </c>
      <c r="AA182" s="31">
        <v>45750</v>
      </c>
      <c r="AB182" s="61">
        <v>0.50753472222222218</v>
      </c>
      <c r="AC182" t="s">
        <v>818</v>
      </c>
      <c r="AD182" s="31">
        <v>45810</v>
      </c>
      <c r="AE182" s="61">
        <v>0.50966435185185188</v>
      </c>
      <c r="AH182" t="s">
        <v>3804</v>
      </c>
      <c r="AI182" t="s">
        <v>3804</v>
      </c>
      <c r="AQ182">
        <v>1</v>
      </c>
    </row>
    <row r="183" spans="1:43" x14ac:dyDescent="0.3">
      <c r="A183" t="s">
        <v>31</v>
      </c>
      <c r="B183">
        <v>331</v>
      </c>
      <c r="C183">
        <v>136</v>
      </c>
      <c r="D183">
        <v>1975</v>
      </c>
      <c r="G183" t="s">
        <v>3805</v>
      </c>
      <c r="I183" t="s">
        <v>3382</v>
      </c>
      <c r="J183" t="s">
        <v>704</v>
      </c>
      <c r="K183" t="s">
        <v>3806</v>
      </c>
      <c r="M183" t="s">
        <v>3384</v>
      </c>
      <c r="O183" t="s">
        <v>778</v>
      </c>
      <c r="T183" t="s">
        <v>319</v>
      </c>
      <c r="U183" t="s">
        <v>3417</v>
      </c>
      <c r="W183">
        <v>24276</v>
      </c>
      <c r="X183">
        <v>0</v>
      </c>
      <c r="Z183">
        <v>20</v>
      </c>
      <c r="AA183" s="31">
        <v>45750</v>
      </c>
      <c r="AB183" s="61">
        <v>0.52722222222222226</v>
      </c>
      <c r="AC183" t="s">
        <v>795</v>
      </c>
      <c r="AD183" s="31">
        <v>45770</v>
      </c>
      <c r="AE183" s="61">
        <v>0.38817129629629632</v>
      </c>
      <c r="AF183" t="s">
        <v>934</v>
      </c>
      <c r="AH183" t="s">
        <v>3804</v>
      </c>
      <c r="AI183" t="s">
        <v>3804</v>
      </c>
      <c r="AQ183">
        <v>1</v>
      </c>
    </row>
    <row r="184" spans="1:43" x14ac:dyDescent="0.3">
      <c r="A184" t="s">
        <v>31</v>
      </c>
      <c r="B184">
        <v>332</v>
      </c>
      <c r="C184">
        <v>196</v>
      </c>
      <c r="D184">
        <v>1976</v>
      </c>
      <c r="G184" t="s">
        <v>3807</v>
      </c>
      <c r="H184">
        <v>32494222000102</v>
      </c>
      <c r="I184" t="s">
        <v>3715</v>
      </c>
      <c r="J184" t="s">
        <v>3808</v>
      </c>
      <c r="K184" t="s">
        <v>3717</v>
      </c>
      <c r="M184" t="s">
        <v>3718</v>
      </c>
      <c r="O184" t="s">
        <v>3719</v>
      </c>
      <c r="P184" t="s">
        <v>3720</v>
      </c>
      <c r="Q184" t="s">
        <v>790</v>
      </c>
      <c r="T184" t="s">
        <v>319</v>
      </c>
      <c r="U184" t="s">
        <v>816</v>
      </c>
      <c r="W184">
        <v>14200</v>
      </c>
      <c r="X184">
        <v>3564</v>
      </c>
      <c r="Z184">
        <v>63</v>
      </c>
      <c r="AA184" s="31">
        <v>45750</v>
      </c>
      <c r="AB184" s="61">
        <v>0.64652777777777781</v>
      </c>
      <c r="AC184" t="s">
        <v>795</v>
      </c>
      <c r="AD184" s="31">
        <v>45813</v>
      </c>
      <c r="AE184" s="61">
        <v>0.43116898148148147</v>
      </c>
      <c r="AF184" t="s">
        <v>934</v>
      </c>
      <c r="AH184" t="s">
        <v>1672</v>
      </c>
      <c r="AI184" t="s">
        <v>3809</v>
      </c>
      <c r="AQ184">
        <v>1</v>
      </c>
    </row>
    <row r="185" spans="1:43" x14ac:dyDescent="0.3">
      <c r="A185" t="s">
        <v>31</v>
      </c>
      <c r="B185">
        <v>335</v>
      </c>
      <c r="C185">
        <v>204</v>
      </c>
      <c r="D185">
        <v>1979</v>
      </c>
      <c r="G185" t="s">
        <v>3810</v>
      </c>
      <c r="H185">
        <v>33071847000116</v>
      </c>
      <c r="I185" t="s">
        <v>3811</v>
      </c>
      <c r="J185" t="s">
        <v>3812</v>
      </c>
      <c r="K185" t="s">
        <v>3813</v>
      </c>
      <c r="M185" t="s">
        <v>3814</v>
      </c>
      <c r="O185" t="s">
        <v>3815</v>
      </c>
      <c r="P185" t="s">
        <v>2589</v>
      </c>
      <c r="Q185" t="s">
        <v>790</v>
      </c>
      <c r="T185" t="s">
        <v>319</v>
      </c>
      <c r="U185" t="s">
        <v>816</v>
      </c>
      <c r="W185">
        <v>720</v>
      </c>
      <c r="X185">
        <v>0</v>
      </c>
      <c r="Z185">
        <v>0</v>
      </c>
      <c r="AA185" s="31">
        <v>45751</v>
      </c>
      <c r="AB185" s="61">
        <v>0.66421296296296295</v>
      </c>
      <c r="AC185" t="s">
        <v>818</v>
      </c>
      <c r="AD185" s="31">
        <v>45751</v>
      </c>
      <c r="AE185" s="61">
        <v>0.70851851851851855</v>
      </c>
      <c r="AH185" t="s">
        <v>1604</v>
      </c>
      <c r="AQ185">
        <v>1</v>
      </c>
    </row>
    <row r="186" spans="1:43" x14ac:dyDescent="0.3">
      <c r="A186" t="s">
        <v>31</v>
      </c>
      <c r="B186">
        <v>337</v>
      </c>
      <c r="C186">
        <v>185</v>
      </c>
      <c r="D186">
        <v>1982</v>
      </c>
      <c r="G186" t="s">
        <v>3816</v>
      </c>
      <c r="H186">
        <v>51496785000176</v>
      </c>
      <c r="I186" t="s">
        <v>3599</v>
      </c>
      <c r="J186" t="s">
        <v>3600</v>
      </c>
      <c r="K186" t="s">
        <v>3601</v>
      </c>
      <c r="M186" t="s">
        <v>3602</v>
      </c>
      <c r="O186" t="s">
        <v>3603</v>
      </c>
      <c r="P186" t="s">
        <v>847</v>
      </c>
      <c r="Q186" t="s">
        <v>848</v>
      </c>
      <c r="T186" t="s">
        <v>319</v>
      </c>
      <c r="U186" t="s">
        <v>3417</v>
      </c>
      <c r="W186">
        <v>420</v>
      </c>
      <c r="X186">
        <v>3564</v>
      </c>
      <c r="Z186">
        <v>10</v>
      </c>
      <c r="AA186" s="31">
        <v>45754</v>
      </c>
      <c r="AB186" s="61">
        <v>0.42759259259259258</v>
      </c>
      <c r="AC186" t="s">
        <v>795</v>
      </c>
      <c r="AD186" s="31">
        <v>45764</v>
      </c>
      <c r="AE186" s="61">
        <v>0.50528935185185186</v>
      </c>
      <c r="AF186" t="s">
        <v>3463</v>
      </c>
      <c r="AH186" t="s">
        <v>1576</v>
      </c>
      <c r="AI186" t="s">
        <v>1603</v>
      </c>
      <c r="AQ186">
        <v>1</v>
      </c>
    </row>
    <row r="187" spans="1:43" x14ac:dyDescent="0.3">
      <c r="A187" t="s">
        <v>31</v>
      </c>
      <c r="B187">
        <v>339</v>
      </c>
      <c r="C187">
        <v>183</v>
      </c>
      <c r="D187">
        <v>1615</v>
      </c>
      <c r="G187" t="s">
        <v>3817</v>
      </c>
      <c r="H187">
        <v>3204281000192</v>
      </c>
      <c r="I187" t="s">
        <v>3594</v>
      </c>
      <c r="J187" t="s">
        <v>3595</v>
      </c>
      <c r="K187" t="s">
        <v>3596</v>
      </c>
      <c r="M187" t="s">
        <v>2617</v>
      </c>
      <c r="O187" t="s">
        <v>3597</v>
      </c>
      <c r="P187" t="s">
        <v>2618</v>
      </c>
      <c r="Q187" t="s">
        <v>790</v>
      </c>
      <c r="T187" t="s">
        <v>319</v>
      </c>
      <c r="U187" t="s">
        <v>816</v>
      </c>
      <c r="W187">
        <v>1890</v>
      </c>
      <c r="X187">
        <v>0</v>
      </c>
      <c r="Z187">
        <v>0</v>
      </c>
      <c r="AA187" s="31">
        <v>45755</v>
      </c>
      <c r="AB187" s="61">
        <v>0.64071759259259264</v>
      </c>
      <c r="AC187" t="s">
        <v>818</v>
      </c>
      <c r="AD187" s="31">
        <v>45755</v>
      </c>
      <c r="AE187" s="61">
        <v>0.65402777777777776</v>
      </c>
      <c r="AH187" t="s">
        <v>3798</v>
      </c>
      <c r="AQ187">
        <v>1</v>
      </c>
    </row>
    <row r="188" spans="1:43" x14ac:dyDescent="0.3">
      <c r="A188" t="s">
        <v>31</v>
      </c>
      <c r="B188">
        <v>340</v>
      </c>
      <c r="C188">
        <v>205</v>
      </c>
      <c r="D188">
        <v>1984</v>
      </c>
      <c r="G188" t="s">
        <v>3818</v>
      </c>
      <c r="H188">
        <v>57464109000105</v>
      </c>
      <c r="I188" t="s">
        <v>3819</v>
      </c>
      <c r="J188" t="s">
        <v>3820</v>
      </c>
      <c r="K188" t="s">
        <v>3821</v>
      </c>
      <c r="L188">
        <v>11984320025</v>
      </c>
      <c r="M188" t="s">
        <v>3822</v>
      </c>
      <c r="O188" t="s">
        <v>3823</v>
      </c>
      <c r="P188" t="s">
        <v>1094</v>
      </c>
      <c r="Q188" t="s">
        <v>790</v>
      </c>
      <c r="T188" t="s">
        <v>319</v>
      </c>
      <c r="U188" t="s">
        <v>3417</v>
      </c>
      <c r="W188">
        <v>3360</v>
      </c>
      <c r="X188">
        <v>7128</v>
      </c>
      <c r="Z188">
        <v>0</v>
      </c>
      <c r="AA188" s="31">
        <v>45755</v>
      </c>
      <c r="AB188" s="61">
        <v>0.65628472222222223</v>
      </c>
      <c r="AC188" t="s">
        <v>795</v>
      </c>
      <c r="AD188" s="31">
        <v>45755</v>
      </c>
      <c r="AE188" s="61">
        <v>0.694849537037037</v>
      </c>
      <c r="AF188" t="s">
        <v>3463</v>
      </c>
      <c r="AH188" t="s">
        <v>3804</v>
      </c>
      <c r="AI188" t="s">
        <v>3804</v>
      </c>
      <c r="AQ188">
        <v>1</v>
      </c>
    </row>
    <row r="189" spans="1:43" x14ac:dyDescent="0.3">
      <c r="A189" t="s">
        <v>31</v>
      </c>
      <c r="B189">
        <v>341</v>
      </c>
      <c r="C189">
        <v>170</v>
      </c>
      <c r="D189">
        <v>1985</v>
      </c>
      <c r="G189" t="s">
        <v>460</v>
      </c>
      <c r="H189">
        <v>4150555001304</v>
      </c>
      <c r="I189" t="s">
        <v>3477</v>
      </c>
      <c r="J189" t="s">
        <v>3478</v>
      </c>
      <c r="K189" t="s">
        <v>3569</v>
      </c>
      <c r="M189" t="s">
        <v>3480</v>
      </c>
      <c r="O189" t="s">
        <v>3481</v>
      </c>
      <c r="P189" t="s">
        <v>3482</v>
      </c>
      <c r="Q189" t="s">
        <v>1699</v>
      </c>
      <c r="T189" t="s">
        <v>319</v>
      </c>
      <c r="U189" t="s">
        <v>816</v>
      </c>
      <c r="W189">
        <v>838823</v>
      </c>
      <c r="X189">
        <v>0</v>
      </c>
      <c r="Z189">
        <v>7</v>
      </c>
      <c r="AA189" s="31">
        <v>45757</v>
      </c>
      <c r="AB189" s="61">
        <v>0.37377314814814822</v>
      </c>
      <c r="AC189" t="s">
        <v>818</v>
      </c>
      <c r="AD189" s="31">
        <v>45764</v>
      </c>
      <c r="AE189" s="61">
        <v>0.41208333333333341</v>
      </c>
      <c r="AH189" t="s">
        <v>3824</v>
      </c>
      <c r="AQ189">
        <v>1</v>
      </c>
    </row>
    <row r="190" spans="1:43" x14ac:dyDescent="0.3">
      <c r="A190" t="s">
        <v>31</v>
      </c>
      <c r="B190">
        <v>342</v>
      </c>
      <c r="C190">
        <v>206</v>
      </c>
      <c r="D190">
        <v>1987</v>
      </c>
      <c r="G190" t="s">
        <v>3825</v>
      </c>
      <c r="H190">
        <v>37075503000136</v>
      </c>
      <c r="I190" t="s">
        <v>3826</v>
      </c>
      <c r="J190" t="s">
        <v>1481</v>
      </c>
      <c r="K190" t="s">
        <v>1475</v>
      </c>
      <c r="M190" t="s">
        <v>1476</v>
      </c>
      <c r="O190" t="s">
        <v>3827</v>
      </c>
      <c r="P190" t="s">
        <v>1477</v>
      </c>
      <c r="Q190" t="s">
        <v>932</v>
      </c>
      <c r="T190" t="s">
        <v>319</v>
      </c>
      <c r="U190" t="s">
        <v>3417</v>
      </c>
      <c r="W190">
        <v>0</v>
      </c>
      <c r="X190">
        <v>3564</v>
      </c>
      <c r="Z190">
        <v>4</v>
      </c>
      <c r="AA190" s="31">
        <v>45757</v>
      </c>
      <c r="AB190" s="61">
        <v>0.70687500000000003</v>
      </c>
      <c r="AC190" t="s">
        <v>795</v>
      </c>
      <c r="AD190" s="31">
        <v>45761</v>
      </c>
      <c r="AE190" s="61">
        <v>0.64089120370370367</v>
      </c>
      <c r="AF190" t="s">
        <v>3463</v>
      </c>
      <c r="AH190" t="s">
        <v>3824</v>
      </c>
      <c r="AI190" t="s">
        <v>3824</v>
      </c>
      <c r="AQ190">
        <v>1</v>
      </c>
    </row>
    <row r="191" spans="1:43" x14ac:dyDescent="0.3">
      <c r="A191" t="s">
        <v>31</v>
      </c>
      <c r="B191">
        <v>344</v>
      </c>
      <c r="C191">
        <v>134</v>
      </c>
      <c r="D191">
        <v>1989</v>
      </c>
      <c r="G191" t="s">
        <v>3828</v>
      </c>
      <c r="I191" t="s">
        <v>3377</v>
      </c>
      <c r="J191" t="s">
        <v>3829</v>
      </c>
      <c r="K191" t="s">
        <v>3830</v>
      </c>
      <c r="M191" t="s">
        <v>3379</v>
      </c>
      <c r="O191" t="s">
        <v>778</v>
      </c>
      <c r="T191" t="s">
        <v>319</v>
      </c>
      <c r="U191" t="s">
        <v>816</v>
      </c>
      <c r="W191">
        <v>1680</v>
      </c>
      <c r="X191">
        <v>0</v>
      </c>
      <c r="Z191">
        <v>2</v>
      </c>
      <c r="AA191" s="31">
        <v>45761</v>
      </c>
      <c r="AB191" s="61">
        <v>0.46211805555555557</v>
      </c>
      <c r="AC191" t="s">
        <v>818</v>
      </c>
      <c r="AD191" s="31">
        <v>45763</v>
      </c>
      <c r="AE191" s="61">
        <v>0.43277777777777782</v>
      </c>
      <c r="AH191" t="s">
        <v>1619</v>
      </c>
      <c r="AQ191">
        <v>1</v>
      </c>
    </row>
    <row r="192" spans="1:43" x14ac:dyDescent="0.3">
      <c r="A192" t="s">
        <v>31</v>
      </c>
      <c r="B192">
        <v>345</v>
      </c>
      <c r="C192">
        <v>171</v>
      </c>
      <c r="D192">
        <v>1990</v>
      </c>
      <c r="G192" t="s">
        <v>3663</v>
      </c>
      <c r="H192">
        <v>39955762000187</v>
      </c>
      <c r="I192" t="s">
        <v>3484</v>
      </c>
      <c r="J192" t="s">
        <v>3664</v>
      </c>
      <c r="K192" t="s">
        <v>3665</v>
      </c>
      <c r="M192" t="s">
        <v>3487</v>
      </c>
      <c r="O192" t="s">
        <v>3488</v>
      </c>
      <c r="P192" t="s">
        <v>1094</v>
      </c>
      <c r="Q192" t="s">
        <v>790</v>
      </c>
      <c r="T192" t="s">
        <v>319</v>
      </c>
      <c r="U192" t="s">
        <v>816</v>
      </c>
      <c r="W192">
        <v>491408</v>
      </c>
      <c r="X192">
        <v>0</v>
      </c>
      <c r="Z192">
        <v>3</v>
      </c>
      <c r="AA192" s="31">
        <v>45761</v>
      </c>
      <c r="AB192" s="61">
        <v>0.64141203703703709</v>
      </c>
      <c r="AC192" t="s">
        <v>818</v>
      </c>
      <c r="AD192" s="31">
        <v>45764</v>
      </c>
      <c r="AE192" s="61">
        <v>0.67682870370370374</v>
      </c>
      <c r="AH192" t="s">
        <v>3831</v>
      </c>
      <c r="AQ192">
        <v>1</v>
      </c>
    </row>
    <row r="193" spans="1:43" x14ac:dyDescent="0.3">
      <c r="A193" t="s">
        <v>31</v>
      </c>
      <c r="B193">
        <v>349</v>
      </c>
      <c r="C193">
        <v>202</v>
      </c>
      <c r="D193">
        <v>1995</v>
      </c>
      <c r="G193" t="s">
        <v>3777</v>
      </c>
      <c r="H193">
        <v>16939440000149</v>
      </c>
      <c r="I193" t="s">
        <v>3778</v>
      </c>
      <c r="J193" t="s">
        <v>3832</v>
      </c>
      <c r="K193" t="s">
        <v>3779</v>
      </c>
      <c r="M193" t="s">
        <v>3780</v>
      </c>
      <c r="O193" t="s">
        <v>3781</v>
      </c>
      <c r="P193" t="s">
        <v>3782</v>
      </c>
      <c r="Q193" t="s">
        <v>790</v>
      </c>
      <c r="T193" t="s">
        <v>319</v>
      </c>
      <c r="U193" t="s">
        <v>816</v>
      </c>
      <c r="W193">
        <v>2996</v>
      </c>
      <c r="X193">
        <v>0</v>
      </c>
      <c r="Z193">
        <v>0</v>
      </c>
      <c r="AA193" s="31">
        <v>45763</v>
      </c>
      <c r="AB193" s="61">
        <v>0.63655092592592588</v>
      </c>
      <c r="AC193" t="s">
        <v>818</v>
      </c>
      <c r="AD193" s="31">
        <v>45763</v>
      </c>
      <c r="AE193" s="61">
        <v>0.63858796296296294</v>
      </c>
      <c r="AH193" t="s">
        <v>3833</v>
      </c>
      <c r="AQ193">
        <v>1</v>
      </c>
    </row>
    <row r="194" spans="1:43" x14ac:dyDescent="0.3">
      <c r="A194" t="s">
        <v>31</v>
      </c>
      <c r="B194">
        <v>350</v>
      </c>
      <c r="C194">
        <v>130</v>
      </c>
      <c r="D194">
        <v>1996</v>
      </c>
      <c r="G194" t="s">
        <v>3834</v>
      </c>
      <c r="I194" t="s">
        <v>141</v>
      </c>
      <c r="J194" t="s">
        <v>3675</v>
      </c>
      <c r="K194" t="s">
        <v>3676</v>
      </c>
      <c r="M194" t="s">
        <v>3368</v>
      </c>
      <c r="O194" t="s">
        <v>778</v>
      </c>
      <c r="P194" t="s">
        <v>923</v>
      </c>
      <c r="Q194" t="s">
        <v>790</v>
      </c>
      <c r="T194" t="s">
        <v>319</v>
      </c>
      <c r="U194" t="s">
        <v>816</v>
      </c>
      <c r="W194">
        <v>447164</v>
      </c>
      <c r="X194">
        <v>0</v>
      </c>
      <c r="Z194">
        <v>0</v>
      </c>
      <c r="AA194" s="31">
        <v>45764</v>
      </c>
      <c r="AB194" s="61">
        <v>0.40780092592592587</v>
      </c>
      <c r="AC194" t="s">
        <v>818</v>
      </c>
      <c r="AD194" s="31">
        <v>45764</v>
      </c>
      <c r="AE194" s="61">
        <v>0.5020486111111111</v>
      </c>
      <c r="AH194" t="s">
        <v>3835</v>
      </c>
      <c r="AQ194">
        <v>1</v>
      </c>
    </row>
    <row r="195" spans="1:43" x14ac:dyDescent="0.3">
      <c r="A195" t="s">
        <v>31</v>
      </c>
      <c r="B195">
        <v>356</v>
      </c>
      <c r="C195">
        <v>197</v>
      </c>
      <c r="D195">
        <v>2006</v>
      </c>
      <c r="G195" t="s">
        <v>3836</v>
      </c>
      <c r="H195">
        <v>8616236000169</v>
      </c>
      <c r="I195" t="s">
        <v>3726</v>
      </c>
      <c r="J195" t="s">
        <v>704</v>
      </c>
      <c r="K195" t="s">
        <v>3727</v>
      </c>
      <c r="M195" t="s">
        <v>3728</v>
      </c>
      <c r="O195" t="s">
        <v>3729</v>
      </c>
      <c r="P195" t="s">
        <v>3687</v>
      </c>
      <c r="Q195" t="s">
        <v>790</v>
      </c>
      <c r="T195" t="s">
        <v>319</v>
      </c>
      <c r="U195" t="s">
        <v>816</v>
      </c>
      <c r="W195">
        <v>1440</v>
      </c>
      <c r="X195">
        <v>0</v>
      </c>
      <c r="Z195">
        <v>14</v>
      </c>
      <c r="AA195" s="31">
        <v>45770</v>
      </c>
      <c r="AB195" s="61">
        <v>0.63509259259259254</v>
      </c>
      <c r="AC195" t="s">
        <v>818</v>
      </c>
      <c r="AD195" s="31">
        <v>45784</v>
      </c>
      <c r="AE195" s="61">
        <v>0.66</v>
      </c>
      <c r="AH195" t="s">
        <v>3837</v>
      </c>
      <c r="AI195" t="s">
        <v>3837</v>
      </c>
      <c r="AQ195">
        <v>1</v>
      </c>
    </row>
    <row r="196" spans="1:43" x14ac:dyDescent="0.3">
      <c r="A196" t="s">
        <v>31</v>
      </c>
      <c r="B196">
        <v>357</v>
      </c>
      <c r="C196">
        <v>207</v>
      </c>
      <c r="D196">
        <v>2007</v>
      </c>
      <c r="G196" t="s">
        <v>3838</v>
      </c>
      <c r="H196">
        <v>43609706000168</v>
      </c>
      <c r="I196" t="s">
        <v>3839</v>
      </c>
      <c r="J196" t="s">
        <v>1804</v>
      </c>
      <c r="K196" t="s">
        <v>3840</v>
      </c>
      <c r="M196" t="s">
        <v>3841</v>
      </c>
      <c r="O196" t="s">
        <v>3842</v>
      </c>
      <c r="P196" t="s">
        <v>3843</v>
      </c>
      <c r="Q196" t="s">
        <v>932</v>
      </c>
      <c r="T196" t="s">
        <v>319</v>
      </c>
      <c r="U196" t="s">
        <v>816</v>
      </c>
      <c r="W196">
        <v>4000</v>
      </c>
      <c r="X196">
        <v>0</v>
      </c>
      <c r="Z196">
        <v>1</v>
      </c>
      <c r="AA196" s="31">
        <v>45771</v>
      </c>
      <c r="AB196" s="61">
        <v>0.4306712962962963</v>
      </c>
      <c r="AC196" t="s">
        <v>818</v>
      </c>
      <c r="AD196" s="31">
        <v>45772</v>
      </c>
      <c r="AE196" s="61">
        <v>0.69015046296296301</v>
      </c>
      <c r="AH196" t="s">
        <v>1666</v>
      </c>
      <c r="AQ196">
        <v>1</v>
      </c>
    </row>
    <row r="197" spans="1:43" x14ac:dyDescent="0.3">
      <c r="A197" t="s">
        <v>31</v>
      </c>
      <c r="B197">
        <v>363</v>
      </c>
      <c r="C197">
        <v>199</v>
      </c>
      <c r="D197">
        <v>2012</v>
      </c>
      <c r="G197" t="s">
        <v>3749</v>
      </c>
      <c r="H197">
        <v>50963243000101</v>
      </c>
      <c r="I197" t="s">
        <v>3750</v>
      </c>
      <c r="J197" t="s">
        <v>3844</v>
      </c>
      <c r="K197" t="s">
        <v>3752</v>
      </c>
      <c r="M197" t="s">
        <v>3753</v>
      </c>
      <c r="O197" t="s">
        <v>3754</v>
      </c>
      <c r="P197" t="s">
        <v>1094</v>
      </c>
      <c r="Q197" t="s">
        <v>790</v>
      </c>
      <c r="T197" t="s">
        <v>319</v>
      </c>
      <c r="U197" t="s">
        <v>816</v>
      </c>
      <c r="W197">
        <v>1890</v>
      </c>
      <c r="X197">
        <v>0</v>
      </c>
      <c r="Z197">
        <v>0</v>
      </c>
      <c r="AA197" s="31">
        <v>45777</v>
      </c>
      <c r="AB197" s="61">
        <v>0.58546296296296296</v>
      </c>
      <c r="AC197" t="s">
        <v>818</v>
      </c>
      <c r="AD197" s="31">
        <v>45777</v>
      </c>
      <c r="AE197" s="61">
        <v>0.5869212962962963</v>
      </c>
      <c r="AH197" t="s">
        <v>3845</v>
      </c>
      <c r="AQ197">
        <v>1</v>
      </c>
    </row>
    <row r="198" spans="1:43" x14ac:dyDescent="0.3">
      <c r="A198" t="s">
        <v>31</v>
      </c>
      <c r="B198">
        <v>364</v>
      </c>
      <c r="C198">
        <v>204</v>
      </c>
      <c r="D198">
        <v>2013</v>
      </c>
      <c r="G198" t="s">
        <v>3810</v>
      </c>
      <c r="H198">
        <v>33071847000116</v>
      </c>
      <c r="I198" t="s">
        <v>3811</v>
      </c>
      <c r="J198" t="s">
        <v>3846</v>
      </c>
      <c r="K198" t="s">
        <v>3813</v>
      </c>
      <c r="M198" t="s">
        <v>3814</v>
      </c>
      <c r="O198" t="s">
        <v>3815</v>
      </c>
      <c r="P198" t="s">
        <v>2589</v>
      </c>
      <c r="Q198" t="s">
        <v>790</v>
      </c>
      <c r="T198" t="s">
        <v>319</v>
      </c>
      <c r="U198" t="s">
        <v>816</v>
      </c>
      <c r="W198">
        <v>3360</v>
      </c>
      <c r="X198">
        <v>0</v>
      </c>
      <c r="Z198">
        <v>0</v>
      </c>
      <c r="AA198" s="31">
        <v>45777</v>
      </c>
      <c r="AB198" s="61">
        <v>0.58721064814814816</v>
      </c>
      <c r="AC198" t="s">
        <v>818</v>
      </c>
      <c r="AD198" s="31">
        <v>45777</v>
      </c>
      <c r="AE198" s="61">
        <v>0.5879861111111111</v>
      </c>
      <c r="AH198" t="s">
        <v>3845</v>
      </c>
      <c r="AQ198">
        <v>1</v>
      </c>
    </row>
    <row r="199" spans="1:43" x14ac:dyDescent="0.3">
      <c r="A199" t="s">
        <v>31</v>
      </c>
      <c r="B199">
        <v>365</v>
      </c>
      <c r="C199">
        <v>142</v>
      </c>
      <c r="D199">
        <v>2014</v>
      </c>
      <c r="G199" t="s">
        <v>3847</v>
      </c>
      <c r="I199" t="s">
        <v>3397</v>
      </c>
      <c r="J199" t="s">
        <v>3848</v>
      </c>
      <c r="K199" t="s">
        <v>3698</v>
      </c>
      <c r="M199" t="s">
        <v>3399</v>
      </c>
      <c r="O199" t="s">
        <v>778</v>
      </c>
      <c r="P199" t="s">
        <v>3400</v>
      </c>
      <c r="Q199" t="s">
        <v>1699</v>
      </c>
      <c r="T199" t="s">
        <v>319</v>
      </c>
      <c r="U199" t="s">
        <v>3417</v>
      </c>
      <c r="W199">
        <v>26200</v>
      </c>
      <c r="X199">
        <v>3400</v>
      </c>
      <c r="Z199">
        <v>27</v>
      </c>
      <c r="AA199" s="31">
        <v>45777</v>
      </c>
      <c r="AB199" s="61">
        <v>0.58881944444444445</v>
      </c>
      <c r="AC199" t="s">
        <v>795</v>
      </c>
      <c r="AD199" s="31">
        <v>45804</v>
      </c>
      <c r="AE199" s="61">
        <v>0.79233796296296299</v>
      </c>
      <c r="AF199" t="s">
        <v>974</v>
      </c>
      <c r="AH199" t="s">
        <v>1374</v>
      </c>
      <c r="AI199" t="s">
        <v>3845</v>
      </c>
      <c r="AQ199">
        <v>1</v>
      </c>
    </row>
    <row r="200" spans="1:43" x14ac:dyDescent="0.3">
      <c r="A200" t="s">
        <v>31</v>
      </c>
      <c r="B200">
        <v>371</v>
      </c>
      <c r="C200">
        <v>178</v>
      </c>
      <c r="D200">
        <v>2021</v>
      </c>
      <c r="G200" t="s">
        <v>3849</v>
      </c>
      <c r="H200">
        <v>54124158000100</v>
      </c>
      <c r="I200" t="s">
        <v>3539</v>
      </c>
      <c r="J200" t="s">
        <v>1243</v>
      </c>
      <c r="K200" t="s">
        <v>3850</v>
      </c>
      <c r="M200" t="s">
        <v>3542</v>
      </c>
      <c r="O200" t="s">
        <v>3543</v>
      </c>
      <c r="P200" t="s">
        <v>1837</v>
      </c>
      <c r="Q200" t="s">
        <v>790</v>
      </c>
      <c r="T200" t="s">
        <v>319</v>
      </c>
      <c r="U200" t="s">
        <v>3417</v>
      </c>
      <c r="Z200">
        <v>18</v>
      </c>
      <c r="AA200" s="31">
        <v>45782</v>
      </c>
      <c r="AB200" s="61">
        <v>0.66790509259259256</v>
      </c>
      <c r="AC200" t="s">
        <v>795</v>
      </c>
      <c r="AD200" s="31">
        <v>45800</v>
      </c>
      <c r="AE200" s="61">
        <v>0.52974537037037039</v>
      </c>
      <c r="AF200" t="s">
        <v>796</v>
      </c>
      <c r="AH200" t="s">
        <v>3851</v>
      </c>
      <c r="AI200" t="s">
        <v>3851</v>
      </c>
      <c r="AQ200">
        <v>1</v>
      </c>
    </row>
    <row r="201" spans="1:43" x14ac:dyDescent="0.3">
      <c r="A201" t="s">
        <v>31</v>
      </c>
      <c r="B201">
        <v>372</v>
      </c>
      <c r="C201">
        <v>199</v>
      </c>
      <c r="D201">
        <v>2022</v>
      </c>
      <c r="G201" t="s">
        <v>3852</v>
      </c>
      <c r="H201">
        <v>50963243000101</v>
      </c>
      <c r="I201" t="s">
        <v>3750</v>
      </c>
      <c r="J201" t="s">
        <v>3853</v>
      </c>
      <c r="K201" t="s">
        <v>3752</v>
      </c>
      <c r="M201" t="s">
        <v>3753</v>
      </c>
      <c r="O201" t="s">
        <v>3754</v>
      </c>
      <c r="P201" t="s">
        <v>1094</v>
      </c>
      <c r="Q201" t="s">
        <v>790</v>
      </c>
      <c r="T201" t="s">
        <v>319</v>
      </c>
      <c r="U201" t="s">
        <v>3417</v>
      </c>
      <c r="W201">
        <v>0</v>
      </c>
      <c r="X201">
        <v>1496</v>
      </c>
      <c r="Z201">
        <v>30</v>
      </c>
      <c r="AA201" s="31">
        <v>45783</v>
      </c>
      <c r="AB201" s="61">
        <v>0.48534722222222221</v>
      </c>
      <c r="AC201" t="s">
        <v>795</v>
      </c>
      <c r="AD201" s="31">
        <v>45813</v>
      </c>
      <c r="AE201" s="61">
        <v>0.47509259259259262</v>
      </c>
      <c r="AF201" t="s">
        <v>934</v>
      </c>
      <c r="AH201" t="s">
        <v>3854</v>
      </c>
      <c r="AI201" t="s">
        <v>3855</v>
      </c>
      <c r="AQ201">
        <v>1</v>
      </c>
    </row>
    <row r="202" spans="1:43" x14ac:dyDescent="0.3">
      <c r="A202" t="s">
        <v>31</v>
      </c>
      <c r="B202">
        <v>373</v>
      </c>
      <c r="C202">
        <v>178</v>
      </c>
      <c r="D202">
        <v>1614</v>
      </c>
      <c r="G202" t="s">
        <v>3591</v>
      </c>
      <c r="H202">
        <v>54124158000100</v>
      </c>
      <c r="I202" t="s">
        <v>3539</v>
      </c>
      <c r="J202" t="s">
        <v>1243</v>
      </c>
      <c r="K202" t="s">
        <v>3541</v>
      </c>
      <c r="M202" t="s">
        <v>3542</v>
      </c>
      <c r="O202" t="s">
        <v>3543</v>
      </c>
      <c r="P202" t="s">
        <v>1837</v>
      </c>
      <c r="Q202" t="s">
        <v>790</v>
      </c>
      <c r="T202" t="s">
        <v>319</v>
      </c>
      <c r="U202" t="s">
        <v>816</v>
      </c>
      <c r="W202">
        <v>44651</v>
      </c>
      <c r="X202">
        <v>0</v>
      </c>
      <c r="Z202">
        <v>5</v>
      </c>
      <c r="AA202" s="31">
        <v>45784</v>
      </c>
      <c r="AB202" s="61">
        <v>0.51723379629629629</v>
      </c>
      <c r="AC202" t="s">
        <v>818</v>
      </c>
      <c r="AD202" s="31">
        <v>45789</v>
      </c>
      <c r="AE202" s="61">
        <v>0.39689814814814822</v>
      </c>
      <c r="AH202" t="s">
        <v>3856</v>
      </c>
      <c r="AQ202">
        <v>1</v>
      </c>
    </row>
    <row r="203" spans="1:43" x14ac:dyDescent="0.3">
      <c r="A203" t="s">
        <v>31</v>
      </c>
      <c r="B203">
        <v>374</v>
      </c>
      <c r="C203">
        <v>134</v>
      </c>
      <c r="D203">
        <v>161</v>
      </c>
      <c r="G203" t="s">
        <v>3857</v>
      </c>
      <c r="I203" t="s">
        <v>3377</v>
      </c>
      <c r="J203" t="s">
        <v>3377</v>
      </c>
      <c r="K203" t="s">
        <v>3378</v>
      </c>
      <c r="M203" t="s">
        <v>3379</v>
      </c>
      <c r="O203" t="s">
        <v>778</v>
      </c>
      <c r="T203" t="s">
        <v>319</v>
      </c>
      <c r="U203" t="s">
        <v>3417</v>
      </c>
      <c r="Z203">
        <v>6</v>
      </c>
      <c r="AA203" s="31">
        <v>45785</v>
      </c>
      <c r="AB203" s="61">
        <v>0.64045138888888886</v>
      </c>
      <c r="AC203" t="s">
        <v>795</v>
      </c>
      <c r="AD203" s="31">
        <v>45791</v>
      </c>
      <c r="AE203" s="61">
        <v>0.4856712962962963</v>
      </c>
      <c r="AF203" t="s">
        <v>934</v>
      </c>
      <c r="AH203" t="s">
        <v>3858</v>
      </c>
      <c r="AQ203">
        <v>1</v>
      </c>
    </row>
    <row r="204" spans="1:43" x14ac:dyDescent="0.3">
      <c r="A204" t="s">
        <v>31</v>
      </c>
      <c r="B204">
        <v>377</v>
      </c>
      <c r="C204">
        <v>123</v>
      </c>
      <c r="D204">
        <v>2026</v>
      </c>
      <c r="G204" t="s">
        <v>3859</v>
      </c>
      <c r="I204" t="s">
        <v>647</v>
      </c>
      <c r="J204" t="s">
        <v>3860</v>
      </c>
      <c r="K204" t="s">
        <v>3861</v>
      </c>
      <c r="M204" t="s">
        <v>3353</v>
      </c>
      <c r="O204" t="s">
        <v>778</v>
      </c>
      <c r="T204" t="s">
        <v>319</v>
      </c>
      <c r="U204" t="s">
        <v>816</v>
      </c>
      <c r="W204">
        <v>1428</v>
      </c>
      <c r="X204">
        <v>550</v>
      </c>
      <c r="Z204">
        <v>17</v>
      </c>
      <c r="AA204" s="31">
        <v>45786</v>
      </c>
      <c r="AB204" s="61">
        <v>0.41125</v>
      </c>
      <c r="AC204" t="s">
        <v>818</v>
      </c>
      <c r="AD204" s="31">
        <v>45803</v>
      </c>
      <c r="AE204" s="61">
        <v>0.80402777777777779</v>
      </c>
      <c r="AH204" t="s">
        <v>3862</v>
      </c>
      <c r="AI204" t="s">
        <v>3862</v>
      </c>
      <c r="AQ204">
        <v>1</v>
      </c>
    </row>
    <row r="205" spans="1:43" x14ac:dyDescent="0.3">
      <c r="A205" t="s">
        <v>31</v>
      </c>
      <c r="B205">
        <v>378</v>
      </c>
      <c r="C205">
        <v>134</v>
      </c>
      <c r="D205">
        <v>2027</v>
      </c>
      <c r="G205" t="s">
        <v>3863</v>
      </c>
      <c r="I205" t="s">
        <v>3377</v>
      </c>
      <c r="J205" t="s">
        <v>3864</v>
      </c>
      <c r="K205" t="s">
        <v>3830</v>
      </c>
      <c r="M205" t="s">
        <v>3379</v>
      </c>
      <c r="O205" t="s">
        <v>778</v>
      </c>
      <c r="T205" t="s">
        <v>319</v>
      </c>
      <c r="U205" t="s">
        <v>3417</v>
      </c>
      <c r="Z205">
        <v>5</v>
      </c>
      <c r="AA205" s="31">
        <v>45786</v>
      </c>
      <c r="AB205" s="61">
        <v>0.60530092592592588</v>
      </c>
      <c r="AC205" t="s">
        <v>795</v>
      </c>
      <c r="AD205" s="31">
        <v>45791</v>
      </c>
      <c r="AE205" s="61">
        <v>0.48603009259259261</v>
      </c>
      <c r="AF205" t="s">
        <v>934</v>
      </c>
      <c r="AH205" t="s">
        <v>3862</v>
      </c>
      <c r="AI205" t="s">
        <v>3856</v>
      </c>
      <c r="AQ205">
        <v>1</v>
      </c>
    </row>
    <row r="206" spans="1:43" x14ac:dyDescent="0.3">
      <c r="A206" t="s">
        <v>31</v>
      </c>
      <c r="B206">
        <v>380</v>
      </c>
      <c r="C206">
        <v>122</v>
      </c>
      <c r="D206">
        <v>2029</v>
      </c>
      <c r="G206" t="s">
        <v>3865</v>
      </c>
      <c r="I206" t="s">
        <v>680</v>
      </c>
      <c r="J206" t="s">
        <v>3866</v>
      </c>
      <c r="K206" t="s">
        <v>3867</v>
      </c>
      <c r="M206" t="s">
        <v>3351</v>
      </c>
      <c r="O206" t="s">
        <v>778</v>
      </c>
      <c r="T206" t="s">
        <v>319</v>
      </c>
      <c r="U206" t="s">
        <v>3417</v>
      </c>
      <c r="W206">
        <v>2880</v>
      </c>
      <c r="X206">
        <v>0</v>
      </c>
      <c r="Z206">
        <v>22</v>
      </c>
      <c r="AA206" s="31">
        <v>45789</v>
      </c>
      <c r="AB206" s="61">
        <v>0.42956018518518518</v>
      </c>
      <c r="AC206" t="s">
        <v>795</v>
      </c>
      <c r="AD206" s="31">
        <v>45811</v>
      </c>
      <c r="AE206" s="61">
        <v>0.5135763888888889</v>
      </c>
      <c r="AF206" t="s">
        <v>3463</v>
      </c>
      <c r="AH206" t="s">
        <v>3868</v>
      </c>
      <c r="AQ206">
        <v>1</v>
      </c>
    </row>
    <row r="207" spans="1:43" x14ac:dyDescent="0.3">
      <c r="A207" t="s">
        <v>31</v>
      </c>
      <c r="B207">
        <v>381</v>
      </c>
      <c r="C207">
        <v>194</v>
      </c>
      <c r="D207">
        <v>2030</v>
      </c>
      <c r="G207" t="s">
        <v>233</v>
      </c>
      <c r="H207">
        <v>44580314000186</v>
      </c>
      <c r="I207" t="s">
        <v>3682</v>
      </c>
      <c r="J207" t="s">
        <v>704</v>
      </c>
      <c r="K207" t="s">
        <v>3684</v>
      </c>
      <c r="M207" t="s">
        <v>3685</v>
      </c>
      <c r="O207" t="s">
        <v>3686</v>
      </c>
      <c r="P207" t="s">
        <v>3687</v>
      </c>
      <c r="Q207" t="s">
        <v>790</v>
      </c>
      <c r="T207" t="s">
        <v>319</v>
      </c>
      <c r="U207" t="s">
        <v>816</v>
      </c>
      <c r="W207">
        <v>2856</v>
      </c>
      <c r="X207">
        <v>28512</v>
      </c>
      <c r="Z207">
        <v>28</v>
      </c>
      <c r="AA207" s="31">
        <v>45789</v>
      </c>
      <c r="AB207" s="61">
        <v>0.61649305555555556</v>
      </c>
      <c r="AC207" t="s">
        <v>818</v>
      </c>
      <c r="AD207" s="31">
        <v>45817</v>
      </c>
      <c r="AE207" s="61">
        <v>0.51645833333333335</v>
      </c>
      <c r="AH207" t="s">
        <v>3868</v>
      </c>
      <c r="AI207" t="s">
        <v>3869</v>
      </c>
      <c r="AQ207">
        <v>1</v>
      </c>
    </row>
    <row r="208" spans="1:43" x14ac:dyDescent="0.3">
      <c r="A208" t="s">
        <v>31</v>
      </c>
      <c r="B208">
        <v>386</v>
      </c>
      <c r="C208">
        <v>183</v>
      </c>
      <c r="D208">
        <v>2038</v>
      </c>
      <c r="G208" t="s">
        <v>3870</v>
      </c>
      <c r="H208">
        <v>3204281000192</v>
      </c>
      <c r="I208" t="s">
        <v>3594</v>
      </c>
      <c r="J208" t="s">
        <v>3595</v>
      </c>
      <c r="K208" t="s">
        <v>3596</v>
      </c>
      <c r="M208" t="s">
        <v>2617</v>
      </c>
      <c r="O208" t="s">
        <v>3597</v>
      </c>
      <c r="P208" t="s">
        <v>2618</v>
      </c>
      <c r="Q208" t="s">
        <v>790</v>
      </c>
      <c r="T208" t="s">
        <v>319</v>
      </c>
      <c r="U208" t="s">
        <v>816</v>
      </c>
      <c r="W208">
        <v>420</v>
      </c>
      <c r="X208">
        <v>0</v>
      </c>
      <c r="Z208">
        <v>5</v>
      </c>
      <c r="AA208" s="31">
        <v>45791</v>
      </c>
      <c r="AB208" s="61">
        <v>0.63041666666666663</v>
      </c>
      <c r="AC208" t="s">
        <v>818</v>
      </c>
      <c r="AD208" s="31">
        <v>45796</v>
      </c>
      <c r="AE208" s="61">
        <v>0.37569444444444439</v>
      </c>
      <c r="AH208" t="s">
        <v>3871</v>
      </c>
      <c r="AI208" t="s">
        <v>3872</v>
      </c>
      <c r="AQ208">
        <v>1</v>
      </c>
    </row>
    <row r="209" spans="1:43" x14ac:dyDescent="0.3">
      <c r="A209" t="s">
        <v>31</v>
      </c>
      <c r="B209">
        <v>387</v>
      </c>
      <c r="C209">
        <v>197</v>
      </c>
      <c r="D209">
        <v>1888</v>
      </c>
      <c r="G209" t="s">
        <v>3873</v>
      </c>
      <c r="H209">
        <v>8616236000169</v>
      </c>
      <c r="I209" t="s">
        <v>3726</v>
      </c>
      <c r="J209" t="s">
        <v>704</v>
      </c>
      <c r="K209" t="s">
        <v>3727</v>
      </c>
      <c r="M209" t="s">
        <v>3728</v>
      </c>
      <c r="O209" t="s">
        <v>3729</v>
      </c>
      <c r="P209" t="s">
        <v>3687</v>
      </c>
      <c r="Q209" t="s">
        <v>790</v>
      </c>
      <c r="T209" t="s">
        <v>319</v>
      </c>
      <c r="U209" t="s">
        <v>3417</v>
      </c>
      <c r="W209">
        <v>2880</v>
      </c>
      <c r="X209">
        <v>0</v>
      </c>
      <c r="Z209">
        <v>19</v>
      </c>
      <c r="AA209" s="31">
        <v>45792</v>
      </c>
      <c r="AB209" s="61">
        <v>0.51618055555555553</v>
      </c>
      <c r="AC209" t="s">
        <v>795</v>
      </c>
      <c r="AD209" s="31">
        <v>45811</v>
      </c>
      <c r="AE209" s="61">
        <v>0.64978009259259262</v>
      </c>
      <c r="AF209" t="s">
        <v>796</v>
      </c>
      <c r="AH209" t="s">
        <v>3874</v>
      </c>
      <c r="AI209" t="s">
        <v>1695</v>
      </c>
      <c r="AQ209">
        <v>1</v>
      </c>
    </row>
    <row r="210" spans="1:43" x14ac:dyDescent="0.3">
      <c r="A210" t="s">
        <v>31</v>
      </c>
      <c r="B210">
        <v>388</v>
      </c>
      <c r="C210">
        <v>187</v>
      </c>
      <c r="D210">
        <v>2039</v>
      </c>
      <c r="G210" t="s">
        <v>3875</v>
      </c>
      <c r="H210">
        <v>17063632000105</v>
      </c>
      <c r="I210" t="s">
        <v>3631</v>
      </c>
      <c r="J210" t="s">
        <v>1966</v>
      </c>
      <c r="K210" t="s">
        <v>3633</v>
      </c>
      <c r="M210" t="s">
        <v>3634</v>
      </c>
      <c r="O210" t="s">
        <v>3635</v>
      </c>
      <c r="P210" t="s">
        <v>3636</v>
      </c>
      <c r="Q210" t="s">
        <v>1699</v>
      </c>
      <c r="T210" t="s">
        <v>319</v>
      </c>
      <c r="U210" t="s">
        <v>3417</v>
      </c>
      <c r="W210">
        <v>6300</v>
      </c>
      <c r="X210">
        <v>0</v>
      </c>
      <c r="Z210">
        <v>8</v>
      </c>
      <c r="AA210" s="31">
        <v>45792</v>
      </c>
      <c r="AB210" s="61">
        <v>0.7066782407407407</v>
      </c>
      <c r="AC210" t="s">
        <v>795</v>
      </c>
      <c r="AD210" s="31">
        <v>45800</v>
      </c>
      <c r="AE210" s="61">
        <v>0.52802083333333338</v>
      </c>
      <c r="AF210" t="s">
        <v>934</v>
      </c>
      <c r="AH210" t="s">
        <v>3874</v>
      </c>
      <c r="AQ210">
        <v>1</v>
      </c>
    </row>
    <row r="211" spans="1:43" x14ac:dyDescent="0.3">
      <c r="A211" t="s">
        <v>31</v>
      </c>
      <c r="B211">
        <v>389</v>
      </c>
      <c r="C211">
        <v>184</v>
      </c>
      <c r="D211">
        <v>2040</v>
      </c>
      <c r="G211" t="s">
        <v>3876</v>
      </c>
      <c r="H211">
        <v>11861121000144</v>
      </c>
      <c r="I211" t="s">
        <v>3877</v>
      </c>
      <c r="J211" t="s">
        <v>3878</v>
      </c>
      <c r="K211" t="s">
        <v>3879</v>
      </c>
      <c r="M211" t="s">
        <v>3880</v>
      </c>
      <c r="O211" t="s">
        <v>3881</v>
      </c>
      <c r="P211" t="s">
        <v>1094</v>
      </c>
      <c r="Q211" t="s">
        <v>790</v>
      </c>
      <c r="T211" t="s">
        <v>319</v>
      </c>
      <c r="U211" t="s">
        <v>781</v>
      </c>
      <c r="Z211">
        <v>6</v>
      </c>
      <c r="AA211" s="31">
        <v>45793</v>
      </c>
      <c r="AB211" s="61">
        <v>0.43585648148148148</v>
      </c>
      <c r="AC211" t="s">
        <v>795</v>
      </c>
      <c r="AD211" s="31">
        <v>45799</v>
      </c>
      <c r="AE211" s="61">
        <v>0.38090277777777781</v>
      </c>
      <c r="AF211" t="s">
        <v>934</v>
      </c>
      <c r="AI211" t="s">
        <v>3882</v>
      </c>
      <c r="AQ211">
        <v>1</v>
      </c>
    </row>
    <row r="212" spans="1:43" x14ac:dyDescent="0.3">
      <c r="A212" t="s">
        <v>31</v>
      </c>
      <c r="B212">
        <v>390</v>
      </c>
      <c r="C212">
        <v>148</v>
      </c>
      <c r="D212">
        <v>2041</v>
      </c>
      <c r="G212" t="s">
        <v>3883</v>
      </c>
      <c r="H212">
        <v>8530284000130</v>
      </c>
      <c r="I212" t="s">
        <v>3555</v>
      </c>
      <c r="J212" t="s">
        <v>2927</v>
      </c>
      <c r="K212" t="s">
        <v>3556</v>
      </c>
      <c r="M212" t="s">
        <v>3557</v>
      </c>
      <c r="O212" t="s">
        <v>778</v>
      </c>
      <c r="S212" t="s">
        <v>1718</v>
      </c>
      <c r="T212" t="s">
        <v>319</v>
      </c>
      <c r="U212" t="s">
        <v>3417</v>
      </c>
      <c r="W212">
        <v>2856</v>
      </c>
      <c r="X212">
        <v>64152</v>
      </c>
      <c r="Z212">
        <v>101</v>
      </c>
      <c r="AA212" s="31">
        <v>45793</v>
      </c>
      <c r="AB212" s="61">
        <v>0.60055555555555551</v>
      </c>
      <c r="AC212" t="s">
        <v>795</v>
      </c>
      <c r="AD212" s="31">
        <v>45894</v>
      </c>
      <c r="AE212" s="61">
        <v>0.66383101851851856</v>
      </c>
      <c r="AF212" t="s">
        <v>3463</v>
      </c>
      <c r="AH212" t="s">
        <v>3884</v>
      </c>
      <c r="AI212" t="s">
        <v>1885</v>
      </c>
      <c r="AQ212">
        <v>1</v>
      </c>
    </row>
    <row r="213" spans="1:43" x14ac:dyDescent="0.3">
      <c r="A213" t="s">
        <v>31</v>
      </c>
      <c r="B213">
        <v>391</v>
      </c>
      <c r="C213">
        <v>210</v>
      </c>
      <c r="D213">
        <v>2042</v>
      </c>
      <c r="G213" t="s">
        <v>3885</v>
      </c>
      <c r="H213">
        <v>51781567000183</v>
      </c>
      <c r="I213" t="s">
        <v>3886</v>
      </c>
      <c r="J213" t="s">
        <v>3735</v>
      </c>
      <c r="K213" t="s">
        <v>3887</v>
      </c>
      <c r="M213" t="s">
        <v>3888</v>
      </c>
      <c r="O213" t="s">
        <v>3889</v>
      </c>
      <c r="P213" t="s">
        <v>3890</v>
      </c>
      <c r="Q213" t="s">
        <v>932</v>
      </c>
      <c r="T213" t="s">
        <v>319</v>
      </c>
      <c r="U213" t="s">
        <v>3417</v>
      </c>
      <c r="W213">
        <v>420</v>
      </c>
      <c r="X213">
        <v>0</v>
      </c>
      <c r="Z213">
        <v>0</v>
      </c>
      <c r="AA213" s="31">
        <v>45793</v>
      </c>
      <c r="AB213" s="61">
        <v>0.61630787037037038</v>
      </c>
      <c r="AC213" t="s">
        <v>795</v>
      </c>
      <c r="AD213" s="31">
        <v>45793</v>
      </c>
      <c r="AE213" s="61">
        <v>0.62888888888888894</v>
      </c>
      <c r="AF213" t="s">
        <v>796</v>
      </c>
      <c r="AH213" t="s">
        <v>3891</v>
      </c>
      <c r="AQ213">
        <v>1</v>
      </c>
    </row>
    <row r="214" spans="1:43" x14ac:dyDescent="0.3">
      <c r="A214" t="s">
        <v>31</v>
      </c>
      <c r="B214">
        <v>392</v>
      </c>
      <c r="C214">
        <v>209</v>
      </c>
      <c r="D214">
        <v>2043</v>
      </c>
      <c r="G214" t="s">
        <v>3892</v>
      </c>
      <c r="H214">
        <v>10682266000115</v>
      </c>
      <c r="I214" t="s">
        <v>3893</v>
      </c>
      <c r="J214" t="s">
        <v>3894</v>
      </c>
      <c r="K214" t="s">
        <v>3895</v>
      </c>
      <c r="M214" t="s">
        <v>3896</v>
      </c>
      <c r="O214" t="s">
        <v>3897</v>
      </c>
      <c r="P214" t="s">
        <v>1596</v>
      </c>
      <c r="Q214" t="s">
        <v>790</v>
      </c>
      <c r="T214" t="s">
        <v>319</v>
      </c>
      <c r="U214" t="s">
        <v>3606</v>
      </c>
      <c r="Z214">
        <v>7</v>
      </c>
      <c r="AA214" s="31">
        <v>45793</v>
      </c>
      <c r="AB214" s="61">
        <v>0.62921296296296292</v>
      </c>
      <c r="AC214" t="s">
        <v>795</v>
      </c>
      <c r="AD214" s="31">
        <v>45800</v>
      </c>
      <c r="AE214" s="61">
        <v>0.52667824074074077</v>
      </c>
      <c r="AF214" t="s">
        <v>796</v>
      </c>
      <c r="AI214" t="s">
        <v>1730</v>
      </c>
      <c r="AJ214" t="s">
        <v>1730</v>
      </c>
      <c r="AQ214">
        <v>1</v>
      </c>
    </row>
    <row r="215" spans="1:43" x14ac:dyDescent="0.3">
      <c r="A215" t="s">
        <v>31</v>
      </c>
      <c r="B215">
        <v>393</v>
      </c>
      <c r="C215">
        <v>133</v>
      </c>
      <c r="D215">
        <v>2044</v>
      </c>
      <c r="G215" t="s">
        <v>3898</v>
      </c>
      <c r="I215" t="s">
        <v>625</v>
      </c>
      <c r="J215" t="s">
        <v>3899</v>
      </c>
      <c r="K215" t="s">
        <v>3584</v>
      </c>
      <c r="M215" t="s">
        <v>2207</v>
      </c>
      <c r="O215" t="s">
        <v>778</v>
      </c>
      <c r="S215" t="s">
        <v>1327</v>
      </c>
      <c r="T215" t="s">
        <v>319</v>
      </c>
      <c r="U215" t="s">
        <v>816</v>
      </c>
      <c r="W215">
        <v>0</v>
      </c>
      <c r="X215">
        <v>325116</v>
      </c>
      <c r="Z215">
        <v>20</v>
      </c>
      <c r="AA215" s="31">
        <v>45793</v>
      </c>
      <c r="AB215" s="61">
        <v>0.68398148148148152</v>
      </c>
      <c r="AC215" t="s">
        <v>818</v>
      </c>
      <c r="AD215" s="31">
        <v>45813</v>
      </c>
      <c r="AE215" s="61">
        <v>0.47848379629629628</v>
      </c>
      <c r="AH215" t="s">
        <v>3900</v>
      </c>
      <c r="AI215" t="s">
        <v>3901</v>
      </c>
      <c r="AQ215">
        <v>1</v>
      </c>
    </row>
    <row r="216" spans="1:43" x14ac:dyDescent="0.3">
      <c r="A216" t="s">
        <v>31</v>
      </c>
      <c r="B216">
        <v>394</v>
      </c>
      <c r="C216">
        <v>208</v>
      </c>
      <c r="D216">
        <v>2045</v>
      </c>
      <c r="G216" t="s">
        <v>3902</v>
      </c>
      <c r="H216">
        <v>42830750000130</v>
      </c>
      <c r="I216" t="s">
        <v>3903</v>
      </c>
      <c r="J216" t="s">
        <v>3904</v>
      </c>
      <c r="K216" t="s">
        <v>3905</v>
      </c>
      <c r="M216" t="s">
        <v>3906</v>
      </c>
      <c r="O216" t="s">
        <v>3907</v>
      </c>
      <c r="P216" t="s">
        <v>1094</v>
      </c>
      <c r="Q216" t="s">
        <v>790</v>
      </c>
      <c r="T216" t="s">
        <v>319</v>
      </c>
      <c r="U216" t="s">
        <v>3417</v>
      </c>
      <c r="W216">
        <v>5040</v>
      </c>
      <c r="X216">
        <v>0</v>
      </c>
      <c r="Z216">
        <v>18</v>
      </c>
      <c r="AA216" s="31">
        <v>45796</v>
      </c>
      <c r="AB216" s="61">
        <v>0.42694444444444452</v>
      </c>
      <c r="AC216" t="s">
        <v>795</v>
      </c>
      <c r="AD216" s="31">
        <v>45814</v>
      </c>
      <c r="AE216" s="61">
        <v>0.49690972222222218</v>
      </c>
      <c r="AF216" t="s">
        <v>3463</v>
      </c>
      <c r="AH216" t="s">
        <v>3901</v>
      </c>
      <c r="AI216" t="s">
        <v>3871</v>
      </c>
      <c r="AQ216">
        <v>1</v>
      </c>
    </row>
    <row r="217" spans="1:43" x14ac:dyDescent="0.3">
      <c r="A217" t="s">
        <v>31</v>
      </c>
      <c r="B217">
        <v>395</v>
      </c>
      <c r="C217">
        <v>179</v>
      </c>
      <c r="D217">
        <v>2046</v>
      </c>
      <c r="G217" t="s">
        <v>3908</v>
      </c>
      <c r="H217">
        <v>21736169000184</v>
      </c>
      <c r="I217" t="s">
        <v>3546</v>
      </c>
      <c r="J217" t="s">
        <v>3909</v>
      </c>
      <c r="K217" t="s">
        <v>3547</v>
      </c>
      <c r="M217" t="s">
        <v>3548</v>
      </c>
      <c r="O217" t="s">
        <v>3549</v>
      </c>
      <c r="P217" t="s">
        <v>3550</v>
      </c>
      <c r="Q217" t="s">
        <v>874</v>
      </c>
      <c r="T217" t="s">
        <v>319</v>
      </c>
      <c r="U217" t="s">
        <v>3417</v>
      </c>
      <c r="W217">
        <v>3360</v>
      </c>
      <c r="X217">
        <v>7128</v>
      </c>
      <c r="Z217">
        <v>134</v>
      </c>
      <c r="AA217" s="31">
        <v>45796</v>
      </c>
      <c r="AB217" s="61">
        <v>0.46653935185185191</v>
      </c>
      <c r="AC217" t="s">
        <v>795</v>
      </c>
      <c r="AD217" s="31">
        <v>45930</v>
      </c>
      <c r="AE217" s="61">
        <v>0.38721064814814821</v>
      </c>
      <c r="AF217" t="s">
        <v>796</v>
      </c>
      <c r="AH217" t="s">
        <v>3910</v>
      </c>
      <c r="AI217" t="s">
        <v>1885</v>
      </c>
      <c r="AQ217">
        <v>1</v>
      </c>
    </row>
    <row r="218" spans="1:43" x14ac:dyDescent="0.3">
      <c r="A218" t="s">
        <v>31</v>
      </c>
      <c r="B218">
        <v>396</v>
      </c>
      <c r="C218">
        <v>211</v>
      </c>
      <c r="D218">
        <v>2047</v>
      </c>
      <c r="G218" t="s">
        <v>3911</v>
      </c>
      <c r="H218">
        <v>5691820000190</v>
      </c>
      <c r="I218" t="s">
        <v>3912</v>
      </c>
      <c r="J218" t="s">
        <v>1239</v>
      </c>
      <c r="K218" t="s">
        <v>3913</v>
      </c>
      <c r="M218" t="s">
        <v>3914</v>
      </c>
      <c r="O218" t="s">
        <v>3915</v>
      </c>
      <c r="P218" t="s">
        <v>1026</v>
      </c>
      <c r="Q218" t="s">
        <v>1027</v>
      </c>
      <c r="S218" t="s">
        <v>1718</v>
      </c>
      <c r="T218" t="s">
        <v>319</v>
      </c>
      <c r="U218" t="s">
        <v>816</v>
      </c>
      <c r="W218">
        <v>1123798</v>
      </c>
      <c r="X218">
        <v>1404</v>
      </c>
      <c r="Z218">
        <v>52</v>
      </c>
      <c r="AA218" s="31">
        <v>45796</v>
      </c>
      <c r="AB218" s="61">
        <v>0.6614930555555556</v>
      </c>
      <c r="AC218" t="s">
        <v>818</v>
      </c>
      <c r="AD218" s="31">
        <v>45848</v>
      </c>
      <c r="AE218" s="61">
        <v>0.37546296296296289</v>
      </c>
      <c r="AH218" t="s">
        <v>3916</v>
      </c>
      <c r="AI218" t="s">
        <v>1730</v>
      </c>
      <c r="AJ218" t="s">
        <v>3916</v>
      </c>
      <c r="AQ218">
        <v>1</v>
      </c>
    </row>
    <row r="219" spans="1:43" x14ac:dyDescent="0.3">
      <c r="A219" t="s">
        <v>31</v>
      </c>
      <c r="B219">
        <v>397</v>
      </c>
      <c r="C219">
        <v>149</v>
      </c>
      <c r="D219">
        <v>2048</v>
      </c>
      <c r="G219" t="s">
        <v>3644</v>
      </c>
      <c r="H219">
        <v>12418196000118</v>
      </c>
      <c r="I219" t="s">
        <v>3645</v>
      </c>
      <c r="J219" t="s">
        <v>3917</v>
      </c>
      <c r="K219" t="s">
        <v>3647</v>
      </c>
      <c r="M219" t="s">
        <v>3648</v>
      </c>
      <c r="O219" t="s">
        <v>778</v>
      </c>
      <c r="T219" t="s">
        <v>319</v>
      </c>
      <c r="U219" t="s">
        <v>3417</v>
      </c>
      <c r="W219">
        <v>1600</v>
      </c>
      <c r="X219">
        <v>1939757</v>
      </c>
      <c r="Z219">
        <v>17</v>
      </c>
      <c r="AA219" s="31">
        <v>45796</v>
      </c>
      <c r="AB219" s="61">
        <v>0.68685185185185182</v>
      </c>
      <c r="AC219" t="s">
        <v>795</v>
      </c>
      <c r="AD219" s="31">
        <v>45813</v>
      </c>
      <c r="AE219" s="61">
        <v>0.43167824074074068</v>
      </c>
      <c r="AF219" t="s">
        <v>934</v>
      </c>
      <c r="AH219" t="s">
        <v>3901</v>
      </c>
      <c r="AI219" t="s">
        <v>3900</v>
      </c>
      <c r="AQ219">
        <v>1</v>
      </c>
    </row>
    <row r="220" spans="1:43" x14ac:dyDescent="0.3">
      <c r="A220" t="s">
        <v>31</v>
      </c>
      <c r="B220">
        <v>398</v>
      </c>
      <c r="C220">
        <v>98</v>
      </c>
      <c r="D220">
        <v>2049</v>
      </c>
      <c r="G220" t="s">
        <v>3918</v>
      </c>
      <c r="I220" t="s">
        <v>604</v>
      </c>
      <c r="J220" t="s">
        <v>1243</v>
      </c>
      <c r="M220" t="s">
        <v>3295</v>
      </c>
      <c r="O220" t="s">
        <v>778</v>
      </c>
      <c r="T220" t="s">
        <v>319</v>
      </c>
      <c r="U220" t="s">
        <v>3417</v>
      </c>
      <c r="Z220">
        <v>14</v>
      </c>
      <c r="AA220" s="31">
        <v>45797</v>
      </c>
      <c r="AB220" s="61">
        <v>0.40790509259259261</v>
      </c>
      <c r="AC220" t="s">
        <v>795</v>
      </c>
      <c r="AD220" s="31">
        <v>45811</v>
      </c>
      <c r="AE220" s="61">
        <v>0.65237268518518521</v>
      </c>
      <c r="AF220" t="s">
        <v>796</v>
      </c>
      <c r="AH220" t="s">
        <v>3919</v>
      </c>
      <c r="AI220" t="s">
        <v>3920</v>
      </c>
      <c r="AQ220">
        <v>1</v>
      </c>
    </row>
    <row r="221" spans="1:43" x14ac:dyDescent="0.3">
      <c r="A221" t="s">
        <v>31</v>
      </c>
      <c r="B221">
        <v>399</v>
      </c>
      <c r="C221">
        <v>180</v>
      </c>
      <c r="D221">
        <v>2052</v>
      </c>
      <c r="G221" t="s">
        <v>3921</v>
      </c>
      <c r="H221">
        <v>7287290000226</v>
      </c>
      <c r="I221" t="s">
        <v>3561</v>
      </c>
      <c r="J221" t="s">
        <v>3922</v>
      </c>
      <c r="K221" t="s">
        <v>3563</v>
      </c>
      <c r="M221" t="s">
        <v>3564</v>
      </c>
      <c r="O221" t="s">
        <v>3565</v>
      </c>
      <c r="P221" t="s">
        <v>3566</v>
      </c>
      <c r="Q221" t="s">
        <v>790</v>
      </c>
      <c r="T221" t="s">
        <v>319</v>
      </c>
      <c r="U221" t="s">
        <v>816</v>
      </c>
      <c r="W221">
        <v>840</v>
      </c>
      <c r="X221">
        <v>0</v>
      </c>
      <c r="Z221">
        <v>0</v>
      </c>
      <c r="AA221" s="31">
        <v>45798</v>
      </c>
      <c r="AB221" s="61">
        <v>0.53145833333333337</v>
      </c>
      <c r="AC221" t="s">
        <v>818</v>
      </c>
      <c r="AD221" s="31">
        <v>45798</v>
      </c>
      <c r="AE221" s="61">
        <v>0.53222222222222226</v>
      </c>
      <c r="AH221" t="s">
        <v>3882</v>
      </c>
      <c r="AI221" t="s">
        <v>3920</v>
      </c>
      <c r="AQ221">
        <v>1</v>
      </c>
    </row>
    <row r="222" spans="1:43" x14ac:dyDescent="0.3">
      <c r="A222" t="s">
        <v>31</v>
      </c>
      <c r="B222">
        <v>400</v>
      </c>
      <c r="C222">
        <v>107</v>
      </c>
      <c r="D222">
        <v>2055</v>
      </c>
      <c r="G222" t="s">
        <v>3923</v>
      </c>
      <c r="H222">
        <v>7527737000297</v>
      </c>
      <c r="I222" t="s">
        <v>427</v>
      </c>
      <c r="J222" t="s">
        <v>914</v>
      </c>
      <c r="M222" t="s">
        <v>3320</v>
      </c>
      <c r="O222" t="s">
        <v>778</v>
      </c>
      <c r="S222" t="s">
        <v>1718</v>
      </c>
      <c r="T222" t="s">
        <v>319</v>
      </c>
      <c r="U222" t="s">
        <v>781</v>
      </c>
      <c r="Z222">
        <v>132</v>
      </c>
      <c r="AA222" s="31">
        <v>45799</v>
      </c>
      <c r="AB222" s="61">
        <v>0.39634259259259258</v>
      </c>
      <c r="AC222" t="s">
        <v>795</v>
      </c>
      <c r="AD222" s="31">
        <v>45931</v>
      </c>
      <c r="AE222" s="61">
        <v>0.70456018518518515</v>
      </c>
      <c r="AF222" t="s">
        <v>1358</v>
      </c>
      <c r="AI222" t="s">
        <v>3924</v>
      </c>
      <c r="AQ222">
        <v>1</v>
      </c>
    </row>
    <row r="223" spans="1:43" x14ac:dyDescent="0.3">
      <c r="A223" t="s">
        <v>31</v>
      </c>
      <c r="B223">
        <v>401</v>
      </c>
      <c r="C223">
        <v>103</v>
      </c>
      <c r="D223">
        <v>2056</v>
      </c>
      <c r="G223" t="s">
        <v>3925</v>
      </c>
      <c r="H223">
        <v>12549273000179</v>
      </c>
      <c r="I223" t="s">
        <v>3309</v>
      </c>
      <c r="J223" t="s">
        <v>1804</v>
      </c>
      <c r="M223" t="s">
        <v>3312</v>
      </c>
      <c r="O223" t="s">
        <v>3313</v>
      </c>
      <c r="P223" t="s">
        <v>1596</v>
      </c>
      <c r="Q223" t="s">
        <v>790</v>
      </c>
      <c r="T223" t="s">
        <v>319</v>
      </c>
      <c r="U223" t="s">
        <v>816</v>
      </c>
      <c r="W223">
        <v>3780</v>
      </c>
      <c r="X223">
        <v>0</v>
      </c>
      <c r="Z223">
        <v>13</v>
      </c>
      <c r="AA223" s="31">
        <v>45799</v>
      </c>
      <c r="AB223" s="61">
        <v>0.43107638888888888</v>
      </c>
      <c r="AC223" t="s">
        <v>818</v>
      </c>
      <c r="AD223" s="31">
        <v>45812</v>
      </c>
      <c r="AE223" s="61">
        <v>0.6988078703703704</v>
      </c>
      <c r="AH223" t="s">
        <v>3924</v>
      </c>
      <c r="AI223" t="s">
        <v>1726</v>
      </c>
      <c r="AQ223">
        <v>1</v>
      </c>
    </row>
    <row r="224" spans="1:43" x14ac:dyDescent="0.3">
      <c r="A224" t="s">
        <v>31</v>
      </c>
      <c r="B224">
        <v>402</v>
      </c>
      <c r="C224">
        <v>98</v>
      </c>
      <c r="D224">
        <v>2057</v>
      </c>
      <c r="G224" t="s">
        <v>3926</v>
      </c>
      <c r="I224" t="s">
        <v>604</v>
      </c>
      <c r="J224" t="s">
        <v>3927</v>
      </c>
      <c r="M224" t="s">
        <v>3295</v>
      </c>
      <c r="O224" t="s">
        <v>778</v>
      </c>
      <c r="T224" t="s">
        <v>319</v>
      </c>
      <c r="U224" t="s">
        <v>3417</v>
      </c>
      <c r="Z224">
        <v>1</v>
      </c>
      <c r="AA224" s="31">
        <v>45799</v>
      </c>
      <c r="AB224" s="61">
        <v>0.45256944444444452</v>
      </c>
      <c r="AC224" t="s">
        <v>795</v>
      </c>
      <c r="AD224" s="31">
        <v>45800</v>
      </c>
      <c r="AE224" s="61">
        <v>0.53533564814814816</v>
      </c>
      <c r="AF224" t="s">
        <v>1358</v>
      </c>
      <c r="AH224" t="s">
        <v>3924</v>
      </c>
      <c r="AI224" t="s">
        <v>1726</v>
      </c>
      <c r="AQ224">
        <v>1</v>
      </c>
    </row>
    <row r="225" spans="1:43" x14ac:dyDescent="0.3">
      <c r="A225" t="s">
        <v>31</v>
      </c>
      <c r="B225">
        <v>403</v>
      </c>
      <c r="C225">
        <v>76</v>
      </c>
      <c r="D225">
        <v>2059</v>
      </c>
      <c r="G225" t="s">
        <v>3928</v>
      </c>
      <c r="I225" t="s">
        <v>225</v>
      </c>
      <c r="J225" t="s">
        <v>3691</v>
      </c>
      <c r="K225" t="s">
        <v>3623</v>
      </c>
      <c r="M225" t="s">
        <v>3233</v>
      </c>
      <c r="O225" t="s">
        <v>778</v>
      </c>
      <c r="P225" t="s">
        <v>3234</v>
      </c>
      <c r="Q225" t="s">
        <v>1699</v>
      </c>
      <c r="T225" t="s">
        <v>319</v>
      </c>
      <c r="U225" t="s">
        <v>816</v>
      </c>
      <c r="W225">
        <v>1680</v>
      </c>
      <c r="X225">
        <v>0</v>
      </c>
      <c r="Z225">
        <v>0</v>
      </c>
      <c r="AA225" s="31">
        <v>45804</v>
      </c>
      <c r="AB225" s="61">
        <v>0.78116898148148151</v>
      </c>
      <c r="AC225" t="s">
        <v>818</v>
      </c>
      <c r="AD225" s="31">
        <v>45804</v>
      </c>
      <c r="AE225" s="61">
        <v>0.78571759259259255</v>
      </c>
      <c r="AH225" t="s">
        <v>3929</v>
      </c>
      <c r="AI225" t="s">
        <v>3929</v>
      </c>
      <c r="AQ225">
        <v>1</v>
      </c>
    </row>
    <row r="226" spans="1:43" x14ac:dyDescent="0.3">
      <c r="A226" t="s">
        <v>31</v>
      </c>
      <c r="B226">
        <v>404</v>
      </c>
      <c r="C226">
        <v>107</v>
      </c>
      <c r="D226">
        <v>2060</v>
      </c>
      <c r="G226" t="s">
        <v>3930</v>
      </c>
      <c r="H226">
        <v>7527737000297</v>
      </c>
      <c r="I226" t="s">
        <v>427</v>
      </c>
      <c r="J226" t="s">
        <v>914</v>
      </c>
      <c r="M226" t="s">
        <v>3320</v>
      </c>
      <c r="O226" t="s">
        <v>778</v>
      </c>
      <c r="T226" t="s">
        <v>319</v>
      </c>
      <c r="U226" t="s">
        <v>781</v>
      </c>
      <c r="Z226">
        <v>127</v>
      </c>
      <c r="AA226" s="31">
        <v>45804</v>
      </c>
      <c r="AB226" s="61">
        <v>0.79291666666666671</v>
      </c>
      <c r="AC226" t="s">
        <v>795</v>
      </c>
      <c r="AD226" s="31">
        <v>45931</v>
      </c>
      <c r="AE226" s="61">
        <v>0.70349537037037035</v>
      </c>
      <c r="AF226" t="s">
        <v>3463</v>
      </c>
      <c r="AQ226">
        <v>1</v>
      </c>
    </row>
    <row r="227" spans="1:43" x14ac:dyDescent="0.3">
      <c r="A227" t="s">
        <v>31</v>
      </c>
      <c r="B227">
        <v>411</v>
      </c>
      <c r="C227">
        <v>103</v>
      </c>
      <c r="D227">
        <v>2074</v>
      </c>
      <c r="G227" t="s">
        <v>3931</v>
      </c>
      <c r="H227">
        <v>12549273000179</v>
      </c>
      <c r="I227" t="s">
        <v>3309</v>
      </c>
      <c r="J227" t="s">
        <v>3932</v>
      </c>
      <c r="K227" t="s">
        <v>3933</v>
      </c>
      <c r="M227" t="s">
        <v>3312</v>
      </c>
      <c r="O227" t="s">
        <v>3313</v>
      </c>
      <c r="P227" t="s">
        <v>1596</v>
      </c>
      <c r="Q227" t="s">
        <v>790</v>
      </c>
      <c r="S227" t="s">
        <v>1718</v>
      </c>
      <c r="T227" t="s">
        <v>319</v>
      </c>
      <c r="U227" t="s">
        <v>3417</v>
      </c>
      <c r="W227">
        <v>420</v>
      </c>
      <c r="X227">
        <v>3564</v>
      </c>
      <c r="Z227">
        <v>29</v>
      </c>
      <c r="AA227" s="31">
        <v>45805</v>
      </c>
      <c r="AB227" s="61">
        <v>0.45006944444444452</v>
      </c>
      <c r="AC227" t="s">
        <v>795</v>
      </c>
      <c r="AD227" s="31">
        <v>45834</v>
      </c>
      <c r="AE227" s="61">
        <v>0.66600694444444442</v>
      </c>
      <c r="AF227" t="s">
        <v>3463</v>
      </c>
      <c r="AH227" t="s">
        <v>3934</v>
      </c>
      <c r="AI227" t="s">
        <v>3934</v>
      </c>
      <c r="AQ227">
        <v>1</v>
      </c>
    </row>
    <row r="228" spans="1:43" x14ac:dyDescent="0.3">
      <c r="A228" t="s">
        <v>31</v>
      </c>
      <c r="B228">
        <v>414</v>
      </c>
      <c r="C228">
        <v>187</v>
      </c>
      <c r="D228">
        <v>2102</v>
      </c>
      <c r="G228" t="s">
        <v>3935</v>
      </c>
      <c r="H228">
        <v>17063632000105</v>
      </c>
      <c r="I228" t="s">
        <v>3631</v>
      </c>
      <c r="J228" t="s">
        <v>3936</v>
      </c>
      <c r="K228" t="s">
        <v>3633</v>
      </c>
      <c r="M228" t="s">
        <v>3634</v>
      </c>
      <c r="O228" t="s">
        <v>3635</v>
      </c>
      <c r="P228" t="s">
        <v>3636</v>
      </c>
      <c r="Q228" t="s">
        <v>1699</v>
      </c>
      <c r="T228" t="s">
        <v>319</v>
      </c>
      <c r="U228" t="s">
        <v>3417</v>
      </c>
      <c r="W228">
        <v>4200</v>
      </c>
      <c r="X228">
        <v>0</v>
      </c>
      <c r="Z228">
        <v>5</v>
      </c>
      <c r="AA228" s="31">
        <v>45806</v>
      </c>
      <c r="AB228" s="61">
        <v>0.6139930555555555</v>
      </c>
      <c r="AC228" t="s">
        <v>795</v>
      </c>
      <c r="AD228" s="31">
        <v>45811</v>
      </c>
      <c r="AE228" s="61">
        <v>0.64604166666666663</v>
      </c>
      <c r="AF228" t="s">
        <v>796</v>
      </c>
      <c r="AH228" t="s">
        <v>3937</v>
      </c>
      <c r="AQ228">
        <v>1</v>
      </c>
    </row>
    <row r="229" spans="1:43" x14ac:dyDescent="0.3">
      <c r="A229" t="s">
        <v>31</v>
      </c>
      <c r="B229">
        <v>418</v>
      </c>
      <c r="C229">
        <v>196</v>
      </c>
      <c r="D229">
        <v>2143</v>
      </c>
      <c r="G229" t="s">
        <v>488</v>
      </c>
      <c r="H229">
        <v>32494222000102</v>
      </c>
      <c r="I229" t="s">
        <v>3715</v>
      </c>
      <c r="J229" t="s">
        <v>3716</v>
      </c>
      <c r="K229" t="s">
        <v>3717</v>
      </c>
      <c r="M229" t="s">
        <v>3718</v>
      </c>
      <c r="O229" t="s">
        <v>3719</v>
      </c>
      <c r="P229" t="s">
        <v>3720</v>
      </c>
      <c r="Q229" t="s">
        <v>790</v>
      </c>
      <c r="T229" t="s">
        <v>319</v>
      </c>
      <c r="U229" t="s">
        <v>3417</v>
      </c>
      <c r="W229">
        <v>1600</v>
      </c>
      <c r="X229">
        <v>252621</v>
      </c>
      <c r="Z229">
        <v>4</v>
      </c>
      <c r="AA229" s="31">
        <v>45807</v>
      </c>
      <c r="AB229" s="61">
        <v>0.49321759259259262</v>
      </c>
      <c r="AC229" t="s">
        <v>795</v>
      </c>
      <c r="AD229" s="31">
        <v>45811</v>
      </c>
      <c r="AE229" s="61">
        <v>0.65384259259259259</v>
      </c>
      <c r="AF229" t="s">
        <v>3463</v>
      </c>
      <c r="AH229" t="s">
        <v>1590</v>
      </c>
      <c r="AI229" t="s">
        <v>1590</v>
      </c>
      <c r="AQ229">
        <v>1</v>
      </c>
    </row>
    <row r="230" spans="1:43" x14ac:dyDescent="0.3">
      <c r="A230" t="s">
        <v>31</v>
      </c>
      <c r="B230">
        <v>420</v>
      </c>
      <c r="C230">
        <v>73</v>
      </c>
      <c r="D230">
        <v>2145</v>
      </c>
      <c r="G230" t="s">
        <v>3938</v>
      </c>
      <c r="I230" t="s">
        <v>3218</v>
      </c>
      <c r="J230" t="s">
        <v>1474</v>
      </c>
      <c r="K230" t="s">
        <v>3939</v>
      </c>
      <c r="M230" t="s">
        <v>3220</v>
      </c>
      <c r="O230" t="s">
        <v>778</v>
      </c>
      <c r="T230" t="s">
        <v>319</v>
      </c>
      <c r="U230" t="s">
        <v>3417</v>
      </c>
      <c r="W230">
        <v>3024</v>
      </c>
      <c r="X230">
        <v>3564</v>
      </c>
      <c r="Z230">
        <v>7</v>
      </c>
      <c r="AA230" s="31">
        <v>45807</v>
      </c>
      <c r="AB230" s="61">
        <v>0.59365740740740736</v>
      </c>
      <c r="AC230" t="s">
        <v>795</v>
      </c>
      <c r="AD230" s="31">
        <v>45814</v>
      </c>
      <c r="AE230" s="61">
        <v>0.47375</v>
      </c>
      <c r="AF230" t="s">
        <v>796</v>
      </c>
      <c r="AH230" t="s">
        <v>3940</v>
      </c>
      <c r="AI230" t="s">
        <v>3940</v>
      </c>
      <c r="AQ230">
        <v>1</v>
      </c>
    </row>
    <row r="231" spans="1:43" x14ac:dyDescent="0.3">
      <c r="A231" t="s">
        <v>31</v>
      </c>
      <c r="B231">
        <v>421</v>
      </c>
      <c r="C231">
        <v>148</v>
      </c>
      <c r="D231">
        <v>531</v>
      </c>
      <c r="G231" t="s">
        <v>3941</v>
      </c>
      <c r="H231">
        <v>8530284000130</v>
      </c>
      <c r="I231" t="s">
        <v>3555</v>
      </c>
      <c r="J231" t="s">
        <v>2927</v>
      </c>
      <c r="K231" t="s">
        <v>3942</v>
      </c>
      <c r="M231" t="s">
        <v>3557</v>
      </c>
      <c r="O231" t="s">
        <v>778</v>
      </c>
      <c r="T231" t="s">
        <v>319</v>
      </c>
      <c r="U231" t="s">
        <v>816</v>
      </c>
      <c r="W231">
        <v>714</v>
      </c>
      <c r="X231">
        <v>32076</v>
      </c>
      <c r="Z231">
        <v>7</v>
      </c>
      <c r="AA231" s="31">
        <v>45807</v>
      </c>
      <c r="AB231" s="61">
        <v>0.61069444444444443</v>
      </c>
      <c r="AC231" t="s">
        <v>818</v>
      </c>
      <c r="AD231" s="31">
        <v>45814</v>
      </c>
      <c r="AE231" s="61">
        <v>0.70561342592592591</v>
      </c>
      <c r="AH231" t="s">
        <v>3916</v>
      </c>
      <c r="AI231" t="s">
        <v>3940</v>
      </c>
      <c r="AQ231">
        <v>1</v>
      </c>
    </row>
    <row r="232" spans="1:43" x14ac:dyDescent="0.3">
      <c r="A232" t="s">
        <v>31</v>
      </c>
      <c r="B232">
        <v>424</v>
      </c>
      <c r="C232">
        <v>122</v>
      </c>
      <c r="D232">
        <v>2180</v>
      </c>
      <c r="G232" t="s">
        <v>3865</v>
      </c>
      <c r="I232" t="s">
        <v>680</v>
      </c>
      <c r="J232" t="s">
        <v>680</v>
      </c>
      <c r="K232" t="s">
        <v>3867</v>
      </c>
      <c r="M232" t="s">
        <v>3351</v>
      </c>
      <c r="O232" t="s">
        <v>778</v>
      </c>
      <c r="T232" t="s">
        <v>319</v>
      </c>
      <c r="U232" t="s">
        <v>816</v>
      </c>
      <c r="W232">
        <v>2000</v>
      </c>
      <c r="X232">
        <v>0</v>
      </c>
      <c r="Z232">
        <v>0</v>
      </c>
      <c r="AA232" s="31">
        <v>45812</v>
      </c>
      <c r="AB232" s="61">
        <v>0.68781250000000005</v>
      </c>
      <c r="AC232" t="s">
        <v>818</v>
      </c>
      <c r="AD232" s="31">
        <v>45812</v>
      </c>
      <c r="AE232" s="61">
        <v>0.69079861111111107</v>
      </c>
      <c r="AH232" t="s">
        <v>3943</v>
      </c>
      <c r="AQ232">
        <v>1</v>
      </c>
    </row>
    <row r="233" spans="1:43" x14ac:dyDescent="0.3">
      <c r="A233" t="s">
        <v>31</v>
      </c>
      <c r="B233">
        <v>427</v>
      </c>
      <c r="C233">
        <v>115</v>
      </c>
      <c r="D233">
        <v>2188</v>
      </c>
      <c r="G233" t="s">
        <v>3944</v>
      </c>
      <c r="I233" t="s">
        <v>3333</v>
      </c>
      <c r="J233" t="s">
        <v>3945</v>
      </c>
      <c r="K233" t="s">
        <v>3526</v>
      </c>
      <c r="M233" t="s">
        <v>3334</v>
      </c>
      <c r="O233" t="s">
        <v>778</v>
      </c>
      <c r="T233" t="s">
        <v>319</v>
      </c>
      <c r="U233" t="s">
        <v>3417</v>
      </c>
      <c r="Z233">
        <v>8</v>
      </c>
      <c r="AA233" s="31">
        <v>45813</v>
      </c>
      <c r="AB233" s="61">
        <v>0.61968749999999995</v>
      </c>
      <c r="AC233" t="s">
        <v>795</v>
      </c>
      <c r="AD233" s="31">
        <v>45821</v>
      </c>
      <c r="AE233" s="61">
        <v>0.69953703703703707</v>
      </c>
      <c r="AF233" t="s">
        <v>934</v>
      </c>
      <c r="AH233" t="s">
        <v>1854</v>
      </c>
      <c r="AI233" t="s">
        <v>3946</v>
      </c>
      <c r="AQ233">
        <v>1</v>
      </c>
    </row>
    <row r="234" spans="1:43" x14ac:dyDescent="0.3">
      <c r="A234" t="s">
        <v>31</v>
      </c>
      <c r="B234">
        <v>429</v>
      </c>
      <c r="C234">
        <v>119</v>
      </c>
      <c r="D234">
        <v>2191</v>
      </c>
      <c r="G234" t="s">
        <v>3947</v>
      </c>
      <c r="I234" t="s">
        <v>608</v>
      </c>
      <c r="J234" t="s">
        <v>844</v>
      </c>
      <c r="K234" t="s">
        <v>3948</v>
      </c>
      <c r="M234" t="s">
        <v>3345</v>
      </c>
      <c r="O234" t="s">
        <v>778</v>
      </c>
      <c r="S234" t="s">
        <v>1419</v>
      </c>
      <c r="T234" t="s">
        <v>319</v>
      </c>
      <c r="U234" t="s">
        <v>3417</v>
      </c>
      <c r="W234">
        <v>26200</v>
      </c>
      <c r="X234">
        <v>3400</v>
      </c>
      <c r="Z234">
        <v>102</v>
      </c>
      <c r="AA234" s="31">
        <v>45814</v>
      </c>
      <c r="AB234" s="61">
        <v>0.59260416666666671</v>
      </c>
      <c r="AC234" t="s">
        <v>795</v>
      </c>
      <c r="AD234" s="31">
        <v>45916</v>
      </c>
      <c r="AE234" s="61">
        <v>0.50366898148148154</v>
      </c>
      <c r="AF234" t="s">
        <v>934</v>
      </c>
      <c r="AQ234">
        <v>1</v>
      </c>
    </row>
    <row r="235" spans="1:43" x14ac:dyDescent="0.3">
      <c r="A235" t="s">
        <v>31</v>
      </c>
      <c r="B235">
        <v>430</v>
      </c>
      <c r="C235">
        <v>134</v>
      </c>
      <c r="D235">
        <v>2192</v>
      </c>
      <c r="G235" t="s">
        <v>3949</v>
      </c>
      <c r="I235" t="s">
        <v>3377</v>
      </c>
      <c r="J235" t="s">
        <v>3950</v>
      </c>
      <c r="K235" t="s">
        <v>3830</v>
      </c>
      <c r="M235" t="s">
        <v>3379</v>
      </c>
      <c r="O235" t="s">
        <v>778</v>
      </c>
      <c r="S235" t="s">
        <v>1419</v>
      </c>
      <c r="T235" t="s">
        <v>319</v>
      </c>
      <c r="U235" t="s">
        <v>3417</v>
      </c>
      <c r="W235">
        <v>0</v>
      </c>
      <c r="X235">
        <v>2016</v>
      </c>
      <c r="Z235">
        <v>81</v>
      </c>
      <c r="AA235" s="31">
        <v>45814</v>
      </c>
      <c r="AB235" s="61">
        <v>0.61868055555555557</v>
      </c>
      <c r="AC235" t="s">
        <v>795</v>
      </c>
      <c r="AD235" s="31">
        <v>45895</v>
      </c>
      <c r="AE235" s="61">
        <v>0.63534722222222217</v>
      </c>
      <c r="AF235" t="s">
        <v>934</v>
      </c>
      <c r="AH235" t="s">
        <v>3951</v>
      </c>
      <c r="AI235" t="s">
        <v>3951</v>
      </c>
      <c r="AQ235">
        <v>1</v>
      </c>
    </row>
    <row r="236" spans="1:43" x14ac:dyDescent="0.3">
      <c r="A236" t="s">
        <v>31</v>
      </c>
      <c r="B236">
        <v>432</v>
      </c>
      <c r="C236">
        <v>211</v>
      </c>
      <c r="D236">
        <v>2196</v>
      </c>
      <c r="G236" t="s">
        <v>3952</v>
      </c>
      <c r="H236">
        <v>5691820000190</v>
      </c>
      <c r="I236" t="s">
        <v>3912</v>
      </c>
      <c r="J236" t="s">
        <v>3953</v>
      </c>
      <c r="K236" t="s">
        <v>3913</v>
      </c>
      <c r="M236" t="s">
        <v>3914</v>
      </c>
      <c r="O236" t="s">
        <v>3915</v>
      </c>
      <c r="P236" t="s">
        <v>1026</v>
      </c>
      <c r="Q236" t="s">
        <v>1027</v>
      </c>
      <c r="T236" t="s">
        <v>319</v>
      </c>
      <c r="U236" t="s">
        <v>3417</v>
      </c>
      <c r="W236">
        <v>58143</v>
      </c>
      <c r="X236">
        <v>0</v>
      </c>
      <c r="Z236">
        <v>3</v>
      </c>
      <c r="AA236" s="31">
        <v>45818</v>
      </c>
      <c r="AB236" s="61">
        <v>0.52453703703703702</v>
      </c>
      <c r="AC236" t="s">
        <v>795</v>
      </c>
      <c r="AD236" s="31">
        <v>45821</v>
      </c>
      <c r="AE236" s="61">
        <v>0.46098379629629632</v>
      </c>
      <c r="AF236" t="s">
        <v>3463</v>
      </c>
      <c r="AH236" t="s">
        <v>3954</v>
      </c>
      <c r="AQ236">
        <v>1</v>
      </c>
    </row>
    <row r="237" spans="1:43" x14ac:dyDescent="0.3">
      <c r="A237" t="s">
        <v>31</v>
      </c>
      <c r="B237">
        <v>436</v>
      </c>
      <c r="C237">
        <v>207</v>
      </c>
      <c r="D237">
        <v>2201</v>
      </c>
      <c r="G237" t="s">
        <v>3955</v>
      </c>
      <c r="H237">
        <v>43609706000168</v>
      </c>
      <c r="I237" t="s">
        <v>3839</v>
      </c>
      <c r="J237" t="s">
        <v>3956</v>
      </c>
      <c r="K237" t="s">
        <v>3840</v>
      </c>
      <c r="M237" t="s">
        <v>3841</v>
      </c>
      <c r="O237" t="s">
        <v>3842</v>
      </c>
      <c r="P237" t="s">
        <v>3843</v>
      </c>
      <c r="Q237" t="s">
        <v>932</v>
      </c>
      <c r="S237" t="s">
        <v>1419</v>
      </c>
      <c r="T237" t="s">
        <v>319</v>
      </c>
      <c r="U237" t="s">
        <v>3417</v>
      </c>
      <c r="W237">
        <v>7140</v>
      </c>
      <c r="X237">
        <v>0</v>
      </c>
      <c r="Z237">
        <v>12</v>
      </c>
      <c r="AA237" s="31">
        <v>45820</v>
      </c>
      <c r="AB237" s="61">
        <v>0.70355324074074077</v>
      </c>
      <c r="AC237" t="s">
        <v>795</v>
      </c>
      <c r="AD237" s="31">
        <v>45832</v>
      </c>
      <c r="AE237" s="61">
        <v>0.64807870370370368</v>
      </c>
      <c r="AF237" t="s">
        <v>934</v>
      </c>
      <c r="AH237" t="s">
        <v>3957</v>
      </c>
      <c r="AI237" t="s">
        <v>3957</v>
      </c>
      <c r="AQ237">
        <v>1</v>
      </c>
    </row>
    <row r="238" spans="1:43" x14ac:dyDescent="0.3">
      <c r="A238" t="s">
        <v>31</v>
      </c>
      <c r="B238">
        <v>437</v>
      </c>
      <c r="C238">
        <v>147</v>
      </c>
      <c r="D238">
        <v>2202</v>
      </c>
      <c r="G238" t="s">
        <v>3958</v>
      </c>
      <c r="H238">
        <v>7964558000136</v>
      </c>
      <c r="I238" t="s">
        <v>3430</v>
      </c>
      <c r="J238" t="s">
        <v>3959</v>
      </c>
      <c r="K238" t="s">
        <v>3515</v>
      </c>
      <c r="M238" t="s">
        <v>3433</v>
      </c>
      <c r="O238" t="s">
        <v>778</v>
      </c>
      <c r="S238" t="s">
        <v>1718</v>
      </c>
      <c r="T238" t="s">
        <v>319</v>
      </c>
      <c r="U238" t="s">
        <v>3417</v>
      </c>
      <c r="W238">
        <v>420</v>
      </c>
      <c r="X238">
        <v>3564</v>
      </c>
      <c r="Z238">
        <v>52</v>
      </c>
      <c r="AA238" s="31">
        <v>45821</v>
      </c>
      <c r="AB238" s="61">
        <v>0.42613425925925918</v>
      </c>
      <c r="AC238" t="s">
        <v>795</v>
      </c>
      <c r="AD238" s="31">
        <v>45873</v>
      </c>
      <c r="AE238" s="61">
        <v>0.72765046296296299</v>
      </c>
      <c r="AF238" t="s">
        <v>1358</v>
      </c>
      <c r="AH238" t="s">
        <v>3960</v>
      </c>
      <c r="AI238" t="s">
        <v>3960</v>
      </c>
      <c r="AQ238">
        <v>1</v>
      </c>
    </row>
    <row r="239" spans="1:43" x14ac:dyDescent="0.3">
      <c r="A239" t="s">
        <v>31</v>
      </c>
      <c r="B239">
        <v>438</v>
      </c>
      <c r="C239">
        <v>182</v>
      </c>
      <c r="D239">
        <v>2203</v>
      </c>
      <c r="G239" t="s">
        <v>3961</v>
      </c>
      <c r="H239">
        <v>23873456000161</v>
      </c>
      <c r="I239" t="s">
        <v>3573</v>
      </c>
      <c r="J239" t="s">
        <v>3962</v>
      </c>
      <c r="K239" t="s">
        <v>3575</v>
      </c>
      <c r="M239" t="s">
        <v>3576</v>
      </c>
      <c r="O239" t="s">
        <v>3577</v>
      </c>
      <c r="P239" t="s">
        <v>1837</v>
      </c>
      <c r="Q239" t="s">
        <v>790</v>
      </c>
      <c r="S239" t="s">
        <v>1718</v>
      </c>
      <c r="T239" t="s">
        <v>319</v>
      </c>
      <c r="U239" t="s">
        <v>3417</v>
      </c>
      <c r="W239">
        <v>420</v>
      </c>
      <c r="X239">
        <v>3564</v>
      </c>
      <c r="Z239">
        <v>10</v>
      </c>
      <c r="AA239" s="31">
        <v>45821</v>
      </c>
      <c r="AB239" s="61">
        <v>0.46237268518518521</v>
      </c>
      <c r="AC239" t="s">
        <v>795</v>
      </c>
      <c r="AD239" s="31">
        <v>45831</v>
      </c>
      <c r="AE239" s="61">
        <v>0.44872685185185179</v>
      </c>
      <c r="AF239" t="s">
        <v>934</v>
      </c>
      <c r="AH239" t="s">
        <v>3960</v>
      </c>
      <c r="AI239" t="s">
        <v>3960</v>
      </c>
      <c r="AQ239">
        <v>1</v>
      </c>
    </row>
    <row r="240" spans="1:43" x14ac:dyDescent="0.3">
      <c r="A240" t="s">
        <v>31</v>
      </c>
      <c r="B240">
        <v>439</v>
      </c>
      <c r="C240">
        <v>149</v>
      </c>
      <c r="D240">
        <v>2204</v>
      </c>
      <c r="G240" t="s">
        <v>3963</v>
      </c>
      <c r="H240">
        <v>12418196000118</v>
      </c>
      <c r="I240" t="s">
        <v>3645</v>
      </c>
      <c r="J240" t="s">
        <v>3688</v>
      </c>
      <c r="K240" t="s">
        <v>3647</v>
      </c>
      <c r="M240" t="s">
        <v>3648</v>
      </c>
      <c r="O240" t="s">
        <v>778</v>
      </c>
      <c r="S240" t="s">
        <v>1718</v>
      </c>
      <c r="T240" t="s">
        <v>319</v>
      </c>
      <c r="U240" t="s">
        <v>3606</v>
      </c>
      <c r="Z240">
        <v>13</v>
      </c>
      <c r="AA240" s="31">
        <v>45821</v>
      </c>
      <c r="AB240" s="61">
        <v>0.46744212962962961</v>
      </c>
      <c r="AC240" t="s">
        <v>795</v>
      </c>
      <c r="AD240" s="31">
        <v>45834</v>
      </c>
      <c r="AE240" s="61">
        <v>0.66707175925925921</v>
      </c>
      <c r="AF240" t="s">
        <v>3463</v>
      </c>
      <c r="AI240" t="s">
        <v>3960</v>
      </c>
      <c r="AQ240">
        <v>1</v>
      </c>
    </row>
    <row r="241" spans="1:43" x14ac:dyDescent="0.3">
      <c r="A241" t="s">
        <v>31</v>
      </c>
      <c r="B241">
        <v>440</v>
      </c>
      <c r="C241">
        <v>212</v>
      </c>
      <c r="D241">
        <v>2205</v>
      </c>
      <c r="G241" t="s">
        <v>3964</v>
      </c>
      <c r="H241">
        <v>54984976000175</v>
      </c>
      <c r="I241" t="s">
        <v>3965</v>
      </c>
      <c r="J241" t="s">
        <v>3966</v>
      </c>
      <c r="K241" t="s">
        <v>3967</v>
      </c>
      <c r="M241" t="s">
        <v>3968</v>
      </c>
      <c r="O241" t="s">
        <v>3969</v>
      </c>
      <c r="P241" t="s">
        <v>1094</v>
      </c>
      <c r="Q241" t="s">
        <v>790</v>
      </c>
      <c r="S241" t="s">
        <v>1718</v>
      </c>
      <c r="T241" t="s">
        <v>319</v>
      </c>
      <c r="U241" t="s">
        <v>816</v>
      </c>
      <c r="W241">
        <v>420</v>
      </c>
      <c r="X241">
        <v>3564</v>
      </c>
      <c r="Z241">
        <v>10</v>
      </c>
      <c r="AA241" s="31">
        <v>45821</v>
      </c>
      <c r="AB241" s="61">
        <v>0.48508101851851848</v>
      </c>
      <c r="AC241" t="s">
        <v>795</v>
      </c>
      <c r="AD241" s="31">
        <v>45831</v>
      </c>
      <c r="AE241" s="61">
        <v>0.39015046296296302</v>
      </c>
      <c r="AF241" t="s">
        <v>934</v>
      </c>
      <c r="AH241" t="s">
        <v>3960</v>
      </c>
      <c r="AI241" t="s">
        <v>3960</v>
      </c>
      <c r="AQ241">
        <v>1</v>
      </c>
    </row>
    <row r="242" spans="1:43" x14ac:dyDescent="0.3">
      <c r="A242" t="s">
        <v>31</v>
      </c>
      <c r="B242">
        <v>442</v>
      </c>
      <c r="C242">
        <v>85</v>
      </c>
      <c r="D242">
        <v>2207</v>
      </c>
      <c r="G242" t="s">
        <v>3970</v>
      </c>
      <c r="I242" t="s">
        <v>3261</v>
      </c>
      <c r="J242" t="s">
        <v>3971</v>
      </c>
      <c r="K242" t="s">
        <v>3972</v>
      </c>
      <c r="M242" t="s">
        <v>3263</v>
      </c>
      <c r="O242" t="s">
        <v>778</v>
      </c>
      <c r="P242" t="s">
        <v>3264</v>
      </c>
      <c r="T242" t="s">
        <v>319</v>
      </c>
      <c r="U242" t="s">
        <v>3417</v>
      </c>
      <c r="W242">
        <v>420</v>
      </c>
      <c r="X242">
        <v>3564</v>
      </c>
      <c r="Z242">
        <v>71</v>
      </c>
      <c r="AA242" s="31">
        <v>45824</v>
      </c>
      <c r="AB242" s="61">
        <v>0.40819444444444453</v>
      </c>
      <c r="AC242" t="s">
        <v>795</v>
      </c>
      <c r="AD242" s="31">
        <v>45895</v>
      </c>
      <c r="AE242" s="61">
        <v>0.62921296296296292</v>
      </c>
      <c r="AF242" t="s">
        <v>3463</v>
      </c>
      <c r="AH242" t="s">
        <v>1769</v>
      </c>
      <c r="AI242" t="s">
        <v>3973</v>
      </c>
      <c r="AQ242">
        <v>1</v>
      </c>
    </row>
    <row r="243" spans="1:43" x14ac:dyDescent="0.3">
      <c r="A243" t="s">
        <v>31</v>
      </c>
      <c r="B243">
        <v>443</v>
      </c>
      <c r="C243">
        <v>108</v>
      </c>
      <c r="D243">
        <v>2208</v>
      </c>
      <c r="G243" t="s">
        <v>3974</v>
      </c>
      <c r="I243" t="s">
        <v>3321</v>
      </c>
      <c r="J243" t="s">
        <v>3975</v>
      </c>
      <c r="M243" t="s">
        <v>3322</v>
      </c>
      <c r="O243" t="s">
        <v>778</v>
      </c>
      <c r="T243" t="s">
        <v>319</v>
      </c>
      <c r="U243" t="s">
        <v>3417</v>
      </c>
      <c r="W243">
        <v>420</v>
      </c>
      <c r="X243">
        <v>3564</v>
      </c>
      <c r="Z243">
        <v>2</v>
      </c>
      <c r="AA243" s="31">
        <v>45824</v>
      </c>
      <c r="AB243" s="61">
        <v>0.47565972222222219</v>
      </c>
      <c r="AC243" t="s">
        <v>795</v>
      </c>
      <c r="AD243" s="31">
        <v>45826</v>
      </c>
      <c r="AE243" s="61">
        <v>0.72990740740740745</v>
      </c>
      <c r="AF243" t="s">
        <v>3463</v>
      </c>
      <c r="AH243" t="s">
        <v>3973</v>
      </c>
      <c r="AI243" t="s">
        <v>3973</v>
      </c>
      <c r="AQ243">
        <v>1</v>
      </c>
    </row>
    <row r="244" spans="1:43" x14ac:dyDescent="0.3">
      <c r="A244" t="s">
        <v>31</v>
      </c>
      <c r="B244">
        <v>444</v>
      </c>
      <c r="C244">
        <v>137</v>
      </c>
      <c r="D244">
        <v>2209</v>
      </c>
      <c r="G244" t="s">
        <v>3976</v>
      </c>
      <c r="I244" t="s">
        <v>116</v>
      </c>
      <c r="J244" t="s">
        <v>704</v>
      </c>
      <c r="K244" t="s">
        <v>3703</v>
      </c>
      <c r="M244" t="s">
        <v>3386</v>
      </c>
      <c r="O244" t="s">
        <v>778</v>
      </c>
      <c r="T244" t="s">
        <v>319</v>
      </c>
      <c r="U244" t="s">
        <v>3417</v>
      </c>
      <c r="W244">
        <v>420</v>
      </c>
      <c r="X244">
        <v>3564</v>
      </c>
      <c r="Z244">
        <v>9</v>
      </c>
      <c r="AA244" s="31">
        <v>45824</v>
      </c>
      <c r="AB244" s="61">
        <v>0.48714120370370367</v>
      </c>
      <c r="AC244" t="s">
        <v>795</v>
      </c>
      <c r="AD244" s="31">
        <v>45833</v>
      </c>
      <c r="AE244" s="61">
        <v>0.46094907407407409</v>
      </c>
      <c r="AF244" t="s">
        <v>934</v>
      </c>
      <c r="AH244" t="s">
        <v>3973</v>
      </c>
      <c r="AI244" t="s">
        <v>3973</v>
      </c>
      <c r="AQ244">
        <v>1</v>
      </c>
    </row>
    <row r="245" spans="1:43" x14ac:dyDescent="0.3">
      <c r="A245" t="s">
        <v>31</v>
      </c>
      <c r="B245">
        <v>445</v>
      </c>
      <c r="C245">
        <v>116</v>
      </c>
      <c r="D245">
        <v>2211</v>
      </c>
      <c r="G245" t="s">
        <v>3977</v>
      </c>
      <c r="I245" t="s">
        <v>3335</v>
      </c>
      <c r="J245" t="s">
        <v>3978</v>
      </c>
      <c r="K245" t="s">
        <v>3979</v>
      </c>
      <c r="M245" t="s">
        <v>3337</v>
      </c>
      <c r="O245" t="s">
        <v>778</v>
      </c>
      <c r="P245" t="s">
        <v>3338</v>
      </c>
      <c r="Q245" t="s">
        <v>3339</v>
      </c>
      <c r="T245" t="s">
        <v>319</v>
      </c>
      <c r="U245" t="s">
        <v>816</v>
      </c>
      <c r="W245">
        <v>420</v>
      </c>
      <c r="X245">
        <v>3564</v>
      </c>
      <c r="Z245">
        <v>39</v>
      </c>
      <c r="AA245" s="31">
        <v>45824</v>
      </c>
      <c r="AB245" s="61">
        <v>0.61697916666666663</v>
      </c>
      <c r="AC245" t="s">
        <v>795</v>
      </c>
      <c r="AD245" s="31">
        <v>45863</v>
      </c>
      <c r="AE245" s="61">
        <v>0.61900462962962965</v>
      </c>
      <c r="AF245" t="s">
        <v>934</v>
      </c>
      <c r="AH245" t="s">
        <v>3973</v>
      </c>
      <c r="AI245" t="s">
        <v>3973</v>
      </c>
      <c r="AQ245">
        <v>1</v>
      </c>
    </row>
    <row r="246" spans="1:43" x14ac:dyDescent="0.3">
      <c r="A246" t="s">
        <v>31</v>
      </c>
      <c r="B246">
        <v>446</v>
      </c>
      <c r="C246">
        <v>112</v>
      </c>
      <c r="D246">
        <v>2212</v>
      </c>
      <c r="G246" t="s">
        <v>3980</v>
      </c>
      <c r="I246" t="s">
        <v>3327</v>
      </c>
      <c r="J246" t="s">
        <v>3764</v>
      </c>
      <c r="M246" t="s">
        <v>3328</v>
      </c>
      <c r="O246" t="s">
        <v>778</v>
      </c>
      <c r="T246" t="s">
        <v>319</v>
      </c>
      <c r="U246" t="s">
        <v>816</v>
      </c>
      <c r="W246">
        <v>420</v>
      </c>
      <c r="X246">
        <v>3564</v>
      </c>
      <c r="Z246">
        <v>2</v>
      </c>
      <c r="AA246" s="31">
        <v>45824</v>
      </c>
      <c r="AB246" s="61">
        <v>0.64842592592592596</v>
      </c>
      <c r="AC246" t="s">
        <v>795</v>
      </c>
      <c r="AD246" s="31">
        <v>45826</v>
      </c>
      <c r="AE246" s="61">
        <v>0.39716435185185178</v>
      </c>
      <c r="AF246" t="s">
        <v>3463</v>
      </c>
      <c r="AH246" t="s">
        <v>3973</v>
      </c>
      <c r="AI246" t="s">
        <v>3973</v>
      </c>
      <c r="AQ246">
        <v>1</v>
      </c>
    </row>
    <row r="247" spans="1:43" x14ac:dyDescent="0.3">
      <c r="A247" t="s">
        <v>31</v>
      </c>
      <c r="B247">
        <v>448</v>
      </c>
      <c r="C247">
        <v>153</v>
      </c>
      <c r="D247">
        <v>2214</v>
      </c>
      <c r="G247" t="s">
        <v>3981</v>
      </c>
      <c r="I247" t="s">
        <v>3451</v>
      </c>
      <c r="J247" t="s">
        <v>3982</v>
      </c>
      <c r="K247" t="s">
        <v>3983</v>
      </c>
      <c r="M247" t="s">
        <v>3454</v>
      </c>
      <c r="O247" t="s">
        <v>778</v>
      </c>
      <c r="T247" t="s">
        <v>319</v>
      </c>
      <c r="U247" t="s">
        <v>816</v>
      </c>
      <c r="W247">
        <v>420</v>
      </c>
      <c r="X247">
        <v>3564</v>
      </c>
      <c r="Z247">
        <v>10</v>
      </c>
      <c r="AA247" s="31">
        <v>45824</v>
      </c>
      <c r="AB247" s="61">
        <v>0.73062499999999997</v>
      </c>
      <c r="AC247" t="s">
        <v>795</v>
      </c>
      <c r="AD247" s="31">
        <v>45834</v>
      </c>
      <c r="AE247" s="61">
        <v>0.48526620370370371</v>
      </c>
      <c r="AF247" t="s">
        <v>934</v>
      </c>
      <c r="AH247" t="s">
        <v>3973</v>
      </c>
      <c r="AI247" t="s">
        <v>3973</v>
      </c>
      <c r="AQ247">
        <v>1</v>
      </c>
    </row>
    <row r="248" spans="1:43" x14ac:dyDescent="0.3">
      <c r="A248" t="s">
        <v>31</v>
      </c>
      <c r="B248">
        <v>449</v>
      </c>
      <c r="C248">
        <v>134</v>
      </c>
      <c r="D248">
        <v>2215</v>
      </c>
      <c r="G248" t="s">
        <v>3984</v>
      </c>
      <c r="I248" t="s">
        <v>3377</v>
      </c>
      <c r="J248" t="s">
        <v>3985</v>
      </c>
      <c r="K248" t="s">
        <v>3830</v>
      </c>
      <c r="M248" t="s">
        <v>3379</v>
      </c>
      <c r="O248" t="s">
        <v>778</v>
      </c>
      <c r="T248" t="s">
        <v>319</v>
      </c>
      <c r="U248" t="s">
        <v>816</v>
      </c>
      <c r="W248">
        <v>1680</v>
      </c>
      <c r="X248">
        <v>0</v>
      </c>
      <c r="Z248">
        <v>0</v>
      </c>
      <c r="AA248" s="31">
        <v>45826</v>
      </c>
      <c r="AB248" s="61">
        <v>0.39401620370370372</v>
      </c>
      <c r="AC248" t="s">
        <v>818</v>
      </c>
      <c r="AD248" s="31">
        <v>45826</v>
      </c>
      <c r="AE248" s="61">
        <v>0.39494212962962971</v>
      </c>
      <c r="AH248" t="s">
        <v>3986</v>
      </c>
      <c r="AQ248">
        <v>1</v>
      </c>
    </row>
    <row r="249" spans="1:43" x14ac:dyDescent="0.3">
      <c r="A249" t="s">
        <v>31</v>
      </c>
      <c r="B249">
        <v>452</v>
      </c>
      <c r="C249">
        <v>134</v>
      </c>
      <c r="D249">
        <v>2215</v>
      </c>
      <c r="G249" t="s">
        <v>3987</v>
      </c>
      <c r="I249" t="s">
        <v>3377</v>
      </c>
      <c r="J249" t="s">
        <v>3985</v>
      </c>
      <c r="K249" t="s">
        <v>3830</v>
      </c>
      <c r="M249" t="s">
        <v>3379</v>
      </c>
      <c r="O249" t="s">
        <v>778</v>
      </c>
      <c r="T249" t="s">
        <v>319</v>
      </c>
      <c r="U249" t="s">
        <v>3409</v>
      </c>
      <c r="Z249">
        <v>8</v>
      </c>
      <c r="AA249" s="31">
        <v>45826</v>
      </c>
      <c r="AB249" s="61">
        <v>0.69927083333333329</v>
      </c>
      <c r="AC249" t="s">
        <v>795</v>
      </c>
      <c r="AD249" s="31">
        <v>45834</v>
      </c>
      <c r="AE249" s="61">
        <v>0.66675925925925927</v>
      </c>
      <c r="AF249" t="s">
        <v>3463</v>
      </c>
      <c r="AH249" t="s">
        <v>3986</v>
      </c>
      <c r="AI249" t="s">
        <v>3986</v>
      </c>
      <c r="AQ249">
        <v>1</v>
      </c>
    </row>
    <row r="250" spans="1:43" x14ac:dyDescent="0.3">
      <c r="A250" t="s">
        <v>31</v>
      </c>
      <c r="B250">
        <v>454</v>
      </c>
      <c r="C250">
        <v>170</v>
      </c>
      <c r="D250">
        <v>2220</v>
      </c>
      <c r="G250" t="s">
        <v>3988</v>
      </c>
      <c r="H250">
        <v>4150555001304</v>
      </c>
      <c r="I250" t="s">
        <v>3477</v>
      </c>
      <c r="J250" t="s">
        <v>3478</v>
      </c>
      <c r="K250" t="s">
        <v>3569</v>
      </c>
      <c r="M250" t="s">
        <v>3480</v>
      </c>
      <c r="O250" t="s">
        <v>3481</v>
      </c>
      <c r="P250" t="s">
        <v>3482</v>
      </c>
      <c r="Q250" t="s">
        <v>1699</v>
      </c>
      <c r="T250" t="s">
        <v>319</v>
      </c>
      <c r="U250" t="s">
        <v>816</v>
      </c>
      <c r="W250">
        <v>13000</v>
      </c>
      <c r="X250">
        <v>64152</v>
      </c>
      <c r="Z250">
        <v>44</v>
      </c>
      <c r="AA250" s="31">
        <v>45832</v>
      </c>
      <c r="AB250" s="61">
        <v>0.41875000000000001</v>
      </c>
      <c r="AC250" t="s">
        <v>795</v>
      </c>
      <c r="AD250" s="31">
        <v>45876</v>
      </c>
      <c r="AE250" s="61">
        <v>0.48769675925925932</v>
      </c>
      <c r="AF250" t="s">
        <v>934</v>
      </c>
      <c r="AH250" t="s">
        <v>3989</v>
      </c>
      <c r="AI250" t="s">
        <v>3989</v>
      </c>
      <c r="AQ250">
        <v>1</v>
      </c>
    </row>
    <row r="251" spans="1:43" x14ac:dyDescent="0.3">
      <c r="A251" t="s">
        <v>31</v>
      </c>
      <c r="B251">
        <v>458</v>
      </c>
      <c r="C251">
        <v>170</v>
      </c>
      <c r="D251">
        <v>2233</v>
      </c>
      <c r="G251" t="s">
        <v>460</v>
      </c>
      <c r="H251">
        <v>4150555001304</v>
      </c>
      <c r="I251" t="s">
        <v>3477</v>
      </c>
      <c r="J251" t="s">
        <v>3478</v>
      </c>
      <c r="K251" t="s">
        <v>3569</v>
      </c>
      <c r="M251" t="s">
        <v>3480</v>
      </c>
      <c r="O251" t="s">
        <v>3481</v>
      </c>
      <c r="P251" t="s">
        <v>3482</v>
      </c>
      <c r="Q251" t="s">
        <v>1699</v>
      </c>
      <c r="T251" t="s">
        <v>319</v>
      </c>
      <c r="U251" t="s">
        <v>816</v>
      </c>
      <c r="W251">
        <v>838821</v>
      </c>
      <c r="X251">
        <v>0</v>
      </c>
      <c r="Z251">
        <v>64</v>
      </c>
      <c r="AA251" s="31">
        <v>45832</v>
      </c>
      <c r="AB251" s="61">
        <v>0.64075231481481476</v>
      </c>
      <c r="AC251" t="s">
        <v>795</v>
      </c>
      <c r="AD251" s="31">
        <v>45896</v>
      </c>
      <c r="AE251" s="61">
        <v>0.65649305555555559</v>
      </c>
      <c r="AF251" t="s">
        <v>3463</v>
      </c>
      <c r="AH251" t="s">
        <v>3990</v>
      </c>
      <c r="AQ251">
        <v>1</v>
      </c>
    </row>
    <row r="252" spans="1:43" x14ac:dyDescent="0.3">
      <c r="A252" t="s">
        <v>31</v>
      </c>
      <c r="B252">
        <v>459</v>
      </c>
      <c r="C252">
        <v>183</v>
      </c>
      <c r="D252">
        <v>2234</v>
      </c>
      <c r="G252" t="s">
        <v>3991</v>
      </c>
      <c r="H252">
        <v>3204281000192</v>
      </c>
      <c r="I252" t="s">
        <v>3594</v>
      </c>
      <c r="J252" t="s">
        <v>3595</v>
      </c>
      <c r="K252" t="s">
        <v>3596</v>
      </c>
      <c r="M252" t="s">
        <v>2617</v>
      </c>
      <c r="O252" t="s">
        <v>3597</v>
      </c>
      <c r="P252" t="s">
        <v>2618</v>
      </c>
      <c r="Q252" t="s">
        <v>790</v>
      </c>
      <c r="T252" t="s">
        <v>319</v>
      </c>
      <c r="U252" t="s">
        <v>3417</v>
      </c>
      <c r="W252">
        <v>420</v>
      </c>
      <c r="X252">
        <v>3564</v>
      </c>
      <c r="Z252">
        <v>45</v>
      </c>
      <c r="AA252" s="31">
        <v>45832</v>
      </c>
      <c r="AB252" s="61">
        <v>0.65225694444444449</v>
      </c>
      <c r="AC252" t="s">
        <v>795</v>
      </c>
      <c r="AD252" s="31">
        <v>45877</v>
      </c>
      <c r="AE252" s="61">
        <v>0.42207175925925933</v>
      </c>
      <c r="AF252" t="s">
        <v>934</v>
      </c>
      <c r="AH252" t="s">
        <v>3989</v>
      </c>
      <c r="AI252" t="s">
        <v>3989</v>
      </c>
      <c r="AQ252">
        <v>1</v>
      </c>
    </row>
    <row r="253" spans="1:43" x14ac:dyDescent="0.3">
      <c r="A253" t="s">
        <v>31</v>
      </c>
      <c r="B253">
        <v>460</v>
      </c>
      <c r="C253">
        <v>88</v>
      </c>
      <c r="D253">
        <v>2235</v>
      </c>
      <c r="G253" t="s">
        <v>3992</v>
      </c>
      <c r="I253" t="s">
        <v>660</v>
      </c>
      <c r="J253" t="s">
        <v>1133</v>
      </c>
      <c r="K253" t="s">
        <v>3993</v>
      </c>
      <c r="M253" t="s">
        <v>3273</v>
      </c>
      <c r="O253" t="s">
        <v>778</v>
      </c>
      <c r="P253" t="s">
        <v>3274</v>
      </c>
      <c r="Q253" t="s">
        <v>932</v>
      </c>
      <c r="T253" t="s">
        <v>319</v>
      </c>
      <c r="U253" t="s">
        <v>816</v>
      </c>
      <c r="W253">
        <v>2100</v>
      </c>
      <c r="X253">
        <v>0</v>
      </c>
      <c r="Z253">
        <v>0</v>
      </c>
      <c r="AA253" s="31">
        <v>45832</v>
      </c>
      <c r="AB253" s="61">
        <v>0.67142361111111115</v>
      </c>
      <c r="AC253" t="s">
        <v>818</v>
      </c>
      <c r="AD253" s="31">
        <v>45832</v>
      </c>
      <c r="AE253" s="61">
        <v>0.67877314814814815</v>
      </c>
      <c r="AH253" t="s">
        <v>3990</v>
      </c>
      <c r="AQ253">
        <v>1</v>
      </c>
    </row>
    <row r="254" spans="1:43" x14ac:dyDescent="0.3">
      <c r="A254" t="s">
        <v>31</v>
      </c>
      <c r="B254">
        <v>461</v>
      </c>
      <c r="C254">
        <v>174</v>
      </c>
      <c r="D254">
        <v>2236</v>
      </c>
      <c r="G254" t="s">
        <v>3994</v>
      </c>
      <c r="H254">
        <v>45238441000164</v>
      </c>
      <c r="I254" t="s">
        <v>3507</v>
      </c>
      <c r="J254" t="s">
        <v>3995</v>
      </c>
      <c r="K254" t="s">
        <v>3509</v>
      </c>
      <c r="L254">
        <v>11973359869</v>
      </c>
      <c r="M254" t="s">
        <v>3510</v>
      </c>
      <c r="O254" t="s">
        <v>3511</v>
      </c>
      <c r="P254" t="s">
        <v>1094</v>
      </c>
      <c r="Q254" t="s">
        <v>790</v>
      </c>
      <c r="T254" t="s">
        <v>319</v>
      </c>
      <c r="U254" t="s">
        <v>816</v>
      </c>
      <c r="W254">
        <v>116661</v>
      </c>
      <c r="X254">
        <v>0</v>
      </c>
      <c r="Z254">
        <v>0</v>
      </c>
      <c r="AA254" s="31">
        <v>45832</v>
      </c>
      <c r="AB254" s="61">
        <v>0.6791666666666667</v>
      </c>
      <c r="AC254" t="s">
        <v>818</v>
      </c>
      <c r="AD254" s="31">
        <v>45832</v>
      </c>
      <c r="AE254" s="61">
        <v>0.68104166666666666</v>
      </c>
      <c r="AH254" t="s">
        <v>3990</v>
      </c>
      <c r="AQ254">
        <v>1</v>
      </c>
    </row>
    <row r="255" spans="1:43" x14ac:dyDescent="0.3">
      <c r="A255" t="s">
        <v>31</v>
      </c>
      <c r="B255">
        <v>464</v>
      </c>
      <c r="C255">
        <v>206</v>
      </c>
      <c r="D255">
        <v>2241</v>
      </c>
      <c r="G255" t="s">
        <v>3996</v>
      </c>
      <c r="H255">
        <v>37075503000136</v>
      </c>
      <c r="I255" t="s">
        <v>3826</v>
      </c>
      <c r="J255" t="s">
        <v>1474</v>
      </c>
      <c r="K255" t="s">
        <v>1475</v>
      </c>
      <c r="M255" t="s">
        <v>1476</v>
      </c>
      <c r="O255" t="s">
        <v>3827</v>
      </c>
      <c r="P255" t="s">
        <v>1477</v>
      </c>
      <c r="Q255" t="s">
        <v>932</v>
      </c>
      <c r="T255" t="s">
        <v>319</v>
      </c>
      <c r="U255" t="s">
        <v>3417</v>
      </c>
      <c r="Z255">
        <v>30</v>
      </c>
      <c r="AA255" s="31">
        <v>45833</v>
      </c>
      <c r="AB255" s="61">
        <v>0.45314814814814808</v>
      </c>
      <c r="AC255" t="s">
        <v>795</v>
      </c>
      <c r="AD255" s="31">
        <v>45863</v>
      </c>
      <c r="AE255" s="61">
        <v>0.4473611111111111</v>
      </c>
      <c r="AF255" t="s">
        <v>3463</v>
      </c>
      <c r="AH255" t="s">
        <v>3997</v>
      </c>
      <c r="AQ255">
        <v>1</v>
      </c>
    </row>
    <row r="256" spans="1:43" x14ac:dyDescent="0.3">
      <c r="A256" t="s">
        <v>31</v>
      </c>
      <c r="B256">
        <v>465</v>
      </c>
      <c r="C256">
        <v>169</v>
      </c>
      <c r="D256">
        <v>2242</v>
      </c>
      <c r="G256" t="s">
        <v>3998</v>
      </c>
      <c r="H256">
        <v>11458315000101</v>
      </c>
      <c r="I256" t="s">
        <v>3465</v>
      </c>
      <c r="J256" t="s">
        <v>707</v>
      </c>
      <c r="K256" t="s">
        <v>3467</v>
      </c>
      <c r="M256" t="s">
        <v>3468</v>
      </c>
      <c r="O256" t="s">
        <v>3469</v>
      </c>
      <c r="P256" t="s">
        <v>3470</v>
      </c>
      <c r="Q256" t="s">
        <v>790</v>
      </c>
      <c r="T256" t="s">
        <v>319</v>
      </c>
      <c r="U256" t="s">
        <v>816</v>
      </c>
      <c r="W256">
        <v>1701</v>
      </c>
      <c r="X256">
        <v>32076</v>
      </c>
      <c r="Z256">
        <v>44</v>
      </c>
      <c r="AA256" s="31">
        <v>45833</v>
      </c>
      <c r="AB256" s="61">
        <v>0.50416666666666665</v>
      </c>
      <c r="AC256" t="s">
        <v>818</v>
      </c>
      <c r="AD256" s="31">
        <v>45877</v>
      </c>
      <c r="AE256" s="61">
        <v>0.60512731481481485</v>
      </c>
      <c r="AH256" t="s">
        <v>3997</v>
      </c>
      <c r="AI256" t="s">
        <v>3999</v>
      </c>
      <c r="AQ256">
        <v>1</v>
      </c>
    </row>
    <row r="257" spans="1:43" x14ac:dyDescent="0.3">
      <c r="A257" t="s">
        <v>31</v>
      </c>
      <c r="B257">
        <v>471</v>
      </c>
      <c r="C257">
        <v>133</v>
      </c>
      <c r="D257">
        <v>2279</v>
      </c>
      <c r="G257" t="s">
        <v>4000</v>
      </c>
      <c r="I257" t="s">
        <v>625</v>
      </c>
      <c r="J257" t="s">
        <v>3899</v>
      </c>
      <c r="K257" t="s">
        <v>3584</v>
      </c>
      <c r="M257" t="s">
        <v>2207</v>
      </c>
      <c r="O257" t="s">
        <v>778</v>
      </c>
      <c r="T257" t="s">
        <v>319</v>
      </c>
      <c r="U257" t="s">
        <v>3417</v>
      </c>
      <c r="W257">
        <v>840</v>
      </c>
      <c r="X257">
        <v>0</v>
      </c>
      <c r="Z257">
        <v>63</v>
      </c>
      <c r="AA257" s="31">
        <v>45838</v>
      </c>
      <c r="AB257" s="61">
        <v>0.64850694444444446</v>
      </c>
      <c r="AC257" t="s">
        <v>795</v>
      </c>
      <c r="AD257" s="31">
        <v>45901</v>
      </c>
      <c r="AE257" s="61">
        <v>0.49880787037037039</v>
      </c>
      <c r="AF257" t="s">
        <v>796</v>
      </c>
      <c r="AH257" t="s">
        <v>1901</v>
      </c>
      <c r="AQ257">
        <v>1</v>
      </c>
    </row>
    <row r="258" spans="1:43" x14ac:dyDescent="0.3">
      <c r="A258" t="s">
        <v>31</v>
      </c>
      <c r="B258">
        <v>472</v>
      </c>
      <c r="C258">
        <v>206</v>
      </c>
      <c r="D258">
        <v>2280</v>
      </c>
      <c r="G258" t="s">
        <v>4001</v>
      </c>
      <c r="H258">
        <v>37075503000136</v>
      </c>
      <c r="I258" t="s">
        <v>3826</v>
      </c>
      <c r="J258" t="s">
        <v>1474</v>
      </c>
      <c r="K258" t="s">
        <v>1475</v>
      </c>
      <c r="M258" t="s">
        <v>1476</v>
      </c>
      <c r="O258" t="s">
        <v>3827</v>
      </c>
      <c r="P258" t="s">
        <v>1477</v>
      </c>
      <c r="Q258" t="s">
        <v>932</v>
      </c>
      <c r="T258" t="s">
        <v>319</v>
      </c>
      <c r="U258" t="s">
        <v>816</v>
      </c>
      <c r="W258">
        <v>0</v>
      </c>
      <c r="X258">
        <v>264</v>
      </c>
      <c r="Z258">
        <v>1</v>
      </c>
      <c r="AA258" s="31">
        <v>45838</v>
      </c>
      <c r="AB258" s="61">
        <v>0.67339120370370376</v>
      </c>
      <c r="AC258" t="s">
        <v>818</v>
      </c>
      <c r="AD258" s="31">
        <v>45839</v>
      </c>
      <c r="AE258" s="61">
        <v>0.64826388888888886</v>
      </c>
      <c r="AH258" t="s">
        <v>1866</v>
      </c>
      <c r="AI258" t="s">
        <v>1866</v>
      </c>
      <c r="AQ258">
        <v>1</v>
      </c>
    </row>
    <row r="259" spans="1:43" x14ac:dyDescent="0.3">
      <c r="A259" t="s">
        <v>31</v>
      </c>
      <c r="B259">
        <v>473</v>
      </c>
      <c r="C259">
        <v>154</v>
      </c>
      <c r="D259">
        <v>2296</v>
      </c>
      <c r="G259" t="s">
        <v>4002</v>
      </c>
      <c r="H259">
        <v>790751000159</v>
      </c>
      <c r="I259" t="s">
        <v>3456</v>
      </c>
      <c r="J259" t="s">
        <v>4003</v>
      </c>
      <c r="K259" t="s">
        <v>3580</v>
      </c>
      <c r="M259" t="s">
        <v>3459</v>
      </c>
      <c r="O259" t="s">
        <v>778</v>
      </c>
      <c r="T259" t="s">
        <v>319</v>
      </c>
      <c r="U259" t="s">
        <v>781</v>
      </c>
      <c r="Z259">
        <v>59</v>
      </c>
      <c r="AA259" s="31">
        <v>45839</v>
      </c>
      <c r="AB259" s="61">
        <v>0.65577546296296296</v>
      </c>
      <c r="AC259" t="s">
        <v>795</v>
      </c>
      <c r="AD259" s="31">
        <v>45898</v>
      </c>
      <c r="AE259" s="61">
        <v>0.68674768518518514</v>
      </c>
      <c r="AF259" t="s">
        <v>3463</v>
      </c>
      <c r="AQ259">
        <v>1</v>
      </c>
    </row>
    <row r="260" spans="1:43" x14ac:dyDescent="0.3">
      <c r="A260" t="s">
        <v>31</v>
      </c>
      <c r="B260">
        <v>474</v>
      </c>
      <c r="C260">
        <v>203</v>
      </c>
      <c r="D260">
        <v>2298</v>
      </c>
      <c r="G260" t="s">
        <v>4004</v>
      </c>
      <c r="H260">
        <v>11806036000183</v>
      </c>
      <c r="I260" t="s">
        <v>3791</v>
      </c>
      <c r="J260" t="s">
        <v>2600</v>
      </c>
      <c r="K260" t="s">
        <v>3792</v>
      </c>
      <c r="M260" t="s">
        <v>3793</v>
      </c>
      <c r="O260" t="s">
        <v>3794</v>
      </c>
      <c r="P260" t="s">
        <v>3636</v>
      </c>
      <c r="Q260" t="s">
        <v>1699</v>
      </c>
      <c r="T260" t="s">
        <v>319</v>
      </c>
      <c r="U260" t="s">
        <v>3417</v>
      </c>
      <c r="Z260">
        <v>13</v>
      </c>
      <c r="AA260" s="31">
        <v>45841</v>
      </c>
      <c r="AB260" s="61">
        <v>0.67476851851851849</v>
      </c>
      <c r="AC260" t="s">
        <v>795</v>
      </c>
      <c r="AD260" s="31">
        <v>45854</v>
      </c>
      <c r="AE260" s="61">
        <v>0.45506944444444453</v>
      </c>
      <c r="AF260" t="s">
        <v>1358</v>
      </c>
      <c r="AH260" t="s">
        <v>1878</v>
      </c>
      <c r="AI260" t="s">
        <v>4005</v>
      </c>
      <c r="AQ260">
        <v>1</v>
      </c>
    </row>
    <row r="261" spans="1:43" x14ac:dyDescent="0.3">
      <c r="A261" t="s">
        <v>31</v>
      </c>
      <c r="B261">
        <v>476</v>
      </c>
      <c r="D261">
        <v>2323</v>
      </c>
      <c r="G261" t="s">
        <v>4006</v>
      </c>
      <c r="H261">
        <v>16939440000149</v>
      </c>
      <c r="J261" t="s">
        <v>4007</v>
      </c>
      <c r="K261" t="s">
        <v>3779</v>
      </c>
      <c r="M261" t="s">
        <v>3780</v>
      </c>
      <c r="O261" t="s">
        <v>778</v>
      </c>
      <c r="T261" t="s">
        <v>319</v>
      </c>
      <c r="U261" t="s">
        <v>816</v>
      </c>
      <c r="W261">
        <v>2880</v>
      </c>
      <c r="X261">
        <v>0</v>
      </c>
      <c r="Z261">
        <v>0</v>
      </c>
      <c r="AA261" s="31">
        <v>45845</v>
      </c>
      <c r="AB261" s="61">
        <v>0.71598379629629627</v>
      </c>
      <c r="AC261" t="s">
        <v>818</v>
      </c>
      <c r="AD261" s="31">
        <v>45845</v>
      </c>
      <c r="AE261" s="61">
        <v>0.71729166666666666</v>
      </c>
      <c r="AH261" t="s">
        <v>4008</v>
      </c>
      <c r="AI261" t="s">
        <v>4008</v>
      </c>
      <c r="AQ261">
        <v>1</v>
      </c>
    </row>
    <row r="262" spans="1:43" x14ac:dyDescent="0.3">
      <c r="A262" t="s">
        <v>31</v>
      </c>
      <c r="B262">
        <v>477</v>
      </c>
      <c r="C262">
        <v>202</v>
      </c>
      <c r="D262">
        <v>2325</v>
      </c>
      <c r="G262" t="s">
        <v>4009</v>
      </c>
      <c r="H262">
        <v>16939440000149</v>
      </c>
      <c r="I262" t="s">
        <v>3778</v>
      </c>
      <c r="J262" t="s">
        <v>4007</v>
      </c>
      <c r="K262" t="s">
        <v>3779</v>
      </c>
      <c r="M262" t="s">
        <v>3780</v>
      </c>
      <c r="O262" t="s">
        <v>3781</v>
      </c>
      <c r="P262" t="s">
        <v>3782</v>
      </c>
      <c r="Q262" t="s">
        <v>790</v>
      </c>
      <c r="T262" t="s">
        <v>319</v>
      </c>
      <c r="U262" t="s">
        <v>816</v>
      </c>
      <c r="W262">
        <v>1440</v>
      </c>
      <c r="X262">
        <v>0</v>
      </c>
      <c r="Z262">
        <v>0</v>
      </c>
      <c r="AA262" s="31">
        <v>45845</v>
      </c>
      <c r="AB262" s="61">
        <v>0.73579861111111111</v>
      </c>
      <c r="AC262" t="s">
        <v>818</v>
      </c>
      <c r="AD262" s="31">
        <v>45845</v>
      </c>
      <c r="AE262" s="61">
        <v>0.73719907407407403</v>
      </c>
      <c r="AH262" t="s">
        <v>4008</v>
      </c>
      <c r="AQ262">
        <v>1</v>
      </c>
    </row>
    <row r="263" spans="1:43" x14ac:dyDescent="0.3">
      <c r="A263" t="s">
        <v>31</v>
      </c>
      <c r="B263">
        <v>478</v>
      </c>
      <c r="D263">
        <v>2326</v>
      </c>
      <c r="G263" t="s">
        <v>4010</v>
      </c>
      <c r="H263">
        <v>21922850000117</v>
      </c>
      <c r="J263" t="s">
        <v>4011</v>
      </c>
      <c r="K263" t="s">
        <v>4012</v>
      </c>
      <c r="O263" t="s">
        <v>778</v>
      </c>
      <c r="T263" t="s">
        <v>319</v>
      </c>
      <c r="U263" t="s">
        <v>816</v>
      </c>
      <c r="W263">
        <v>275352</v>
      </c>
      <c r="X263">
        <v>0</v>
      </c>
      <c r="Z263">
        <v>0</v>
      </c>
      <c r="AA263" s="31">
        <v>45846</v>
      </c>
      <c r="AB263" s="61">
        <v>0.71418981481481481</v>
      </c>
      <c r="AC263" t="s">
        <v>818</v>
      </c>
      <c r="AD263" s="31">
        <v>45846</v>
      </c>
      <c r="AE263" s="61">
        <v>0.71649305555555554</v>
      </c>
      <c r="AH263" t="s">
        <v>4013</v>
      </c>
      <c r="AI263" t="s">
        <v>4013</v>
      </c>
      <c r="AQ263">
        <v>1</v>
      </c>
    </row>
    <row r="264" spans="1:43" x14ac:dyDescent="0.3">
      <c r="A264" t="s">
        <v>31</v>
      </c>
      <c r="B264">
        <v>479</v>
      </c>
      <c r="C264">
        <v>187</v>
      </c>
      <c r="D264">
        <v>2330</v>
      </c>
      <c r="G264" t="s">
        <v>439</v>
      </c>
      <c r="H264">
        <v>17063632000105</v>
      </c>
      <c r="I264" t="s">
        <v>3631</v>
      </c>
      <c r="J264" t="s">
        <v>4014</v>
      </c>
      <c r="K264" t="s">
        <v>3633</v>
      </c>
      <c r="M264" t="s">
        <v>3634</v>
      </c>
      <c r="O264" t="s">
        <v>3635</v>
      </c>
      <c r="P264" t="s">
        <v>3636</v>
      </c>
      <c r="Q264" t="s">
        <v>1699</v>
      </c>
      <c r="T264" t="s">
        <v>319</v>
      </c>
      <c r="U264" t="s">
        <v>816</v>
      </c>
      <c r="W264">
        <v>41275</v>
      </c>
      <c r="X264">
        <v>0</v>
      </c>
      <c r="Z264">
        <v>2</v>
      </c>
      <c r="AA264" s="31">
        <v>45846</v>
      </c>
      <c r="AB264" s="61">
        <v>0.71885416666666668</v>
      </c>
      <c r="AC264" t="s">
        <v>818</v>
      </c>
      <c r="AD264" s="31">
        <v>45848</v>
      </c>
      <c r="AE264" s="61">
        <v>0.4230902777777778</v>
      </c>
      <c r="AH264" t="s">
        <v>4013</v>
      </c>
      <c r="AQ264">
        <v>1</v>
      </c>
    </row>
    <row r="265" spans="1:43" x14ac:dyDescent="0.3">
      <c r="A265" t="s">
        <v>31</v>
      </c>
      <c r="B265">
        <v>480</v>
      </c>
      <c r="D265">
        <v>2331</v>
      </c>
      <c r="G265" t="s">
        <v>4015</v>
      </c>
      <c r="H265">
        <v>21922850000117</v>
      </c>
      <c r="J265" t="s">
        <v>4016</v>
      </c>
      <c r="K265" t="s">
        <v>4012</v>
      </c>
      <c r="O265" t="s">
        <v>778</v>
      </c>
      <c r="T265" t="s">
        <v>319</v>
      </c>
      <c r="U265" t="s">
        <v>816</v>
      </c>
      <c r="W265">
        <v>25200</v>
      </c>
      <c r="X265">
        <v>68904</v>
      </c>
      <c r="Z265">
        <v>27</v>
      </c>
      <c r="AA265" s="31">
        <v>45846</v>
      </c>
      <c r="AB265" s="61">
        <v>0.71953703703703709</v>
      </c>
      <c r="AC265" t="s">
        <v>795</v>
      </c>
      <c r="AD265" s="31">
        <v>45873</v>
      </c>
      <c r="AE265" s="61">
        <v>0.4752777777777778</v>
      </c>
      <c r="AF265" t="s">
        <v>1358</v>
      </c>
      <c r="AH265" t="s">
        <v>4013</v>
      </c>
      <c r="AI265" t="s">
        <v>4017</v>
      </c>
      <c r="AQ265">
        <v>1</v>
      </c>
    </row>
    <row r="266" spans="1:43" x14ac:dyDescent="0.3">
      <c r="A266" t="s">
        <v>31</v>
      </c>
      <c r="B266">
        <v>481</v>
      </c>
      <c r="C266">
        <v>152</v>
      </c>
      <c r="D266">
        <v>2337</v>
      </c>
      <c r="G266" t="s">
        <v>4018</v>
      </c>
      <c r="I266" t="s">
        <v>3445</v>
      </c>
      <c r="J266" t="s">
        <v>3620</v>
      </c>
      <c r="K266" t="s">
        <v>3621</v>
      </c>
      <c r="M266" t="s">
        <v>3448</v>
      </c>
      <c r="O266" t="s">
        <v>778</v>
      </c>
      <c r="T266" t="s">
        <v>319</v>
      </c>
      <c r="U266" t="s">
        <v>3409</v>
      </c>
      <c r="Z266">
        <v>81</v>
      </c>
      <c r="AA266" s="31">
        <v>45849</v>
      </c>
      <c r="AB266" s="61">
        <v>0.64908564814814818</v>
      </c>
      <c r="AC266" t="s">
        <v>795</v>
      </c>
      <c r="AD266" s="31">
        <v>45930</v>
      </c>
      <c r="AE266" s="61">
        <v>0.39872685185185192</v>
      </c>
      <c r="AF266" t="s">
        <v>796</v>
      </c>
      <c r="AI266" t="s">
        <v>4019</v>
      </c>
      <c r="AQ266">
        <v>1</v>
      </c>
    </row>
    <row r="267" spans="1:43" x14ac:dyDescent="0.3">
      <c r="A267" t="s">
        <v>31</v>
      </c>
      <c r="B267">
        <v>482</v>
      </c>
      <c r="C267">
        <v>149</v>
      </c>
      <c r="D267">
        <v>2338</v>
      </c>
      <c r="G267" t="s">
        <v>4020</v>
      </c>
      <c r="H267">
        <v>12418196000118</v>
      </c>
      <c r="I267" t="s">
        <v>3645</v>
      </c>
      <c r="J267" t="s">
        <v>1115</v>
      </c>
      <c r="K267" t="s">
        <v>3647</v>
      </c>
      <c r="M267" t="s">
        <v>3648</v>
      </c>
      <c r="O267" t="s">
        <v>778</v>
      </c>
      <c r="T267" t="s">
        <v>319</v>
      </c>
      <c r="U267" t="s">
        <v>3417</v>
      </c>
      <c r="W267">
        <v>0</v>
      </c>
      <c r="X267">
        <v>0</v>
      </c>
      <c r="Z267">
        <v>17</v>
      </c>
      <c r="AA267" s="31">
        <v>45849</v>
      </c>
      <c r="AB267" s="61">
        <v>0.65001157407407406</v>
      </c>
      <c r="AC267" t="s">
        <v>795</v>
      </c>
      <c r="AD267" s="31">
        <v>45866</v>
      </c>
      <c r="AE267" s="61">
        <v>0.72260416666666671</v>
      </c>
      <c r="AF267" t="s">
        <v>1358</v>
      </c>
      <c r="AH267" t="s">
        <v>4021</v>
      </c>
      <c r="AI267" t="s">
        <v>4019</v>
      </c>
      <c r="AQ267">
        <v>1</v>
      </c>
    </row>
    <row r="268" spans="1:43" x14ac:dyDescent="0.3">
      <c r="A268" t="s">
        <v>31</v>
      </c>
      <c r="B268">
        <v>483</v>
      </c>
      <c r="C268">
        <v>147</v>
      </c>
      <c r="D268">
        <v>2339</v>
      </c>
      <c r="G268" t="s">
        <v>4022</v>
      </c>
      <c r="H268">
        <v>7964558000136</v>
      </c>
      <c r="I268" t="s">
        <v>3430</v>
      </c>
      <c r="J268" t="s">
        <v>1317</v>
      </c>
      <c r="K268" t="s">
        <v>3515</v>
      </c>
      <c r="M268" t="s">
        <v>3433</v>
      </c>
      <c r="O268" t="s">
        <v>778</v>
      </c>
      <c r="T268" t="s">
        <v>319</v>
      </c>
      <c r="U268" t="s">
        <v>816</v>
      </c>
      <c r="Z268">
        <v>27</v>
      </c>
      <c r="AA268" s="31">
        <v>45849</v>
      </c>
      <c r="AB268" s="61">
        <v>0.65327546296296302</v>
      </c>
      <c r="AC268" t="s">
        <v>795</v>
      </c>
      <c r="AD268" s="31">
        <v>45876</v>
      </c>
      <c r="AE268" s="61">
        <v>0.59097222222222223</v>
      </c>
      <c r="AF268" t="s">
        <v>1358</v>
      </c>
      <c r="AH268" t="s">
        <v>4019</v>
      </c>
      <c r="AQ268">
        <v>1</v>
      </c>
    </row>
    <row r="269" spans="1:43" x14ac:dyDescent="0.3">
      <c r="A269" t="s">
        <v>31</v>
      </c>
      <c r="B269">
        <v>489</v>
      </c>
      <c r="C269">
        <v>181</v>
      </c>
      <c r="D269">
        <v>2349</v>
      </c>
      <c r="G269" t="s">
        <v>4023</v>
      </c>
      <c r="H269">
        <v>43204189000147</v>
      </c>
      <c r="I269" t="s">
        <v>3612</v>
      </c>
      <c r="J269" t="s">
        <v>990</v>
      </c>
      <c r="K269" t="s">
        <v>3613</v>
      </c>
      <c r="M269" t="s">
        <v>3614</v>
      </c>
      <c r="O269" t="s">
        <v>3615</v>
      </c>
      <c r="P269" t="s">
        <v>3616</v>
      </c>
      <c r="Q269" t="s">
        <v>790</v>
      </c>
      <c r="T269" t="s">
        <v>319</v>
      </c>
      <c r="U269" t="s">
        <v>816</v>
      </c>
      <c r="W269">
        <v>4320</v>
      </c>
      <c r="X269">
        <v>0</v>
      </c>
      <c r="Z269">
        <v>0</v>
      </c>
      <c r="AA269" s="31">
        <v>45854</v>
      </c>
      <c r="AB269" s="61">
        <v>0.70699074074074075</v>
      </c>
      <c r="AC269" t="s">
        <v>818</v>
      </c>
      <c r="AD269" s="31">
        <v>45854</v>
      </c>
      <c r="AE269" s="61">
        <v>0.70780092592592592</v>
      </c>
      <c r="AH269" t="s">
        <v>4024</v>
      </c>
      <c r="AI269" t="s">
        <v>4025</v>
      </c>
      <c r="AQ269">
        <v>1</v>
      </c>
    </row>
    <row r="270" spans="1:43" x14ac:dyDescent="0.3">
      <c r="A270" t="s">
        <v>31</v>
      </c>
      <c r="B270">
        <v>490</v>
      </c>
      <c r="C270">
        <v>182</v>
      </c>
      <c r="D270">
        <v>2350</v>
      </c>
      <c r="G270" t="s">
        <v>4026</v>
      </c>
      <c r="H270">
        <v>23873456000161</v>
      </c>
      <c r="I270" t="s">
        <v>3573</v>
      </c>
      <c r="J270" t="s">
        <v>3802</v>
      </c>
      <c r="K270" t="s">
        <v>3575</v>
      </c>
      <c r="M270" t="s">
        <v>3576</v>
      </c>
      <c r="O270" t="s">
        <v>3577</v>
      </c>
      <c r="P270" t="s">
        <v>1837</v>
      </c>
      <c r="Q270" t="s">
        <v>790</v>
      </c>
      <c r="T270" t="s">
        <v>319</v>
      </c>
      <c r="U270" t="s">
        <v>816</v>
      </c>
      <c r="W270">
        <v>4200</v>
      </c>
      <c r="X270">
        <v>0</v>
      </c>
      <c r="Z270">
        <v>6</v>
      </c>
      <c r="AA270" s="31">
        <v>45854</v>
      </c>
      <c r="AB270" s="61">
        <v>0.70843750000000005</v>
      </c>
      <c r="AC270" t="s">
        <v>818</v>
      </c>
      <c r="AD270" s="31">
        <v>45860</v>
      </c>
      <c r="AE270" s="61">
        <v>0.52978009259259262</v>
      </c>
      <c r="AH270" t="s">
        <v>4024</v>
      </c>
      <c r="AQ270">
        <v>1</v>
      </c>
    </row>
    <row r="271" spans="1:43" x14ac:dyDescent="0.3">
      <c r="A271" t="s">
        <v>31</v>
      </c>
      <c r="B271">
        <v>491</v>
      </c>
      <c r="C271">
        <v>209</v>
      </c>
      <c r="D271">
        <v>2351</v>
      </c>
      <c r="G271" t="s">
        <v>4027</v>
      </c>
      <c r="H271">
        <v>10682266000115</v>
      </c>
      <c r="I271" t="s">
        <v>3893</v>
      </c>
      <c r="J271" t="s">
        <v>4028</v>
      </c>
      <c r="K271" t="s">
        <v>3895</v>
      </c>
      <c r="M271" t="s">
        <v>3896</v>
      </c>
      <c r="O271" t="s">
        <v>3897</v>
      </c>
      <c r="P271" t="s">
        <v>1596</v>
      </c>
      <c r="Q271" t="s">
        <v>790</v>
      </c>
      <c r="T271" t="s">
        <v>319</v>
      </c>
      <c r="U271" t="s">
        <v>816</v>
      </c>
      <c r="W271">
        <v>6720</v>
      </c>
      <c r="X271">
        <v>0</v>
      </c>
      <c r="Z271">
        <v>15</v>
      </c>
      <c r="AA271" s="31">
        <v>45855</v>
      </c>
      <c r="AB271" s="61">
        <v>0.42640046296296302</v>
      </c>
      <c r="AC271" t="s">
        <v>818</v>
      </c>
      <c r="AD271" s="31">
        <v>45870</v>
      </c>
      <c r="AE271" s="61">
        <v>0.61040509259259257</v>
      </c>
      <c r="AH271" t="s">
        <v>4029</v>
      </c>
      <c r="AI271" t="s">
        <v>1945</v>
      </c>
      <c r="AQ271">
        <v>1</v>
      </c>
    </row>
    <row r="272" spans="1:43" x14ac:dyDescent="0.3">
      <c r="A272" t="s">
        <v>31</v>
      </c>
      <c r="B272">
        <v>492</v>
      </c>
      <c r="C272">
        <v>147</v>
      </c>
      <c r="D272">
        <v>848</v>
      </c>
      <c r="G272" t="s">
        <v>4030</v>
      </c>
      <c r="H272">
        <v>7964558000136</v>
      </c>
      <c r="I272" t="s">
        <v>3430</v>
      </c>
      <c r="J272" t="s">
        <v>3431</v>
      </c>
      <c r="K272" t="s">
        <v>3432</v>
      </c>
      <c r="M272" t="s">
        <v>3433</v>
      </c>
      <c r="O272" t="s">
        <v>778</v>
      </c>
      <c r="T272" t="s">
        <v>319</v>
      </c>
      <c r="U272" t="s">
        <v>3417</v>
      </c>
      <c r="W272">
        <v>716156</v>
      </c>
      <c r="X272">
        <v>0</v>
      </c>
      <c r="Z272">
        <v>11</v>
      </c>
      <c r="AA272" s="31">
        <v>45855</v>
      </c>
      <c r="AB272" s="61">
        <v>0.43496527777777783</v>
      </c>
      <c r="AC272" t="s">
        <v>795</v>
      </c>
      <c r="AD272" s="31">
        <v>45866</v>
      </c>
      <c r="AE272" s="61">
        <v>0.5060069444444445</v>
      </c>
      <c r="AF272" t="s">
        <v>3463</v>
      </c>
      <c r="AH272" t="s">
        <v>4029</v>
      </c>
      <c r="AQ272">
        <v>1</v>
      </c>
    </row>
    <row r="273" spans="1:43" x14ac:dyDescent="0.3">
      <c r="A273" t="s">
        <v>31</v>
      </c>
      <c r="B273">
        <v>498</v>
      </c>
      <c r="C273">
        <v>171</v>
      </c>
      <c r="D273">
        <v>2383</v>
      </c>
      <c r="G273" t="s">
        <v>3663</v>
      </c>
      <c r="H273">
        <v>39955762000187</v>
      </c>
      <c r="I273" t="s">
        <v>3484</v>
      </c>
      <c r="J273" t="s">
        <v>4031</v>
      </c>
      <c r="K273" t="s">
        <v>3665</v>
      </c>
      <c r="M273" t="s">
        <v>3487</v>
      </c>
      <c r="O273" t="s">
        <v>3488</v>
      </c>
      <c r="P273" t="s">
        <v>1094</v>
      </c>
      <c r="Q273" t="s">
        <v>790</v>
      </c>
      <c r="T273" t="s">
        <v>319</v>
      </c>
      <c r="U273" t="s">
        <v>816</v>
      </c>
      <c r="W273">
        <v>245704</v>
      </c>
      <c r="X273">
        <v>0</v>
      </c>
      <c r="Z273">
        <v>0</v>
      </c>
      <c r="AA273" s="31">
        <v>45861</v>
      </c>
      <c r="AB273" s="61">
        <v>0.71406250000000004</v>
      </c>
      <c r="AC273" t="s">
        <v>818</v>
      </c>
      <c r="AD273" s="31">
        <v>45861</v>
      </c>
      <c r="AE273" s="61">
        <v>0.71575231481481483</v>
      </c>
      <c r="AH273" t="s">
        <v>4032</v>
      </c>
      <c r="AQ273">
        <v>1</v>
      </c>
    </row>
    <row r="274" spans="1:43" x14ac:dyDescent="0.3">
      <c r="A274" t="s">
        <v>31</v>
      </c>
      <c r="B274">
        <v>499</v>
      </c>
      <c r="C274">
        <v>97</v>
      </c>
      <c r="D274">
        <v>2390</v>
      </c>
      <c r="G274" t="s">
        <v>4033</v>
      </c>
      <c r="H274">
        <v>22500484000170</v>
      </c>
      <c r="I274" t="s">
        <v>669</v>
      </c>
      <c r="J274" t="s">
        <v>4034</v>
      </c>
      <c r="K274" t="s">
        <v>4035</v>
      </c>
      <c r="M274" t="s">
        <v>3294</v>
      </c>
      <c r="O274" t="s">
        <v>778</v>
      </c>
      <c r="T274" t="s">
        <v>319</v>
      </c>
      <c r="U274" t="s">
        <v>816</v>
      </c>
      <c r="W274">
        <v>840</v>
      </c>
      <c r="X274">
        <v>0</v>
      </c>
      <c r="Z274">
        <v>0</v>
      </c>
      <c r="AA274" s="31">
        <v>45862</v>
      </c>
      <c r="AB274" s="61">
        <v>0.58165509259259263</v>
      </c>
      <c r="AC274" t="s">
        <v>818</v>
      </c>
      <c r="AD274" s="31">
        <v>45862</v>
      </c>
      <c r="AE274" s="61">
        <v>0.65292824074074074</v>
      </c>
      <c r="AH274" t="s">
        <v>4036</v>
      </c>
      <c r="AQ274">
        <v>1</v>
      </c>
    </row>
    <row r="275" spans="1:43" x14ac:dyDescent="0.3">
      <c r="A275" t="s">
        <v>31</v>
      </c>
      <c r="B275">
        <v>500</v>
      </c>
      <c r="C275">
        <v>96</v>
      </c>
      <c r="D275">
        <v>2391</v>
      </c>
      <c r="G275" t="s">
        <v>4037</v>
      </c>
      <c r="I275" t="s">
        <v>3291</v>
      </c>
      <c r="J275" t="s">
        <v>4038</v>
      </c>
      <c r="K275" t="s">
        <v>3672</v>
      </c>
      <c r="M275" t="s">
        <v>3293</v>
      </c>
      <c r="O275" t="s">
        <v>778</v>
      </c>
      <c r="T275" t="s">
        <v>319</v>
      </c>
      <c r="U275" t="s">
        <v>816</v>
      </c>
      <c r="W275">
        <v>1440</v>
      </c>
      <c r="X275">
        <v>0</v>
      </c>
      <c r="Z275">
        <v>0</v>
      </c>
      <c r="AA275" s="31">
        <v>45862</v>
      </c>
      <c r="AB275" s="61">
        <v>0.62880787037037034</v>
      </c>
      <c r="AC275" t="s">
        <v>818</v>
      </c>
      <c r="AD275" s="31">
        <v>45862</v>
      </c>
      <c r="AE275" s="61">
        <v>0.63013888888888892</v>
      </c>
      <c r="AH275" t="s">
        <v>4036</v>
      </c>
      <c r="AQ275">
        <v>1</v>
      </c>
    </row>
    <row r="276" spans="1:43" x14ac:dyDescent="0.3">
      <c r="A276" t="s">
        <v>31</v>
      </c>
      <c r="B276">
        <v>501</v>
      </c>
      <c r="C276">
        <v>147</v>
      </c>
      <c r="D276">
        <v>2392</v>
      </c>
      <c r="G276" t="s">
        <v>4039</v>
      </c>
      <c r="H276">
        <v>7964558000136</v>
      </c>
      <c r="I276" t="s">
        <v>3430</v>
      </c>
      <c r="J276" t="s">
        <v>704</v>
      </c>
      <c r="K276" t="s">
        <v>3515</v>
      </c>
      <c r="M276" t="s">
        <v>3433</v>
      </c>
      <c r="O276" t="s">
        <v>778</v>
      </c>
      <c r="T276" t="s">
        <v>319</v>
      </c>
      <c r="U276" t="s">
        <v>816</v>
      </c>
      <c r="W276">
        <v>6720</v>
      </c>
      <c r="X276">
        <v>0</v>
      </c>
      <c r="Z276">
        <v>0</v>
      </c>
      <c r="AA276" s="31">
        <v>45862</v>
      </c>
      <c r="AB276" s="61">
        <v>0.63891203703703703</v>
      </c>
      <c r="AC276" t="s">
        <v>818</v>
      </c>
      <c r="AD276" s="31">
        <v>45862</v>
      </c>
      <c r="AE276" s="61">
        <v>0.65201388888888889</v>
      </c>
      <c r="AH276" t="s">
        <v>4036</v>
      </c>
      <c r="AQ276">
        <v>1</v>
      </c>
    </row>
    <row r="277" spans="1:43" x14ac:dyDescent="0.3">
      <c r="A277" t="s">
        <v>31</v>
      </c>
      <c r="B277">
        <v>502</v>
      </c>
      <c r="C277">
        <v>112</v>
      </c>
      <c r="D277">
        <v>2429</v>
      </c>
      <c r="G277" t="s">
        <v>4040</v>
      </c>
      <c r="I277" t="s">
        <v>3327</v>
      </c>
      <c r="J277" t="s">
        <v>704</v>
      </c>
      <c r="M277" t="s">
        <v>3328</v>
      </c>
      <c r="O277" t="s">
        <v>778</v>
      </c>
      <c r="T277" t="s">
        <v>319</v>
      </c>
      <c r="U277" t="s">
        <v>3417</v>
      </c>
      <c r="W277">
        <v>1600</v>
      </c>
      <c r="X277">
        <v>774415</v>
      </c>
      <c r="Z277">
        <v>34</v>
      </c>
      <c r="AA277" s="31">
        <v>45868</v>
      </c>
      <c r="AB277" s="61">
        <v>0.48775462962962962</v>
      </c>
      <c r="AC277" t="s">
        <v>795</v>
      </c>
      <c r="AD277" s="31">
        <v>45902</v>
      </c>
      <c r="AE277" s="61">
        <v>0.49239583333333331</v>
      </c>
      <c r="AF277" t="s">
        <v>867</v>
      </c>
      <c r="AH277" t="s">
        <v>4041</v>
      </c>
      <c r="AI277" t="s">
        <v>4041</v>
      </c>
      <c r="AQ277">
        <v>1</v>
      </c>
    </row>
    <row r="278" spans="1:43" x14ac:dyDescent="0.3">
      <c r="A278" t="s">
        <v>31</v>
      </c>
      <c r="B278">
        <v>511</v>
      </c>
      <c r="C278">
        <v>93</v>
      </c>
      <c r="D278">
        <v>986</v>
      </c>
      <c r="G278" t="s">
        <v>4042</v>
      </c>
      <c r="I278" t="s">
        <v>3285</v>
      </c>
      <c r="J278" t="s">
        <v>3490</v>
      </c>
      <c r="K278" t="s">
        <v>3491</v>
      </c>
      <c r="M278" t="s">
        <v>3286</v>
      </c>
      <c r="O278" t="s">
        <v>778</v>
      </c>
      <c r="T278" t="s">
        <v>319</v>
      </c>
      <c r="U278" t="s">
        <v>3417</v>
      </c>
      <c r="W278">
        <v>3360</v>
      </c>
      <c r="X278">
        <v>7128</v>
      </c>
      <c r="Z278">
        <v>28</v>
      </c>
      <c r="AA278" s="31">
        <v>45870</v>
      </c>
      <c r="AB278" s="61">
        <v>0.65550925925925929</v>
      </c>
      <c r="AC278" t="s">
        <v>795</v>
      </c>
      <c r="AD278" s="31">
        <v>45898</v>
      </c>
      <c r="AE278" s="61">
        <v>0.60733796296296294</v>
      </c>
      <c r="AF278" t="s">
        <v>3463</v>
      </c>
      <c r="AH278" t="s">
        <v>4043</v>
      </c>
      <c r="AI278" t="s">
        <v>4044</v>
      </c>
      <c r="AQ278">
        <v>1</v>
      </c>
    </row>
    <row r="279" spans="1:43" x14ac:dyDescent="0.3">
      <c r="A279" t="s">
        <v>31</v>
      </c>
      <c r="B279">
        <v>512</v>
      </c>
      <c r="C279">
        <v>149</v>
      </c>
      <c r="D279">
        <v>2450</v>
      </c>
      <c r="G279" t="s">
        <v>4045</v>
      </c>
      <c r="H279">
        <v>12418196000118</v>
      </c>
      <c r="I279" t="s">
        <v>3645</v>
      </c>
      <c r="J279" t="s">
        <v>1115</v>
      </c>
      <c r="K279" t="s">
        <v>3647</v>
      </c>
      <c r="M279" t="s">
        <v>3648</v>
      </c>
      <c r="O279" t="s">
        <v>778</v>
      </c>
      <c r="T279" t="s">
        <v>319</v>
      </c>
      <c r="U279" t="s">
        <v>816</v>
      </c>
      <c r="W279">
        <v>3360</v>
      </c>
      <c r="X279">
        <v>0</v>
      </c>
      <c r="Z279">
        <v>3</v>
      </c>
      <c r="AA279" s="31">
        <v>45873</v>
      </c>
      <c r="AB279" s="61">
        <v>0.43699074074074068</v>
      </c>
      <c r="AC279" t="s">
        <v>818</v>
      </c>
      <c r="AD279" s="31">
        <v>45876</v>
      </c>
      <c r="AE279" s="61">
        <v>0.64539351851851856</v>
      </c>
      <c r="AH279" t="s">
        <v>4046</v>
      </c>
      <c r="AQ279">
        <v>1</v>
      </c>
    </row>
    <row r="280" spans="1:43" x14ac:dyDescent="0.3">
      <c r="A280" t="s">
        <v>31</v>
      </c>
      <c r="B280">
        <v>513</v>
      </c>
      <c r="C280">
        <v>150</v>
      </c>
      <c r="D280">
        <v>2451</v>
      </c>
      <c r="G280" t="s">
        <v>4047</v>
      </c>
      <c r="H280">
        <v>32258848000101</v>
      </c>
      <c r="I280" t="s">
        <v>3435</v>
      </c>
      <c r="J280" t="s">
        <v>1804</v>
      </c>
      <c r="K280" t="s">
        <v>3493</v>
      </c>
      <c r="M280" t="s">
        <v>3437</v>
      </c>
      <c r="O280" t="s">
        <v>778</v>
      </c>
      <c r="T280" t="s">
        <v>319</v>
      </c>
      <c r="U280" t="s">
        <v>816</v>
      </c>
      <c r="W280">
        <v>1680</v>
      </c>
      <c r="X280">
        <v>0</v>
      </c>
      <c r="Z280">
        <v>3</v>
      </c>
      <c r="AA280" s="31">
        <v>45873</v>
      </c>
      <c r="AB280" s="61">
        <v>0.62299768518518517</v>
      </c>
      <c r="AC280" t="s">
        <v>818</v>
      </c>
      <c r="AD280" s="31">
        <v>45876</v>
      </c>
      <c r="AE280" s="61">
        <v>0.69701388888888893</v>
      </c>
      <c r="AH280" t="s">
        <v>4046</v>
      </c>
      <c r="AQ280">
        <v>1</v>
      </c>
    </row>
    <row r="281" spans="1:43" x14ac:dyDescent="0.3">
      <c r="A281" t="s">
        <v>31</v>
      </c>
      <c r="B281">
        <v>514</v>
      </c>
      <c r="C281">
        <v>190</v>
      </c>
      <c r="D281">
        <v>1769</v>
      </c>
      <c r="G281" t="s">
        <v>4048</v>
      </c>
      <c r="H281">
        <v>18203215000175</v>
      </c>
      <c r="I281" t="s">
        <v>3690</v>
      </c>
      <c r="J281" t="s">
        <v>3691</v>
      </c>
      <c r="K281" t="s">
        <v>3692</v>
      </c>
      <c r="M281" t="s">
        <v>3693</v>
      </c>
      <c r="O281" t="s">
        <v>3694</v>
      </c>
      <c r="P281" t="s">
        <v>3695</v>
      </c>
      <c r="Q281" t="s">
        <v>790</v>
      </c>
      <c r="T281" t="s">
        <v>319</v>
      </c>
      <c r="U281" t="s">
        <v>816</v>
      </c>
      <c r="W281">
        <v>3024</v>
      </c>
      <c r="X281">
        <v>605</v>
      </c>
      <c r="Z281">
        <v>14</v>
      </c>
      <c r="AA281" s="31">
        <v>45874</v>
      </c>
      <c r="AB281" s="61">
        <v>0.66400462962962958</v>
      </c>
      <c r="AC281" t="s">
        <v>818</v>
      </c>
      <c r="AD281" s="31">
        <v>45888</v>
      </c>
      <c r="AE281" s="61">
        <v>0.48135416666666669</v>
      </c>
      <c r="AH281" t="s">
        <v>1981</v>
      </c>
      <c r="AI281" t="s">
        <v>1981</v>
      </c>
      <c r="AQ281">
        <v>1</v>
      </c>
    </row>
    <row r="282" spans="1:43" x14ac:dyDescent="0.3">
      <c r="A282" t="s">
        <v>31</v>
      </c>
      <c r="B282">
        <v>515</v>
      </c>
      <c r="C282">
        <v>170</v>
      </c>
      <c r="D282">
        <v>2455</v>
      </c>
      <c r="G282" t="s">
        <v>4049</v>
      </c>
      <c r="H282">
        <v>4150555001304</v>
      </c>
      <c r="I282" t="s">
        <v>3477</v>
      </c>
      <c r="J282" t="s">
        <v>3478</v>
      </c>
      <c r="K282" t="s">
        <v>3569</v>
      </c>
      <c r="M282" t="s">
        <v>3480</v>
      </c>
      <c r="O282" t="s">
        <v>3481</v>
      </c>
      <c r="P282" t="s">
        <v>3482</v>
      </c>
      <c r="Q282" t="s">
        <v>1699</v>
      </c>
      <c r="T282" t="s">
        <v>319</v>
      </c>
      <c r="U282" t="s">
        <v>816</v>
      </c>
      <c r="W282">
        <v>1847759</v>
      </c>
      <c r="X282">
        <v>1590</v>
      </c>
      <c r="Z282">
        <v>28</v>
      </c>
      <c r="AA282" s="31">
        <v>45876</v>
      </c>
      <c r="AB282" s="61">
        <v>0.48866898148148152</v>
      </c>
      <c r="AC282" t="s">
        <v>818</v>
      </c>
      <c r="AD282" s="31">
        <v>45904</v>
      </c>
      <c r="AE282" s="61">
        <v>0.71673611111111113</v>
      </c>
      <c r="AH282" t="s">
        <v>4050</v>
      </c>
      <c r="AQ282">
        <v>1</v>
      </c>
    </row>
    <row r="283" spans="1:43" x14ac:dyDescent="0.3">
      <c r="A283" t="s">
        <v>31</v>
      </c>
      <c r="B283">
        <v>522</v>
      </c>
      <c r="C283">
        <v>149</v>
      </c>
      <c r="D283">
        <v>2460</v>
      </c>
      <c r="G283" t="s">
        <v>4051</v>
      </c>
      <c r="H283">
        <v>12418196000118</v>
      </c>
      <c r="I283" t="s">
        <v>3645</v>
      </c>
      <c r="J283" t="s">
        <v>4052</v>
      </c>
      <c r="K283" t="s">
        <v>3647</v>
      </c>
      <c r="M283" t="s">
        <v>3648</v>
      </c>
      <c r="O283" t="s">
        <v>778</v>
      </c>
      <c r="T283" t="s">
        <v>319</v>
      </c>
      <c r="U283" t="s">
        <v>3409</v>
      </c>
      <c r="Z283">
        <v>21</v>
      </c>
      <c r="AA283" s="31">
        <v>45877</v>
      </c>
      <c r="AB283" s="61">
        <v>0.51511574074074074</v>
      </c>
      <c r="AC283" t="s">
        <v>795</v>
      </c>
      <c r="AD283" s="31">
        <v>45898</v>
      </c>
      <c r="AE283" s="61">
        <v>0.68209490740740741</v>
      </c>
      <c r="AF283" t="s">
        <v>3463</v>
      </c>
      <c r="AI283" t="s">
        <v>4043</v>
      </c>
      <c r="AQ283">
        <v>1</v>
      </c>
    </row>
    <row r="284" spans="1:43" x14ac:dyDescent="0.3">
      <c r="A284" t="s">
        <v>31</v>
      </c>
      <c r="B284">
        <v>523</v>
      </c>
      <c r="C284">
        <v>183</v>
      </c>
      <c r="D284">
        <v>2461</v>
      </c>
      <c r="G284" t="s">
        <v>4053</v>
      </c>
      <c r="H284">
        <v>3204281000192</v>
      </c>
      <c r="I284" t="s">
        <v>3594</v>
      </c>
      <c r="J284" t="s">
        <v>3595</v>
      </c>
      <c r="K284" t="s">
        <v>3596</v>
      </c>
      <c r="M284" t="s">
        <v>2617</v>
      </c>
      <c r="O284" t="s">
        <v>3597</v>
      </c>
      <c r="P284" t="s">
        <v>2618</v>
      </c>
      <c r="Q284" t="s">
        <v>790</v>
      </c>
      <c r="T284" t="s">
        <v>319</v>
      </c>
      <c r="U284" t="s">
        <v>816</v>
      </c>
      <c r="W284">
        <v>26200</v>
      </c>
      <c r="X284">
        <v>3400</v>
      </c>
      <c r="Z284">
        <v>43</v>
      </c>
      <c r="AA284" s="31">
        <v>45880</v>
      </c>
      <c r="AB284" s="61">
        <v>0.49128472222222219</v>
      </c>
      <c r="AC284" t="s">
        <v>795</v>
      </c>
      <c r="AD284" s="31">
        <v>45923</v>
      </c>
      <c r="AE284" s="61">
        <v>0.65136574074074072</v>
      </c>
      <c r="AF284" t="s">
        <v>974</v>
      </c>
      <c r="AH284" t="s">
        <v>1959</v>
      </c>
      <c r="AI284" t="s">
        <v>1959</v>
      </c>
      <c r="AQ284">
        <v>1</v>
      </c>
    </row>
    <row r="285" spans="1:43" x14ac:dyDescent="0.3">
      <c r="A285" t="s">
        <v>31</v>
      </c>
      <c r="B285">
        <v>524</v>
      </c>
      <c r="C285">
        <v>146</v>
      </c>
      <c r="D285">
        <v>2462</v>
      </c>
      <c r="G285" t="s">
        <v>4054</v>
      </c>
      <c r="I285" t="s">
        <v>3425</v>
      </c>
      <c r="J285" t="s">
        <v>3426</v>
      </c>
      <c r="K285" t="s">
        <v>3515</v>
      </c>
      <c r="M285" t="s">
        <v>3428</v>
      </c>
      <c r="O285" t="s">
        <v>778</v>
      </c>
      <c r="T285" t="s">
        <v>319</v>
      </c>
      <c r="U285" t="s">
        <v>3417</v>
      </c>
      <c r="W285">
        <v>3360</v>
      </c>
      <c r="X285">
        <v>7128</v>
      </c>
      <c r="Z285">
        <v>14</v>
      </c>
      <c r="AA285" s="31">
        <v>45880</v>
      </c>
      <c r="AB285" s="61">
        <v>0.49332175925925931</v>
      </c>
      <c r="AC285" t="s">
        <v>795</v>
      </c>
      <c r="AD285" s="31">
        <v>45894</v>
      </c>
      <c r="AE285" s="61">
        <v>0.66289351851851852</v>
      </c>
      <c r="AF285" t="s">
        <v>3463</v>
      </c>
      <c r="AH285" t="s">
        <v>1959</v>
      </c>
      <c r="AI285" t="s">
        <v>4055</v>
      </c>
      <c r="AQ285">
        <v>1</v>
      </c>
    </row>
    <row r="286" spans="1:43" x14ac:dyDescent="0.3">
      <c r="A286" t="s">
        <v>31</v>
      </c>
      <c r="B286">
        <v>525</v>
      </c>
      <c r="C286">
        <v>202</v>
      </c>
      <c r="D286">
        <v>2467</v>
      </c>
      <c r="G286" t="s">
        <v>4056</v>
      </c>
      <c r="H286">
        <v>16939440000149</v>
      </c>
      <c r="I286" t="s">
        <v>3778</v>
      </c>
      <c r="J286" t="s">
        <v>707</v>
      </c>
      <c r="K286" t="s">
        <v>3779</v>
      </c>
      <c r="M286" t="s">
        <v>3780</v>
      </c>
      <c r="O286" t="s">
        <v>3781</v>
      </c>
      <c r="P286" t="s">
        <v>3782</v>
      </c>
      <c r="Q286" t="s">
        <v>790</v>
      </c>
      <c r="T286" t="s">
        <v>319</v>
      </c>
      <c r="U286" t="s">
        <v>816</v>
      </c>
      <c r="W286">
        <v>6048</v>
      </c>
      <c r="X286">
        <v>0</v>
      </c>
      <c r="Z286">
        <v>0</v>
      </c>
      <c r="AA286" s="31">
        <v>45887</v>
      </c>
      <c r="AB286" s="61">
        <v>0.39128472222222221</v>
      </c>
      <c r="AC286" t="s">
        <v>818</v>
      </c>
      <c r="AD286" s="31">
        <v>45887</v>
      </c>
      <c r="AE286" s="61">
        <v>0.39361111111111108</v>
      </c>
      <c r="AH286" t="s">
        <v>1959</v>
      </c>
      <c r="AQ286">
        <v>1</v>
      </c>
    </row>
    <row r="287" spans="1:43" x14ac:dyDescent="0.3">
      <c r="A287" t="s">
        <v>31</v>
      </c>
      <c r="B287">
        <v>526</v>
      </c>
      <c r="C287">
        <v>186</v>
      </c>
      <c r="D287">
        <v>2468</v>
      </c>
      <c r="G287" t="s">
        <v>4057</v>
      </c>
      <c r="H287">
        <v>10899939000193</v>
      </c>
      <c r="I287" t="s">
        <v>3625</v>
      </c>
      <c r="J287" t="s">
        <v>704</v>
      </c>
      <c r="K287" t="s">
        <v>3626</v>
      </c>
      <c r="M287" t="s">
        <v>3627</v>
      </c>
      <c r="O287" t="s">
        <v>3628</v>
      </c>
      <c r="P287" t="s">
        <v>3629</v>
      </c>
      <c r="Q287" t="s">
        <v>932</v>
      </c>
      <c r="T287" t="s">
        <v>319</v>
      </c>
      <c r="U287" t="s">
        <v>3417</v>
      </c>
      <c r="W287">
        <v>0</v>
      </c>
      <c r="X287">
        <v>3564</v>
      </c>
      <c r="Z287">
        <v>28</v>
      </c>
      <c r="AA287" s="31">
        <v>45887</v>
      </c>
      <c r="AB287" s="61">
        <v>0.40155092592592601</v>
      </c>
      <c r="AC287" t="s">
        <v>795</v>
      </c>
      <c r="AD287" s="31">
        <v>45915</v>
      </c>
      <c r="AE287" s="61">
        <v>0.63196759259259261</v>
      </c>
      <c r="AF287" t="s">
        <v>934</v>
      </c>
      <c r="AH287" t="s">
        <v>2042</v>
      </c>
      <c r="AI287" t="s">
        <v>2042</v>
      </c>
      <c r="AQ287">
        <v>1</v>
      </c>
    </row>
    <row r="288" spans="1:43" x14ac:dyDescent="0.3">
      <c r="A288" t="s">
        <v>31</v>
      </c>
      <c r="B288">
        <v>527</v>
      </c>
      <c r="C288">
        <v>195</v>
      </c>
      <c r="D288">
        <v>2469</v>
      </c>
      <c r="G288" t="s">
        <v>4058</v>
      </c>
      <c r="H288">
        <v>49682710000138</v>
      </c>
      <c r="I288" t="s">
        <v>4059</v>
      </c>
      <c r="J288" t="s">
        <v>4060</v>
      </c>
      <c r="K288" t="s">
        <v>4061</v>
      </c>
      <c r="M288" t="s">
        <v>4062</v>
      </c>
      <c r="O288" t="s">
        <v>4063</v>
      </c>
      <c r="P288" t="s">
        <v>1633</v>
      </c>
      <c r="Q288" t="s">
        <v>848</v>
      </c>
      <c r="T288" t="s">
        <v>319</v>
      </c>
      <c r="U288" t="s">
        <v>816</v>
      </c>
      <c r="W288">
        <v>0</v>
      </c>
      <c r="X288">
        <v>7524</v>
      </c>
      <c r="Z288">
        <v>7</v>
      </c>
      <c r="AA288" s="31">
        <v>45887</v>
      </c>
      <c r="AB288" s="61">
        <v>0.4024652777777778</v>
      </c>
      <c r="AC288" t="s">
        <v>818</v>
      </c>
      <c r="AD288" s="31">
        <v>45894</v>
      </c>
      <c r="AE288" s="61">
        <v>0.49158564814814809</v>
      </c>
      <c r="AH288" t="s">
        <v>4064</v>
      </c>
      <c r="AI288" t="s">
        <v>4064</v>
      </c>
      <c r="AQ288">
        <v>1</v>
      </c>
    </row>
    <row r="289" spans="1:43" x14ac:dyDescent="0.3">
      <c r="A289" t="s">
        <v>31</v>
      </c>
      <c r="B289">
        <v>528</v>
      </c>
      <c r="C289">
        <v>88</v>
      </c>
      <c r="D289">
        <v>2470</v>
      </c>
      <c r="G289" t="s">
        <v>4065</v>
      </c>
      <c r="I289" t="s">
        <v>660</v>
      </c>
      <c r="J289" t="s">
        <v>1133</v>
      </c>
      <c r="K289" t="s">
        <v>3993</v>
      </c>
      <c r="M289" t="s">
        <v>3273</v>
      </c>
      <c r="O289" t="s">
        <v>778</v>
      </c>
      <c r="P289" t="s">
        <v>3274</v>
      </c>
      <c r="Q289" t="s">
        <v>932</v>
      </c>
      <c r="T289" t="s">
        <v>319</v>
      </c>
      <c r="U289" t="s">
        <v>3417</v>
      </c>
      <c r="W289">
        <v>3360</v>
      </c>
      <c r="X289">
        <v>7128</v>
      </c>
      <c r="Z289">
        <v>43</v>
      </c>
      <c r="AA289" s="31">
        <v>45887</v>
      </c>
      <c r="AB289" s="61">
        <v>0.43887731481481479</v>
      </c>
      <c r="AC289" t="s">
        <v>795</v>
      </c>
      <c r="AD289" s="31">
        <v>45930</v>
      </c>
      <c r="AE289" s="61">
        <v>0.38685185185185178</v>
      </c>
      <c r="AF289" t="s">
        <v>3463</v>
      </c>
      <c r="AH289" t="s">
        <v>2042</v>
      </c>
      <c r="AI289" t="s">
        <v>2042</v>
      </c>
      <c r="AQ289">
        <v>1</v>
      </c>
    </row>
    <row r="290" spans="1:43" x14ac:dyDescent="0.3">
      <c r="A290" t="s">
        <v>31</v>
      </c>
      <c r="B290">
        <v>529</v>
      </c>
      <c r="C290">
        <v>103</v>
      </c>
      <c r="D290">
        <v>2471</v>
      </c>
      <c r="G290" t="s">
        <v>4066</v>
      </c>
      <c r="H290">
        <v>12549273000179</v>
      </c>
      <c r="I290" t="s">
        <v>3309</v>
      </c>
      <c r="J290" t="s">
        <v>4067</v>
      </c>
      <c r="M290" t="s">
        <v>3312</v>
      </c>
      <c r="O290" t="s">
        <v>3313</v>
      </c>
      <c r="P290" t="s">
        <v>1596</v>
      </c>
      <c r="Q290" t="s">
        <v>790</v>
      </c>
      <c r="T290" t="s">
        <v>319</v>
      </c>
      <c r="U290" t="s">
        <v>3417</v>
      </c>
      <c r="W290">
        <v>420</v>
      </c>
      <c r="X290">
        <v>3564</v>
      </c>
      <c r="Z290">
        <v>25</v>
      </c>
      <c r="AA290" s="31">
        <v>45887</v>
      </c>
      <c r="AB290" s="61">
        <v>0.52501157407407406</v>
      </c>
      <c r="AC290" t="s">
        <v>795</v>
      </c>
      <c r="AD290" s="31">
        <v>45912</v>
      </c>
      <c r="AE290" s="61">
        <v>0.71452546296296293</v>
      </c>
      <c r="AF290" t="s">
        <v>934</v>
      </c>
      <c r="AH290" t="s">
        <v>2042</v>
      </c>
      <c r="AI290" t="s">
        <v>4068</v>
      </c>
      <c r="AQ290">
        <v>1</v>
      </c>
    </row>
    <row r="291" spans="1:43" x14ac:dyDescent="0.3">
      <c r="A291" t="s">
        <v>31</v>
      </c>
      <c r="B291">
        <v>530</v>
      </c>
      <c r="C291">
        <v>154</v>
      </c>
      <c r="D291">
        <v>2472</v>
      </c>
      <c r="G291" t="s">
        <v>4069</v>
      </c>
      <c r="H291">
        <v>790751000159</v>
      </c>
      <c r="I291" t="s">
        <v>3456</v>
      </c>
      <c r="J291" t="s">
        <v>4003</v>
      </c>
      <c r="K291" t="s">
        <v>3580</v>
      </c>
      <c r="M291" t="s">
        <v>3459</v>
      </c>
      <c r="O291" t="s">
        <v>778</v>
      </c>
      <c r="T291" t="s">
        <v>319</v>
      </c>
      <c r="U291" t="s">
        <v>816</v>
      </c>
      <c r="W291">
        <v>5800</v>
      </c>
      <c r="X291">
        <v>0</v>
      </c>
      <c r="Z291">
        <v>10</v>
      </c>
      <c r="AA291" s="31">
        <v>45887</v>
      </c>
      <c r="AB291" s="61">
        <v>0.59663194444444445</v>
      </c>
      <c r="AC291" t="s">
        <v>818</v>
      </c>
      <c r="AD291" s="31">
        <v>45897</v>
      </c>
      <c r="AE291" s="61">
        <v>0.6378125</v>
      </c>
      <c r="AH291" t="s">
        <v>4064</v>
      </c>
      <c r="AQ291">
        <v>1</v>
      </c>
    </row>
    <row r="292" spans="1:43" x14ac:dyDescent="0.3">
      <c r="A292" t="s">
        <v>31</v>
      </c>
      <c r="B292">
        <v>533</v>
      </c>
      <c r="C292">
        <v>167</v>
      </c>
      <c r="D292">
        <v>2480</v>
      </c>
      <c r="G292" t="s">
        <v>4070</v>
      </c>
      <c r="H292">
        <v>7973104000121</v>
      </c>
      <c r="I292" t="s">
        <v>979</v>
      </c>
      <c r="J292" t="s">
        <v>952</v>
      </c>
      <c r="K292" t="s">
        <v>4071</v>
      </c>
      <c r="M292" t="s">
        <v>982</v>
      </c>
      <c r="O292" t="s">
        <v>778</v>
      </c>
      <c r="P292" t="s">
        <v>983</v>
      </c>
      <c r="Q292" t="s">
        <v>932</v>
      </c>
      <c r="T292" t="s">
        <v>319</v>
      </c>
      <c r="U292" t="s">
        <v>781</v>
      </c>
      <c r="Z292">
        <v>23</v>
      </c>
      <c r="AA292" s="31">
        <v>45889</v>
      </c>
      <c r="AB292" s="61">
        <v>0.41270833333333329</v>
      </c>
      <c r="AC292" t="s">
        <v>795</v>
      </c>
      <c r="AD292" s="31">
        <v>45912</v>
      </c>
      <c r="AE292" s="61">
        <v>0.71810185185185182</v>
      </c>
      <c r="AF292" t="s">
        <v>934</v>
      </c>
      <c r="AQ292">
        <v>1</v>
      </c>
    </row>
    <row r="293" spans="1:43" x14ac:dyDescent="0.3">
      <c r="A293" t="s">
        <v>31</v>
      </c>
      <c r="B293">
        <v>535</v>
      </c>
      <c r="C293">
        <v>175</v>
      </c>
      <c r="D293">
        <v>2483</v>
      </c>
      <c r="G293" t="s">
        <v>4072</v>
      </c>
      <c r="H293">
        <v>52362985000107</v>
      </c>
      <c r="I293" t="s">
        <v>3519</v>
      </c>
      <c r="J293" t="s">
        <v>4073</v>
      </c>
      <c r="K293" t="s">
        <v>4074</v>
      </c>
      <c r="M293" t="s">
        <v>3521</v>
      </c>
      <c r="O293" t="s">
        <v>3522</v>
      </c>
      <c r="P293" t="s">
        <v>3523</v>
      </c>
      <c r="Q293" t="s">
        <v>790</v>
      </c>
      <c r="T293" t="s">
        <v>319</v>
      </c>
      <c r="U293" t="s">
        <v>3417</v>
      </c>
      <c r="W293">
        <v>3360</v>
      </c>
      <c r="X293">
        <v>0</v>
      </c>
      <c r="Z293">
        <v>41</v>
      </c>
      <c r="AA293" s="31">
        <v>45889</v>
      </c>
      <c r="AB293" s="61">
        <v>0.42591435185185178</v>
      </c>
      <c r="AC293" t="s">
        <v>795</v>
      </c>
      <c r="AD293" s="31">
        <v>45930</v>
      </c>
      <c r="AE293" s="61">
        <v>0.39935185185185179</v>
      </c>
      <c r="AF293" t="s">
        <v>796</v>
      </c>
      <c r="AI293" t="s">
        <v>4075</v>
      </c>
      <c r="AQ293">
        <v>1</v>
      </c>
    </row>
    <row r="294" spans="1:43" x14ac:dyDescent="0.3">
      <c r="A294" t="s">
        <v>31</v>
      </c>
      <c r="B294">
        <v>536</v>
      </c>
      <c r="D294">
        <v>2484</v>
      </c>
      <c r="G294" t="s">
        <v>4076</v>
      </c>
      <c r="H294">
        <v>8037413000152</v>
      </c>
      <c r="J294" t="s">
        <v>4077</v>
      </c>
      <c r="K294" t="s">
        <v>4078</v>
      </c>
      <c r="M294" t="s">
        <v>4079</v>
      </c>
      <c r="O294" t="s">
        <v>778</v>
      </c>
      <c r="T294" t="s">
        <v>319</v>
      </c>
      <c r="U294" t="s">
        <v>3417</v>
      </c>
      <c r="W294">
        <v>3360</v>
      </c>
      <c r="X294">
        <v>7128</v>
      </c>
      <c r="Z294">
        <v>37</v>
      </c>
      <c r="AA294" s="31">
        <v>45889</v>
      </c>
      <c r="AB294" s="61">
        <v>0.43030092592592589</v>
      </c>
      <c r="AC294" t="s">
        <v>795</v>
      </c>
      <c r="AD294" s="31">
        <v>45926</v>
      </c>
      <c r="AE294" s="61">
        <v>0.67302083333333329</v>
      </c>
      <c r="AF294" t="s">
        <v>796</v>
      </c>
      <c r="AH294" t="s">
        <v>4080</v>
      </c>
      <c r="AQ294">
        <v>1</v>
      </c>
    </row>
    <row r="295" spans="1:43" x14ac:dyDescent="0.3">
      <c r="A295" t="s">
        <v>31</v>
      </c>
      <c r="B295">
        <v>538</v>
      </c>
      <c r="C295">
        <v>132</v>
      </c>
      <c r="D295">
        <v>2489</v>
      </c>
      <c r="G295" t="s">
        <v>4081</v>
      </c>
      <c r="I295" t="s">
        <v>3373</v>
      </c>
      <c r="J295" t="s">
        <v>3588</v>
      </c>
      <c r="K295" t="s">
        <v>3553</v>
      </c>
      <c r="M295" t="s">
        <v>3375</v>
      </c>
      <c r="O295" t="s">
        <v>778</v>
      </c>
      <c r="T295" t="s">
        <v>319</v>
      </c>
      <c r="U295" t="s">
        <v>3417</v>
      </c>
      <c r="W295">
        <v>3360</v>
      </c>
      <c r="X295">
        <v>7128</v>
      </c>
      <c r="Z295">
        <v>5</v>
      </c>
      <c r="AA295" s="31">
        <v>45889</v>
      </c>
      <c r="AB295" s="61">
        <v>0.46584490740740742</v>
      </c>
      <c r="AC295" t="s">
        <v>795</v>
      </c>
      <c r="AD295" s="31">
        <v>45894</v>
      </c>
      <c r="AE295" s="61">
        <v>0.70057870370370368</v>
      </c>
      <c r="AF295" t="s">
        <v>3463</v>
      </c>
      <c r="AH295" t="s">
        <v>4080</v>
      </c>
      <c r="AI295" t="s">
        <v>4080</v>
      </c>
      <c r="AQ295">
        <v>1</v>
      </c>
    </row>
    <row r="296" spans="1:43" x14ac:dyDescent="0.3">
      <c r="A296" t="s">
        <v>31</v>
      </c>
      <c r="B296">
        <v>541</v>
      </c>
      <c r="C296">
        <v>97</v>
      </c>
      <c r="D296">
        <v>2495</v>
      </c>
      <c r="G296" t="s">
        <v>4082</v>
      </c>
      <c r="H296">
        <v>22500484000170</v>
      </c>
      <c r="I296" t="s">
        <v>669</v>
      </c>
      <c r="J296" t="s">
        <v>4034</v>
      </c>
      <c r="K296" t="s">
        <v>4035</v>
      </c>
      <c r="M296" t="s">
        <v>3294</v>
      </c>
      <c r="O296" t="s">
        <v>778</v>
      </c>
      <c r="T296" t="s">
        <v>319</v>
      </c>
      <c r="U296" t="s">
        <v>816</v>
      </c>
      <c r="W296">
        <v>630</v>
      </c>
      <c r="X296">
        <v>0</v>
      </c>
      <c r="Z296">
        <v>0</v>
      </c>
      <c r="AA296" s="31">
        <v>45889</v>
      </c>
      <c r="AB296" s="61">
        <v>0.69578703703703704</v>
      </c>
      <c r="AC296" t="s">
        <v>818</v>
      </c>
      <c r="AD296" s="31">
        <v>45889</v>
      </c>
      <c r="AE296" s="61">
        <v>0.69665509259259262</v>
      </c>
      <c r="AH296" t="s">
        <v>4080</v>
      </c>
      <c r="AQ296">
        <v>1</v>
      </c>
    </row>
    <row r="297" spans="1:43" x14ac:dyDescent="0.3">
      <c r="A297" t="s">
        <v>31</v>
      </c>
      <c r="B297">
        <v>543</v>
      </c>
      <c r="C297">
        <v>179</v>
      </c>
      <c r="D297">
        <v>2500</v>
      </c>
      <c r="G297" t="s">
        <v>4083</v>
      </c>
      <c r="H297">
        <v>21736169000184</v>
      </c>
      <c r="I297" t="s">
        <v>3546</v>
      </c>
      <c r="J297" t="s">
        <v>1243</v>
      </c>
      <c r="K297" t="s">
        <v>3547</v>
      </c>
      <c r="M297" t="s">
        <v>3548</v>
      </c>
      <c r="O297" t="s">
        <v>3549</v>
      </c>
      <c r="P297" t="s">
        <v>3550</v>
      </c>
      <c r="Q297" t="s">
        <v>874</v>
      </c>
      <c r="T297" t="s">
        <v>319</v>
      </c>
      <c r="U297" t="s">
        <v>816</v>
      </c>
      <c r="W297">
        <v>4200</v>
      </c>
      <c r="X297">
        <v>0</v>
      </c>
      <c r="Z297">
        <v>39</v>
      </c>
      <c r="AA297" s="31">
        <v>45890</v>
      </c>
      <c r="AB297" s="61">
        <v>0.4518287037037037</v>
      </c>
      <c r="AC297" t="s">
        <v>795</v>
      </c>
      <c r="AD297" s="31">
        <v>45929</v>
      </c>
      <c r="AE297" s="61">
        <v>0.44091435185185179</v>
      </c>
      <c r="AF297" t="s">
        <v>796</v>
      </c>
      <c r="AH297" t="s">
        <v>4084</v>
      </c>
      <c r="AQ297">
        <v>1</v>
      </c>
    </row>
    <row r="298" spans="1:43" x14ac:dyDescent="0.3">
      <c r="A298" t="s">
        <v>31</v>
      </c>
      <c r="B298">
        <v>544</v>
      </c>
      <c r="C298">
        <v>76</v>
      </c>
      <c r="D298">
        <v>2501</v>
      </c>
      <c r="G298" t="s">
        <v>4085</v>
      </c>
      <c r="I298" t="s">
        <v>225</v>
      </c>
      <c r="J298" t="s">
        <v>4086</v>
      </c>
      <c r="K298" t="s">
        <v>3623</v>
      </c>
      <c r="M298" t="s">
        <v>3233</v>
      </c>
      <c r="O298" t="s">
        <v>778</v>
      </c>
      <c r="P298" t="s">
        <v>3234</v>
      </c>
      <c r="Q298" t="s">
        <v>1699</v>
      </c>
      <c r="T298" t="s">
        <v>319</v>
      </c>
      <c r="U298" t="s">
        <v>816</v>
      </c>
      <c r="W298">
        <v>1680</v>
      </c>
      <c r="X298">
        <v>0</v>
      </c>
      <c r="Z298">
        <v>0</v>
      </c>
      <c r="AA298" s="31">
        <v>45890</v>
      </c>
      <c r="AB298" s="61">
        <v>0.4753472222222222</v>
      </c>
      <c r="AC298" t="s">
        <v>818</v>
      </c>
      <c r="AD298" s="31">
        <v>45890</v>
      </c>
      <c r="AE298" s="61">
        <v>0.66390046296296301</v>
      </c>
      <c r="AH298" t="s">
        <v>4084</v>
      </c>
      <c r="AQ298">
        <v>1</v>
      </c>
    </row>
    <row r="299" spans="1:43" x14ac:dyDescent="0.3">
      <c r="A299" t="s">
        <v>31</v>
      </c>
      <c r="B299">
        <v>547</v>
      </c>
      <c r="C299">
        <v>76</v>
      </c>
      <c r="D299">
        <v>2503</v>
      </c>
      <c r="G299" t="s">
        <v>4087</v>
      </c>
      <c r="I299" t="s">
        <v>225</v>
      </c>
      <c r="J299" t="s">
        <v>3691</v>
      </c>
      <c r="K299" t="s">
        <v>3623</v>
      </c>
      <c r="M299" t="s">
        <v>3233</v>
      </c>
      <c r="O299" t="s">
        <v>778</v>
      </c>
      <c r="P299" t="s">
        <v>3234</v>
      </c>
      <c r="Q299" t="s">
        <v>1699</v>
      </c>
      <c r="T299" t="s">
        <v>319</v>
      </c>
      <c r="U299" t="s">
        <v>816</v>
      </c>
      <c r="W299">
        <v>1680</v>
      </c>
      <c r="X299">
        <v>64152</v>
      </c>
      <c r="Z299">
        <v>21</v>
      </c>
      <c r="AA299" s="31">
        <v>45894</v>
      </c>
      <c r="AB299" s="61">
        <v>0.41486111111111112</v>
      </c>
      <c r="AC299" t="s">
        <v>818</v>
      </c>
      <c r="AD299" s="31">
        <v>45915</v>
      </c>
      <c r="AE299" s="61">
        <v>0.47063657407407411</v>
      </c>
      <c r="AH299" t="s">
        <v>2048</v>
      </c>
      <c r="AI299" t="s">
        <v>2048</v>
      </c>
      <c r="AQ299">
        <v>1</v>
      </c>
    </row>
    <row r="300" spans="1:43" x14ac:dyDescent="0.3">
      <c r="A300" t="s">
        <v>31</v>
      </c>
      <c r="B300">
        <v>548</v>
      </c>
      <c r="C300">
        <v>190</v>
      </c>
      <c r="D300">
        <v>2504</v>
      </c>
      <c r="G300" t="s">
        <v>4088</v>
      </c>
      <c r="H300">
        <v>18203215000175</v>
      </c>
      <c r="I300" t="s">
        <v>3690</v>
      </c>
      <c r="J300" t="s">
        <v>4089</v>
      </c>
      <c r="K300" t="s">
        <v>3692</v>
      </c>
      <c r="M300" t="s">
        <v>3693</v>
      </c>
      <c r="O300" t="s">
        <v>3694</v>
      </c>
      <c r="P300" t="s">
        <v>3695</v>
      </c>
      <c r="Q300" t="s">
        <v>790</v>
      </c>
      <c r="T300" t="s">
        <v>319</v>
      </c>
      <c r="U300" t="s">
        <v>816</v>
      </c>
      <c r="W300">
        <v>3360</v>
      </c>
      <c r="X300">
        <v>0</v>
      </c>
      <c r="Z300">
        <v>9</v>
      </c>
      <c r="AA300" s="31">
        <v>45894</v>
      </c>
      <c r="AB300" s="61">
        <v>0.43626157407407412</v>
      </c>
      <c r="AC300" t="s">
        <v>818</v>
      </c>
      <c r="AD300" s="31">
        <v>45903</v>
      </c>
      <c r="AE300" s="61">
        <v>0.51253472222222218</v>
      </c>
      <c r="AH300" t="s">
        <v>2048</v>
      </c>
      <c r="AQ300">
        <v>1</v>
      </c>
    </row>
    <row r="301" spans="1:43" x14ac:dyDescent="0.3">
      <c r="A301" t="s">
        <v>31</v>
      </c>
      <c r="B301">
        <v>549</v>
      </c>
      <c r="C301">
        <v>208</v>
      </c>
      <c r="D301">
        <v>2505</v>
      </c>
      <c r="G301" t="s">
        <v>4090</v>
      </c>
      <c r="H301">
        <v>42830750000130</v>
      </c>
      <c r="I301" t="s">
        <v>3903</v>
      </c>
      <c r="J301" t="s">
        <v>4091</v>
      </c>
      <c r="K301" t="s">
        <v>3905</v>
      </c>
      <c r="M301" t="s">
        <v>3906</v>
      </c>
      <c r="O301" t="s">
        <v>3907</v>
      </c>
      <c r="P301" t="s">
        <v>1094</v>
      </c>
      <c r="Q301" t="s">
        <v>790</v>
      </c>
      <c r="T301" t="s">
        <v>319</v>
      </c>
      <c r="U301" t="s">
        <v>3417</v>
      </c>
      <c r="W301">
        <v>3360</v>
      </c>
      <c r="X301">
        <v>7128</v>
      </c>
      <c r="Z301">
        <v>7</v>
      </c>
      <c r="AA301" s="31">
        <v>45894</v>
      </c>
      <c r="AB301" s="61">
        <v>0.49232638888888891</v>
      </c>
      <c r="AC301" t="s">
        <v>795</v>
      </c>
      <c r="AD301" s="31">
        <v>45901</v>
      </c>
      <c r="AE301" s="61">
        <v>0.45027777777777778</v>
      </c>
      <c r="AF301" t="s">
        <v>934</v>
      </c>
      <c r="AH301" t="s">
        <v>2048</v>
      </c>
      <c r="AI301" t="s">
        <v>2048</v>
      </c>
      <c r="AQ301">
        <v>1</v>
      </c>
    </row>
    <row r="302" spans="1:43" x14ac:dyDescent="0.3">
      <c r="A302" t="s">
        <v>31</v>
      </c>
      <c r="B302">
        <v>551</v>
      </c>
      <c r="C302">
        <v>130</v>
      </c>
      <c r="D302">
        <v>2507</v>
      </c>
      <c r="G302" t="s">
        <v>4092</v>
      </c>
      <c r="I302" t="s">
        <v>141</v>
      </c>
      <c r="J302" t="s">
        <v>3675</v>
      </c>
      <c r="K302" t="s">
        <v>3676</v>
      </c>
      <c r="M302" t="s">
        <v>3368</v>
      </c>
      <c r="O302" t="s">
        <v>778</v>
      </c>
      <c r="P302" t="s">
        <v>923</v>
      </c>
      <c r="Q302" t="s">
        <v>790</v>
      </c>
      <c r="T302" t="s">
        <v>319</v>
      </c>
      <c r="U302" t="s">
        <v>816</v>
      </c>
      <c r="W302">
        <v>2000</v>
      </c>
      <c r="X302">
        <v>0</v>
      </c>
      <c r="Z302">
        <v>0</v>
      </c>
      <c r="AA302" s="31">
        <v>45894</v>
      </c>
      <c r="AB302" s="61">
        <v>0.60696759259259259</v>
      </c>
      <c r="AC302" t="s">
        <v>818</v>
      </c>
      <c r="AD302" s="31">
        <v>45894</v>
      </c>
      <c r="AE302" s="61">
        <v>0.64976851851851847</v>
      </c>
      <c r="AH302" t="s">
        <v>2048</v>
      </c>
      <c r="AQ302">
        <v>1</v>
      </c>
    </row>
    <row r="303" spans="1:43" x14ac:dyDescent="0.3">
      <c r="A303" t="s">
        <v>31</v>
      </c>
      <c r="B303">
        <v>554</v>
      </c>
      <c r="C303">
        <v>0</v>
      </c>
      <c r="D303">
        <v>2510</v>
      </c>
      <c r="G303" t="s">
        <v>4093</v>
      </c>
      <c r="H303">
        <v>49119936000125</v>
      </c>
      <c r="J303" t="s">
        <v>4094</v>
      </c>
      <c r="K303" t="s">
        <v>4095</v>
      </c>
      <c r="M303" t="s">
        <v>4096</v>
      </c>
      <c r="O303" t="s">
        <v>778</v>
      </c>
      <c r="T303" t="s">
        <v>319</v>
      </c>
      <c r="U303" t="s">
        <v>781</v>
      </c>
      <c r="Z303">
        <v>35</v>
      </c>
      <c r="AA303" s="31">
        <v>45895</v>
      </c>
      <c r="AB303" s="61">
        <v>0.47723379629629631</v>
      </c>
      <c r="AC303" t="s">
        <v>795</v>
      </c>
      <c r="AD303" s="31">
        <v>45930</v>
      </c>
      <c r="AE303" s="61">
        <v>0.69893518518518516</v>
      </c>
      <c r="AF303" t="s">
        <v>796</v>
      </c>
      <c r="AQ303">
        <v>1</v>
      </c>
    </row>
    <row r="304" spans="1:43" x14ac:dyDescent="0.3">
      <c r="A304" t="s">
        <v>31</v>
      </c>
      <c r="B304">
        <v>555</v>
      </c>
      <c r="C304">
        <v>129</v>
      </c>
      <c r="D304">
        <v>2513</v>
      </c>
      <c r="G304" t="s">
        <v>3535</v>
      </c>
      <c r="I304" t="s">
        <v>679</v>
      </c>
      <c r="J304" t="s">
        <v>928</v>
      </c>
      <c r="K304" t="s">
        <v>3537</v>
      </c>
      <c r="M304" t="s">
        <v>3366</v>
      </c>
      <c r="O304" t="s">
        <v>778</v>
      </c>
      <c r="T304" t="s">
        <v>319</v>
      </c>
      <c r="U304" t="s">
        <v>816</v>
      </c>
      <c r="W304">
        <v>50000</v>
      </c>
      <c r="X304">
        <v>68904</v>
      </c>
      <c r="Z304">
        <v>21</v>
      </c>
      <c r="AA304" s="31">
        <v>45895</v>
      </c>
      <c r="AB304" s="61">
        <v>0.51844907407407403</v>
      </c>
      <c r="AC304" t="s">
        <v>818</v>
      </c>
      <c r="AD304" s="31">
        <v>45916</v>
      </c>
      <c r="AE304" s="61">
        <v>0.65458333333333329</v>
      </c>
      <c r="AH304" t="s">
        <v>4097</v>
      </c>
      <c r="AI304" t="s">
        <v>4097</v>
      </c>
      <c r="AQ304">
        <v>1</v>
      </c>
    </row>
    <row r="305" spans="1:43" x14ac:dyDescent="0.3">
      <c r="A305" t="s">
        <v>31</v>
      </c>
      <c r="B305">
        <v>556</v>
      </c>
      <c r="C305">
        <v>118</v>
      </c>
      <c r="D305">
        <v>2514</v>
      </c>
      <c r="G305" t="s">
        <v>4098</v>
      </c>
      <c r="I305" t="s">
        <v>686</v>
      </c>
      <c r="J305" t="s">
        <v>162</v>
      </c>
      <c r="K305" t="s">
        <v>3609</v>
      </c>
      <c r="M305" t="s">
        <v>3343</v>
      </c>
      <c r="O305" t="s">
        <v>778</v>
      </c>
      <c r="T305" t="s">
        <v>319</v>
      </c>
      <c r="U305" t="s">
        <v>3417</v>
      </c>
      <c r="W305">
        <v>8400</v>
      </c>
      <c r="X305">
        <v>0</v>
      </c>
      <c r="Z305">
        <v>23</v>
      </c>
      <c r="AA305" s="31">
        <v>45895</v>
      </c>
      <c r="AB305" s="61">
        <v>0.52089120370370368</v>
      </c>
      <c r="AC305" t="s">
        <v>795</v>
      </c>
      <c r="AD305" s="31">
        <v>45918</v>
      </c>
      <c r="AE305" s="61">
        <v>0.51217592592592598</v>
      </c>
      <c r="AF305" t="s">
        <v>934</v>
      </c>
      <c r="AH305" t="s">
        <v>4097</v>
      </c>
      <c r="AI305" t="s">
        <v>4097</v>
      </c>
      <c r="AQ305">
        <v>1</v>
      </c>
    </row>
    <row r="306" spans="1:43" x14ac:dyDescent="0.3">
      <c r="A306" t="s">
        <v>31</v>
      </c>
      <c r="B306">
        <v>560</v>
      </c>
      <c r="C306">
        <v>142</v>
      </c>
      <c r="D306">
        <v>2522</v>
      </c>
      <c r="G306" t="s">
        <v>4099</v>
      </c>
      <c r="I306" t="s">
        <v>3397</v>
      </c>
      <c r="J306" t="s">
        <v>2610</v>
      </c>
      <c r="K306" t="s">
        <v>3698</v>
      </c>
      <c r="M306" t="s">
        <v>3399</v>
      </c>
      <c r="O306" t="s">
        <v>778</v>
      </c>
      <c r="P306" t="s">
        <v>3400</v>
      </c>
      <c r="Q306" t="s">
        <v>1699</v>
      </c>
      <c r="T306" t="s">
        <v>319</v>
      </c>
      <c r="U306" t="s">
        <v>3417</v>
      </c>
      <c r="W306">
        <v>3360</v>
      </c>
      <c r="X306">
        <v>7128</v>
      </c>
      <c r="Z306">
        <v>14</v>
      </c>
      <c r="AA306" s="31">
        <v>45898</v>
      </c>
      <c r="AB306" s="61">
        <v>0.67541666666666667</v>
      </c>
      <c r="AC306" t="s">
        <v>795</v>
      </c>
      <c r="AD306" s="31">
        <v>45912</v>
      </c>
      <c r="AE306" s="61">
        <v>0.71483796296296298</v>
      </c>
      <c r="AF306" t="s">
        <v>934</v>
      </c>
      <c r="AH306" t="s">
        <v>4100</v>
      </c>
      <c r="AI306" t="s">
        <v>4100</v>
      </c>
      <c r="AQ306">
        <v>1</v>
      </c>
    </row>
    <row r="307" spans="1:43" x14ac:dyDescent="0.3">
      <c r="A307" t="s">
        <v>31</v>
      </c>
      <c r="B307">
        <v>565</v>
      </c>
      <c r="C307">
        <v>185</v>
      </c>
      <c r="D307">
        <v>2537</v>
      </c>
      <c r="G307" t="s">
        <v>4101</v>
      </c>
      <c r="H307">
        <v>51496785000176</v>
      </c>
      <c r="I307" t="s">
        <v>3599</v>
      </c>
      <c r="J307" t="s">
        <v>3600</v>
      </c>
      <c r="K307" t="s">
        <v>3601</v>
      </c>
      <c r="M307" t="s">
        <v>3602</v>
      </c>
      <c r="O307" t="s">
        <v>3603</v>
      </c>
      <c r="P307" t="s">
        <v>847</v>
      </c>
      <c r="Q307" t="s">
        <v>848</v>
      </c>
      <c r="T307" t="s">
        <v>319</v>
      </c>
      <c r="U307" t="s">
        <v>816</v>
      </c>
      <c r="W307">
        <v>293842</v>
      </c>
      <c r="X307">
        <v>0</v>
      </c>
      <c r="Z307">
        <v>3</v>
      </c>
      <c r="AA307" s="31">
        <v>45901</v>
      </c>
      <c r="AB307" s="61">
        <v>0.66069444444444447</v>
      </c>
      <c r="AC307" t="s">
        <v>818</v>
      </c>
      <c r="AD307" s="31">
        <v>45904</v>
      </c>
      <c r="AE307" s="61">
        <v>0.62457175925925923</v>
      </c>
      <c r="AH307" t="s">
        <v>4102</v>
      </c>
      <c r="AQ307">
        <v>1</v>
      </c>
    </row>
    <row r="308" spans="1:43" x14ac:dyDescent="0.3">
      <c r="A308" t="s">
        <v>31</v>
      </c>
      <c r="B308">
        <v>568</v>
      </c>
      <c r="C308">
        <v>199</v>
      </c>
      <c r="D308">
        <v>2542</v>
      </c>
      <c r="G308" t="s">
        <v>4103</v>
      </c>
      <c r="H308">
        <v>50963243000101</v>
      </c>
      <c r="I308" t="s">
        <v>3750</v>
      </c>
      <c r="J308" t="s">
        <v>3844</v>
      </c>
      <c r="K308" t="s">
        <v>3752</v>
      </c>
      <c r="M308" t="s">
        <v>3753</v>
      </c>
      <c r="O308" t="s">
        <v>3754</v>
      </c>
      <c r="P308" t="s">
        <v>1094</v>
      </c>
      <c r="Q308" t="s">
        <v>790</v>
      </c>
      <c r="T308" t="s">
        <v>319</v>
      </c>
      <c r="U308" t="s">
        <v>816</v>
      </c>
      <c r="W308">
        <v>3024</v>
      </c>
      <c r="X308">
        <v>0</v>
      </c>
      <c r="Z308">
        <v>1</v>
      </c>
      <c r="AA308" s="31">
        <v>45902</v>
      </c>
      <c r="AB308" s="61">
        <v>0.50137731481481485</v>
      </c>
      <c r="AC308" t="s">
        <v>818</v>
      </c>
      <c r="AD308" s="31">
        <v>45903</v>
      </c>
      <c r="AE308" s="61">
        <v>0.51120370370370372</v>
      </c>
      <c r="AH308" t="s">
        <v>2213</v>
      </c>
      <c r="AQ308">
        <v>1</v>
      </c>
    </row>
    <row r="309" spans="1:43" x14ac:dyDescent="0.3">
      <c r="A309" t="s">
        <v>31</v>
      </c>
      <c r="B309">
        <v>569</v>
      </c>
      <c r="C309">
        <v>130</v>
      </c>
      <c r="D309">
        <v>2543</v>
      </c>
      <c r="G309" t="s">
        <v>4104</v>
      </c>
      <c r="I309" t="s">
        <v>141</v>
      </c>
      <c r="J309" t="s">
        <v>3675</v>
      </c>
      <c r="K309" t="s">
        <v>3676</v>
      </c>
      <c r="M309" t="s">
        <v>3368</v>
      </c>
      <c r="O309" t="s">
        <v>778</v>
      </c>
      <c r="P309" t="s">
        <v>923</v>
      </c>
      <c r="Q309" t="s">
        <v>790</v>
      </c>
      <c r="T309" t="s">
        <v>319</v>
      </c>
      <c r="U309" t="s">
        <v>816</v>
      </c>
      <c r="W309">
        <v>11340</v>
      </c>
      <c r="X309">
        <v>42982</v>
      </c>
      <c r="Z309">
        <v>8</v>
      </c>
      <c r="AA309" s="31">
        <v>45903</v>
      </c>
      <c r="AB309" s="61">
        <v>0.4649537037037037</v>
      </c>
      <c r="AC309" t="s">
        <v>818</v>
      </c>
      <c r="AD309" s="31">
        <v>45911</v>
      </c>
      <c r="AE309" s="61">
        <v>0.42986111111111108</v>
      </c>
      <c r="AH309" t="s">
        <v>4105</v>
      </c>
      <c r="AI309" t="s">
        <v>4105</v>
      </c>
      <c r="AQ309">
        <v>1</v>
      </c>
    </row>
    <row r="310" spans="1:43" x14ac:dyDescent="0.3">
      <c r="A310" t="s">
        <v>31</v>
      </c>
      <c r="B310">
        <v>570</v>
      </c>
      <c r="C310">
        <v>122</v>
      </c>
      <c r="D310">
        <v>2544</v>
      </c>
      <c r="G310" t="s">
        <v>4106</v>
      </c>
      <c r="I310" t="s">
        <v>680</v>
      </c>
      <c r="J310" t="s">
        <v>680</v>
      </c>
      <c r="K310" t="s">
        <v>3867</v>
      </c>
      <c r="M310" t="s">
        <v>3351</v>
      </c>
      <c r="O310" t="s">
        <v>778</v>
      </c>
      <c r="T310" t="s">
        <v>319</v>
      </c>
      <c r="U310" t="s">
        <v>816</v>
      </c>
      <c r="W310">
        <v>1008</v>
      </c>
      <c r="X310">
        <v>0</v>
      </c>
      <c r="Z310">
        <v>0</v>
      </c>
      <c r="AA310" s="31">
        <v>45903</v>
      </c>
      <c r="AB310" s="61">
        <v>0.47706018518518523</v>
      </c>
      <c r="AC310" t="s">
        <v>818</v>
      </c>
      <c r="AD310" s="31">
        <v>45903</v>
      </c>
      <c r="AE310" s="61">
        <v>0.51025462962962964</v>
      </c>
      <c r="AH310" t="s">
        <v>4105</v>
      </c>
      <c r="AQ310">
        <v>1</v>
      </c>
    </row>
    <row r="311" spans="1:43" x14ac:dyDescent="0.3">
      <c r="A311" t="s">
        <v>31</v>
      </c>
      <c r="B311">
        <v>571</v>
      </c>
      <c r="C311">
        <v>194</v>
      </c>
      <c r="D311">
        <v>2546</v>
      </c>
      <c r="G311" t="s">
        <v>4107</v>
      </c>
      <c r="H311">
        <v>44580314000186</v>
      </c>
      <c r="I311" t="s">
        <v>3682</v>
      </c>
      <c r="J311" t="s">
        <v>3683</v>
      </c>
      <c r="K311" t="s">
        <v>3684</v>
      </c>
      <c r="M311" t="s">
        <v>3685</v>
      </c>
      <c r="O311" t="s">
        <v>3686</v>
      </c>
      <c r="P311" t="s">
        <v>3687</v>
      </c>
      <c r="Q311" t="s">
        <v>790</v>
      </c>
      <c r="T311" t="s">
        <v>319</v>
      </c>
      <c r="U311" t="s">
        <v>816</v>
      </c>
      <c r="W311">
        <v>7200</v>
      </c>
      <c r="X311">
        <v>0</v>
      </c>
      <c r="Z311">
        <v>0</v>
      </c>
      <c r="AA311" s="31">
        <v>45903</v>
      </c>
      <c r="AB311" s="61">
        <v>0.6932638888888889</v>
      </c>
      <c r="AC311" t="s">
        <v>818</v>
      </c>
      <c r="AD311" s="31">
        <v>45903</v>
      </c>
      <c r="AE311" s="61">
        <v>0.7319444444444444</v>
      </c>
      <c r="AH311" t="s">
        <v>4105</v>
      </c>
      <c r="AI311" t="s">
        <v>4105</v>
      </c>
      <c r="AQ311">
        <v>1</v>
      </c>
    </row>
    <row r="312" spans="1:43" x14ac:dyDescent="0.3">
      <c r="A312" t="s">
        <v>31</v>
      </c>
      <c r="B312">
        <v>572</v>
      </c>
      <c r="C312">
        <v>137</v>
      </c>
      <c r="D312">
        <v>2548</v>
      </c>
      <c r="G312" t="s">
        <v>3701</v>
      </c>
      <c r="I312" t="s">
        <v>116</v>
      </c>
      <c r="J312" t="s">
        <v>704</v>
      </c>
      <c r="K312" t="s">
        <v>3703</v>
      </c>
      <c r="M312" t="s">
        <v>3386</v>
      </c>
      <c r="O312" t="s">
        <v>778</v>
      </c>
      <c r="T312" t="s">
        <v>319</v>
      </c>
      <c r="U312" t="s">
        <v>816</v>
      </c>
      <c r="W312">
        <v>0</v>
      </c>
      <c r="X312">
        <v>55241</v>
      </c>
      <c r="Z312">
        <v>21</v>
      </c>
      <c r="AA312" s="31">
        <v>45908</v>
      </c>
      <c r="AB312" s="61">
        <v>0.42853009259259262</v>
      </c>
      <c r="AC312" t="s">
        <v>795</v>
      </c>
      <c r="AD312" s="31">
        <v>45929</v>
      </c>
      <c r="AE312" s="61">
        <v>0.3904050925925926</v>
      </c>
      <c r="AF312" t="s">
        <v>1358</v>
      </c>
      <c r="AH312" t="s">
        <v>4108</v>
      </c>
      <c r="AI312" t="s">
        <v>4108</v>
      </c>
      <c r="AQ312">
        <v>1</v>
      </c>
    </row>
    <row r="313" spans="1:43" x14ac:dyDescent="0.3">
      <c r="A313" t="s">
        <v>31</v>
      </c>
      <c r="B313">
        <v>573</v>
      </c>
      <c r="C313">
        <v>85</v>
      </c>
      <c r="D313">
        <v>2550</v>
      </c>
      <c r="G313" t="s">
        <v>4109</v>
      </c>
      <c r="I313" t="s">
        <v>3261</v>
      </c>
      <c r="J313" t="s">
        <v>3971</v>
      </c>
      <c r="K313" t="s">
        <v>3972</v>
      </c>
      <c r="M313" t="s">
        <v>3263</v>
      </c>
      <c r="O313" t="s">
        <v>778</v>
      </c>
      <c r="P313" t="s">
        <v>3264</v>
      </c>
      <c r="T313" t="s">
        <v>319</v>
      </c>
      <c r="U313" t="s">
        <v>3417</v>
      </c>
      <c r="W313">
        <v>3360</v>
      </c>
      <c r="X313">
        <v>3564</v>
      </c>
      <c r="Z313">
        <v>4</v>
      </c>
      <c r="AA313" s="31">
        <v>45908</v>
      </c>
      <c r="AB313" s="61">
        <v>0.69795138888888886</v>
      </c>
      <c r="AC313" t="s">
        <v>795</v>
      </c>
      <c r="AD313" s="31">
        <v>45912</v>
      </c>
      <c r="AE313" s="61">
        <v>0.44373842592592588</v>
      </c>
      <c r="AF313" t="s">
        <v>974</v>
      </c>
      <c r="AH313" t="s">
        <v>4108</v>
      </c>
      <c r="AI313" t="s">
        <v>4108</v>
      </c>
      <c r="AQ313">
        <v>1</v>
      </c>
    </row>
    <row r="314" spans="1:43" x14ac:dyDescent="0.3">
      <c r="A314" t="s">
        <v>31</v>
      </c>
      <c r="B314">
        <v>574</v>
      </c>
      <c r="C314">
        <v>159</v>
      </c>
      <c r="D314">
        <v>823</v>
      </c>
      <c r="G314" t="s">
        <v>4110</v>
      </c>
      <c r="H314">
        <v>43526090000161</v>
      </c>
      <c r="I314" t="s">
        <v>913</v>
      </c>
      <c r="J314" t="s">
        <v>914</v>
      </c>
      <c r="K314" t="s">
        <v>915</v>
      </c>
      <c r="M314" t="s">
        <v>916</v>
      </c>
      <c r="O314" t="s">
        <v>778</v>
      </c>
      <c r="P314" t="s">
        <v>909</v>
      </c>
      <c r="Q314" t="s">
        <v>790</v>
      </c>
      <c r="T314" t="s">
        <v>319</v>
      </c>
      <c r="U314" t="s">
        <v>3417</v>
      </c>
      <c r="W314">
        <v>3360</v>
      </c>
      <c r="X314">
        <v>3564</v>
      </c>
      <c r="Z314">
        <v>21</v>
      </c>
      <c r="AA314" s="31">
        <v>45909</v>
      </c>
      <c r="AB314" s="61">
        <v>0.62616898148148148</v>
      </c>
      <c r="AC314" t="s">
        <v>795</v>
      </c>
      <c r="AD314" s="31">
        <v>45930</v>
      </c>
      <c r="AE314" s="61">
        <v>0.38518518518518519</v>
      </c>
      <c r="AF314" t="s">
        <v>934</v>
      </c>
      <c r="AH314" t="s">
        <v>2209</v>
      </c>
      <c r="AI314" t="s">
        <v>2209</v>
      </c>
      <c r="AQ314">
        <v>1</v>
      </c>
    </row>
    <row r="315" spans="1:43" x14ac:dyDescent="0.3">
      <c r="A315" t="s">
        <v>31</v>
      </c>
      <c r="B315">
        <v>579</v>
      </c>
      <c r="C315">
        <v>208</v>
      </c>
      <c r="D315">
        <v>2552</v>
      </c>
      <c r="G315" t="s">
        <v>4111</v>
      </c>
      <c r="H315">
        <v>42830750000130</v>
      </c>
      <c r="I315" t="s">
        <v>3903</v>
      </c>
      <c r="J315" t="s">
        <v>4091</v>
      </c>
      <c r="K315" t="s">
        <v>3905</v>
      </c>
      <c r="M315" t="s">
        <v>3906</v>
      </c>
      <c r="O315" t="s">
        <v>3907</v>
      </c>
      <c r="P315" t="s">
        <v>1094</v>
      </c>
      <c r="Q315" t="s">
        <v>790</v>
      </c>
      <c r="T315" t="s">
        <v>319</v>
      </c>
      <c r="U315" t="s">
        <v>3606</v>
      </c>
      <c r="Z315">
        <v>0</v>
      </c>
      <c r="AA315" s="31">
        <v>45911</v>
      </c>
      <c r="AB315" s="61">
        <v>0.43406250000000002</v>
      </c>
      <c r="AC315" t="s">
        <v>795</v>
      </c>
      <c r="AD315" s="31">
        <v>45911</v>
      </c>
      <c r="AE315" s="61">
        <v>0.4347685185185185</v>
      </c>
      <c r="AF315" t="s">
        <v>796</v>
      </c>
      <c r="AI315" t="s">
        <v>2107</v>
      </c>
      <c r="AQ315">
        <v>1</v>
      </c>
    </row>
    <row r="316" spans="1:43" x14ac:dyDescent="0.3">
      <c r="A316" t="s">
        <v>31</v>
      </c>
      <c r="B316">
        <v>580</v>
      </c>
      <c r="C316">
        <v>174</v>
      </c>
      <c r="D316">
        <v>2553</v>
      </c>
      <c r="G316" t="s">
        <v>4112</v>
      </c>
      <c r="H316">
        <v>45238441000164</v>
      </c>
      <c r="I316" t="s">
        <v>3507</v>
      </c>
      <c r="J316" t="s">
        <v>3995</v>
      </c>
      <c r="K316" t="s">
        <v>3509</v>
      </c>
      <c r="L316">
        <v>11973359869</v>
      </c>
      <c r="M316" t="s">
        <v>3510</v>
      </c>
      <c r="O316" t="s">
        <v>3511</v>
      </c>
      <c r="P316" t="s">
        <v>1094</v>
      </c>
      <c r="Q316" t="s">
        <v>790</v>
      </c>
      <c r="T316" t="s">
        <v>319</v>
      </c>
      <c r="U316" t="s">
        <v>816</v>
      </c>
      <c r="W316">
        <v>8064</v>
      </c>
      <c r="X316">
        <v>0</v>
      </c>
      <c r="Z316">
        <v>40</v>
      </c>
      <c r="AA316" s="31">
        <v>45911</v>
      </c>
      <c r="AB316" s="61">
        <v>0.43517361111111108</v>
      </c>
      <c r="AC316" t="s">
        <v>818</v>
      </c>
      <c r="AD316" s="31">
        <v>45951</v>
      </c>
      <c r="AE316" s="61">
        <v>0.44538194444444451</v>
      </c>
      <c r="AH316" t="s">
        <v>4113</v>
      </c>
      <c r="AI316" t="s">
        <v>2107</v>
      </c>
      <c r="AQ316">
        <v>1</v>
      </c>
    </row>
    <row r="317" spans="1:43" x14ac:dyDescent="0.3">
      <c r="A317" t="s">
        <v>31</v>
      </c>
      <c r="B317">
        <v>581</v>
      </c>
      <c r="C317">
        <v>150</v>
      </c>
      <c r="D317">
        <v>2554</v>
      </c>
      <c r="G317" t="s">
        <v>4114</v>
      </c>
      <c r="H317">
        <v>32258848000101</v>
      </c>
      <c r="I317" t="s">
        <v>3435</v>
      </c>
      <c r="J317" t="s">
        <v>1540</v>
      </c>
      <c r="K317" t="s">
        <v>3493</v>
      </c>
      <c r="M317" t="s">
        <v>3437</v>
      </c>
      <c r="O317" t="s">
        <v>778</v>
      </c>
      <c r="T317" t="s">
        <v>319</v>
      </c>
      <c r="U317" t="s">
        <v>816</v>
      </c>
      <c r="W317">
        <v>7560</v>
      </c>
      <c r="X317">
        <v>0</v>
      </c>
      <c r="Z317">
        <v>1</v>
      </c>
      <c r="AA317" s="31">
        <v>45911</v>
      </c>
      <c r="AB317" s="61">
        <v>0.43752314814814808</v>
      </c>
      <c r="AC317" t="s">
        <v>818</v>
      </c>
      <c r="AD317" s="31">
        <v>45912</v>
      </c>
      <c r="AE317" s="61">
        <v>0.44337962962962962</v>
      </c>
      <c r="AH317" t="s">
        <v>2129</v>
      </c>
      <c r="AI317" t="s">
        <v>2107</v>
      </c>
      <c r="AQ317">
        <v>1</v>
      </c>
    </row>
    <row r="318" spans="1:43" x14ac:dyDescent="0.3">
      <c r="A318" t="s">
        <v>31</v>
      </c>
      <c r="B318">
        <v>584</v>
      </c>
      <c r="C318">
        <v>211</v>
      </c>
      <c r="D318">
        <v>2556</v>
      </c>
      <c r="G318" t="s">
        <v>4115</v>
      </c>
      <c r="H318">
        <v>5691820000190</v>
      </c>
      <c r="I318" t="s">
        <v>3912</v>
      </c>
      <c r="J318" t="s">
        <v>3431</v>
      </c>
      <c r="K318" t="s">
        <v>3913</v>
      </c>
      <c r="M318" t="s">
        <v>3914</v>
      </c>
      <c r="O318" t="s">
        <v>3915</v>
      </c>
      <c r="P318" t="s">
        <v>1026</v>
      </c>
      <c r="Q318" t="s">
        <v>1027</v>
      </c>
      <c r="T318" t="s">
        <v>319</v>
      </c>
      <c r="U318" t="s">
        <v>816</v>
      </c>
      <c r="W318">
        <v>630</v>
      </c>
      <c r="X318">
        <v>0</v>
      </c>
      <c r="Z318">
        <v>1</v>
      </c>
      <c r="AA318" s="31">
        <v>45911</v>
      </c>
      <c r="AB318" s="61">
        <v>0.7147337962962963</v>
      </c>
      <c r="AC318" t="s">
        <v>818</v>
      </c>
      <c r="AD318" s="31">
        <v>45912</v>
      </c>
      <c r="AE318" s="61">
        <v>0.42611111111111111</v>
      </c>
      <c r="AH318" t="s">
        <v>4116</v>
      </c>
      <c r="AQ318">
        <v>1</v>
      </c>
    </row>
    <row r="319" spans="1:43" x14ac:dyDescent="0.3">
      <c r="A319" t="s">
        <v>31</v>
      </c>
      <c r="B319">
        <v>586</v>
      </c>
      <c r="C319">
        <v>113</v>
      </c>
      <c r="D319">
        <v>2558</v>
      </c>
      <c r="G319" t="s">
        <v>4117</v>
      </c>
      <c r="H319">
        <v>5588978000130</v>
      </c>
      <c r="I319" t="s">
        <v>65</v>
      </c>
      <c r="J319" t="s">
        <v>4118</v>
      </c>
      <c r="K319" t="s">
        <v>3472</v>
      </c>
      <c r="M319" t="s">
        <v>3329</v>
      </c>
      <c r="O319" t="s">
        <v>778</v>
      </c>
      <c r="T319" t="s">
        <v>319</v>
      </c>
      <c r="U319" t="s">
        <v>3417</v>
      </c>
      <c r="W319">
        <v>1696</v>
      </c>
      <c r="X319">
        <v>0</v>
      </c>
      <c r="Z319">
        <v>14</v>
      </c>
      <c r="AA319" s="31">
        <v>45912</v>
      </c>
      <c r="AB319" s="61">
        <v>0.71891203703703699</v>
      </c>
      <c r="AC319" t="s">
        <v>795</v>
      </c>
      <c r="AD319" s="31">
        <v>45926</v>
      </c>
      <c r="AE319" s="61">
        <v>0.70046296296296295</v>
      </c>
      <c r="AF319" t="s">
        <v>796</v>
      </c>
      <c r="AH319" t="s">
        <v>4116</v>
      </c>
      <c r="AQ319">
        <v>1</v>
      </c>
    </row>
    <row r="320" spans="1:43" x14ac:dyDescent="0.3">
      <c r="A320" t="s">
        <v>31</v>
      </c>
      <c r="B320">
        <v>588</v>
      </c>
      <c r="C320">
        <v>133</v>
      </c>
      <c r="D320">
        <v>2560</v>
      </c>
      <c r="G320" t="s">
        <v>4119</v>
      </c>
      <c r="H320">
        <v>9517464000144</v>
      </c>
      <c r="I320" t="s">
        <v>625</v>
      </c>
      <c r="J320" t="s">
        <v>3899</v>
      </c>
      <c r="K320" t="s">
        <v>3584</v>
      </c>
      <c r="M320" t="s">
        <v>2207</v>
      </c>
      <c r="O320" t="s">
        <v>778</v>
      </c>
      <c r="T320" t="s">
        <v>319</v>
      </c>
      <c r="U320" t="s">
        <v>3417</v>
      </c>
      <c r="W320">
        <v>7200</v>
      </c>
      <c r="X320">
        <v>0</v>
      </c>
      <c r="Z320">
        <v>10</v>
      </c>
      <c r="AA320" s="31">
        <v>45915</v>
      </c>
      <c r="AB320" s="61">
        <v>0.66822916666666665</v>
      </c>
      <c r="AC320" t="s">
        <v>795</v>
      </c>
      <c r="AD320" s="31">
        <v>45925</v>
      </c>
      <c r="AE320" s="61">
        <v>0.72099537037037043</v>
      </c>
      <c r="AF320" t="s">
        <v>3463</v>
      </c>
      <c r="AH320" t="s">
        <v>2133</v>
      </c>
      <c r="AQ320">
        <v>1</v>
      </c>
    </row>
    <row r="321" spans="1:43" x14ac:dyDescent="0.3">
      <c r="A321" t="s">
        <v>31</v>
      </c>
      <c r="B321">
        <v>591</v>
      </c>
      <c r="C321">
        <v>76</v>
      </c>
      <c r="D321">
        <v>2562</v>
      </c>
      <c r="G321" t="s">
        <v>4120</v>
      </c>
      <c r="H321">
        <v>43372158000103</v>
      </c>
      <c r="I321" t="s">
        <v>225</v>
      </c>
      <c r="J321" t="s">
        <v>4121</v>
      </c>
      <c r="K321" t="s">
        <v>3623</v>
      </c>
      <c r="M321" t="s">
        <v>3233</v>
      </c>
      <c r="O321" t="s">
        <v>778</v>
      </c>
      <c r="P321" t="s">
        <v>3234</v>
      </c>
      <c r="Q321" t="s">
        <v>1699</v>
      </c>
      <c r="T321" t="s">
        <v>319</v>
      </c>
      <c r="U321" t="s">
        <v>816</v>
      </c>
      <c r="W321">
        <v>59632</v>
      </c>
      <c r="X321">
        <v>0</v>
      </c>
      <c r="Z321">
        <v>15</v>
      </c>
      <c r="AA321" s="31">
        <v>45916</v>
      </c>
      <c r="AB321" s="61">
        <v>0.65560185185185182</v>
      </c>
      <c r="AC321" t="s">
        <v>818</v>
      </c>
      <c r="AD321" s="31">
        <v>45931</v>
      </c>
      <c r="AE321" s="61">
        <v>0.40254629629629629</v>
      </c>
      <c r="AH321" t="s">
        <v>2142</v>
      </c>
      <c r="AQ321">
        <v>1</v>
      </c>
    </row>
    <row r="322" spans="1:43" x14ac:dyDescent="0.3">
      <c r="A322" t="s">
        <v>31</v>
      </c>
      <c r="B322">
        <v>592</v>
      </c>
      <c r="C322">
        <v>201</v>
      </c>
      <c r="D322">
        <v>2566</v>
      </c>
      <c r="G322" t="s">
        <v>4122</v>
      </c>
      <c r="H322">
        <v>5291214000188</v>
      </c>
      <c r="I322" t="s">
        <v>3770</v>
      </c>
      <c r="J322" t="s">
        <v>4123</v>
      </c>
      <c r="K322" t="s">
        <v>4124</v>
      </c>
      <c r="M322" t="s">
        <v>3772</v>
      </c>
      <c r="O322" t="s">
        <v>3773</v>
      </c>
      <c r="P322" t="s">
        <v>3774</v>
      </c>
      <c r="Q322" t="s">
        <v>1105</v>
      </c>
      <c r="T322" t="s">
        <v>319</v>
      </c>
      <c r="U322" t="s">
        <v>3417</v>
      </c>
      <c r="W322">
        <v>3600</v>
      </c>
      <c r="X322">
        <v>0</v>
      </c>
      <c r="Z322">
        <v>12</v>
      </c>
      <c r="AA322" s="31">
        <v>45918</v>
      </c>
      <c r="AB322" s="61">
        <v>0.42675925925925928</v>
      </c>
      <c r="AC322" t="s">
        <v>795</v>
      </c>
      <c r="AD322" s="31">
        <v>45930</v>
      </c>
      <c r="AE322" s="61">
        <v>0.38418981481481479</v>
      </c>
      <c r="AF322" t="s">
        <v>934</v>
      </c>
      <c r="AH322" t="s">
        <v>4125</v>
      </c>
      <c r="AI322" t="s">
        <v>4125</v>
      </c>
      <c r="AQ322">
        <v>1</v>
      </c>
    </row>
    <row r="323" spans="1:43" x14ac:dyDescent="0.3">
      <c r="A323" t="s">
        <v>31</v>
      </c>
      <c r="B323">
        <v>593</v>
      </c>
      <c r="C323">
        <v>141</v>
      </c>
      <c r="D323">
        <v>2567</v>
      </c>
      <c r="G323" t="s">
        <v>4126</v>
      </c>
      <c r="I323" t="s">
        <v>434</v>
      </c>
      <c r="J323" t="s">
        <v>914</v>
      </c>
      <c r="K323" t="s">
        <v>4127</v>
      </c>
      <c r="M323" t="s">
        <v>3396</v>
      </c>
      <c r="O323" t="s">
        <v>778</v>
      </c>
      <c r="T323" t="s">
        <v>319</v>
      </c>
      <c r="U323" t="s">
        <v>3417</v>
      </c>
      <c r="W323">
        <v>1600</v>
      </c>
      <c r="X323">
        <v>513518</v>
      </c>
      <c r="Z323">
        <v>8</v>
      </c>
      <c r="AA323" s="31">
        <v>45918</v>
      </c>
      <c r="AB323" s="61">
        <v>0.43583333333333341</v>
      </c>
      <c r="AC323" t="s">
        <v>795</v>
      </c>
      <c r="AD323" s="31">
        <v>45926</v>
      </c>
      <c r="AE323" s="61">
        <v>0.40023148148148152</v>
      </c>
      <c r="AF323" t="s">
        <v>934</v>
      </c>
      <c r="AH323" t="s">
        <v>4125</v>
      </c>
      <c r="AQ323">
        <v>1</v>
      </c>
    </row>
    <row r="324" spans="1:43" x14ac:dyDescent="0.3">
      <c r="A324" t="s">
        <v>31</v>
      </c>
      <c r="B324">
        <v>594</v>
      </c>
      <c r="C324">
        <v>196</v>
      </c>
      <c r="D324">
        <v>2568</v>
      </c>
      <c r="G324" t="s">
        <v>4128</v>
      </c>
      <c r="H324">
        <v>32494222000102</v>
      </c>
      <c r="I324" t="s">
        <v>3715</v>
      </c>
      <c r="J324" t="s">
        <v>3808</v>
      </c>
      <c r="K324" t="s">
        <v>3717</v>
      </c>
      <c r="M324" t="s">
        <v>3718</v>
      </c>
      <c r="O324" t="s">
        <v>3719</v>
      </c>
      <c r="P324" t="s">
        <v>3720</v>
      </c>
      <c r="Q324" t="s">
        <v>790</v>
      </c>
      <c r="T324" t="s">
        <v>319</v>
      </c>
      <c r="U324" t="s">
        <v>816</v>
      </c>
      <c r="W324">
        <v>2880</v>
      </c>
      <c r="X324">
        <v>32074</v>
      </c>
      <c r="Z324">
        <v>49</v>
      </c>
      <c r="AA324" s="31">
        <v>45918</v>
      </c>
      <c r="AB324" s="61">
        <v>0.46307870370370369</v>
      </c>
      <c r="AC324" t="s">
        <v>818</v>
      </c>
      <c r="AD324" s="31">
        <v>45953</v>
      </c>
      <c r="AE324" s="61">
        <v>0.40722222222222221</v>
      </c>
      <c r="AG324">
        <v>0</v>
      </c>
      <c r="AH324" t="s">
        <v>4125</v>
      </c>
      <c r="AI324" t="s">
        <v>4125</v>
      </c>
      <c r="AQ324">
        <v>1</v>
      </c>
    </row>
    <row r="325" spans="1:43" x14ac:dyDescent="0.3">
      <c r="A325" t="s">
        <v>31</v>
      </c>
      <c r="B325">
        <v>595</v>
      </c>
      <c r="C325">
        <v>153</v>
      </c>
      <c r="D325">
        <v>2569</v>
      </c>
      <c r="G325" t="s">
        <v>4129</v>
      </c>
      <c r="I325" t="s">
        <v>3451</v>
      </c>
      <c r="J325" t="s">
        <v>3982</v>
      </c>
      <c r="K325" t="s">
        <v>3983</v>
      </c>
      <c r="M325" t="s">
        <v>3454</v>
      </c>
      <c r="O325" t="s">
        <v>778</v>
      </c>
      <c r="T325" t="s">
        <v>319</v>
      </c>
      <c r="U325" t="s">
        <v>816</v>
      </c>
      <c r="W325">
        <v>21000</v>
      </c>
      <c r="X325">
        <v>57024</v>
      </c>
      <c r="Z325">
        <v>39</v>
      </c>
      <c r="AA325" s="31">
        <v>45918</v>
      </c>
      <c r="AB325" s="61">
        <v>0.62599537037037034</v>
      </c>
      <c r="AC325" t="s">
        <v>818</v>
      </c>
      <c r="AD325" s="31">
        <v>45957</v>
      </c>
      <c r="AE325" s="61">
        <v>0.69543981481481476</v>
      </c>
      <c r="AH325" t="s">
        <v>4125</v>
      </c>
      <c r="AI325" t="s">
        <v>4125</v>
      </c>
      <c r="AQ325">
        <v>1</v>
      </c>
    </row>
    <row r="326" spans="1:43" x14ac:dyDescent="0.3">
      <c r="A326" t="s">
        <v>31</v>
      </c>
      <c r="B326">
        <v>596</v>
      </c>
      <c r="C326">
        <v>190</v>
      </c>
      <c r="D326">
        <v>2570</v>
      </c>
      <c r="G326" t="s">
        <v>4130</v>
      </c>
      <c r="H326">
        <v>18203215000175</v>
      </c>
      <c r="I326" t="s">
        <v>3690</v>
      </c>
      <c r="J326" t="s">
        <v>4131</v>
      </c>
      <c r="K326" t="s">
        <v>3692</v>
      </c>
      <c r="M326" t="s">
        <v>3693</v>
      </c>
      <c r="O326" t="s">
        <v>3694</v>
      </c>
      <c r="P326" t="s">
        <v>3695</v>
      </c>
      <c r="Q326" t="s">
        <v>790</v>
      </c>
      <c r="T326" t="s">
        <v>319</v>
      </c>
      <c r="U326" t="s">
        <v>816</v>
      </c>
      <c r="W326">
        <v>4320</v>
      </c>
      <c r="X326">
        <v>0</v>
      </c>
      <c r="Z326">
        <v>0</v>
      </c>
      <c r="AA326" s="31">
        <v>45919</v>
      </c>
      <c r="AB326" s="61">
        <v>0.45946759259259262</v>
      </c>
      <c r="AC326" t="s">
        <v>818</v>
      </c>
      <c r="AD326" s="31">
        <v>45919</v>
      </c>
      <c r="AE326" s="61">
        <v>0.7117013888888889</v>
      </c>
      <c r="AH326" t="s">
        <v>4132</v>
      </c>
      <c r="AQ326">
        <v>1</v>
      </c>
    </row>
    <row r="327" spans="1:43" x14ac:dyDescent="0.3">
      <c r="A327" t="s">
        <v>31</v>
      </c>
      <c r="B327">
        <v>598</v>
      </c>
      <c r="C327">
        <v>183</v>
      </c>
      <c r="D327">
        <v>2577</v>
      </c>
      <c r="G327" t="s">
        <v>4133</v>
      </c>
      <c r="H327">
        <v>3204281000192</v>
      </c>
      <c r="I327" t="s">
        <v>3594</v>
      </c>
      <c r="J327" t="s">
        <v>3595</v>
      </c>
      <c r="K327" t="s">
        <v>3596</v>
      </c>
      <c r="M327" t="s">
        <v>2617</v>
      </c>
      <c r="O327" t="s">
        <v>3597</v>
      </c>
      <c r="P327" t="s">
        <v>2618</v>
      </c>
      <c r="Q327" t="s">
        <v>790</v>
      </c>
      <c r="T327" t="s">
        <v>319</v>
      </c>
      <c r="U327" t="s">
        <v>3417</v>
      </c>
      <c r="W327">
        <v>3360</v>
      </c>
      <c r="X327">
        <v>7128</v>
      </c>
      <c r="Z327">
        <v>7</v>
      </c>
      <c r="AA327" s="31">
        <v>45923</v>
      </c>
      <c r="AB327" s="61">
        <v>0.45662037037037029</v>
      </c>
      <c r="AC327" t="s">
        <v>795</v>
      </c>
      <c r="AD327" s="31">
        <v>45930</v>
      </c>
      <c r="AE327" s="61">
        <v>0.38368055555555558</v>
      </c>
      <c r="AF327" t="s">
        <v>1358</v>
      </c>
      <c r="AH327" t="s">
        <v>2154</v>
      </c>
      <c r="AI327" t="s">
        <v>2154</v>
      </c>
      <c r="AQ327">
        <v>1</v>
      </c>
    </row>
    <row r="328" spans="1:43" x14ac:dyDescent="0.3">
      <c r="A328" t="s">
        <v>31</v>
      </c>
      <c r="B328">
        <v>599</v>
      </c>
      <c r="C328">
        <v>150</v>
      </c>
      <c r="D328">
        <v>2578</v>
      </c>
      <c r="G328" t="s">
        <v>4134</v>
      </c>
      <c r="H328">
        <v>32258848000101</v>
      </c>
      <c r="I328" t="s">
        <v>3435</v>
      </c>
      <c r="J328" t="s">
        <v>1540</v>
      </c>
      <c r="K328" t="s">
        <v>3493</v>
      </c>
      <c r="M328" t="s">
        <v>3437</v>
      </c>
      <c r="O328" t="s">
        <v>778</v>
      </c>
      <c r="T328" t="s">
        <v>319</v>
      </c>
      <c r="U328" t="s">
        <v>816</v>
      </c>
      <c r="W328">
        <v>1440</v>
      </c>
      <c r="X328">
        <v>0</v>
      </c>
      <c r="Z328">
        <v>0</v>
      </c>
      <c r="AA328" s="31">
        <v>45923</v>
      </c>
      <c r="AB328" s="61">
        <v>0.50372685185185184</v>
      </c>
      <c r="AC328" t="s">
        <v>818</v>
      </c>
      <c r="AD328" s="31">
        <v>45923</v>
      </c>
      <c r="AE328" s="61">
        <v>0.50454861111111116</v>
      </c>
      <c r="AH328" t="s">
        <v>2154</v>
      </c>
      <c r="AQ328">
        <v>1</v>
      </c>
    </row>
    <row r="329" spans="1:43" x14ac:dyDescent="0.3">
      <c r="A329" t="s">
        <v>31</v>
      </c>
      <c r="B329">
        <v>605</v>
      </c>
      <c r="C329">
        <v>197</v>
      </c>
      <c r="D329">
        <v>2588</v>
      </c>
      <c r="G329" t="s">
        <v>4135</v>
      </c>
      <c r="H329">
        <v>8616236000169</v>
      </c>
      <c r="I329" t="s">
        <v>3726</v>
      </c>
      <c r="J329" t="s">
        <v>704</v>
      </c>
      <c r="K329" t="s">
        <v>3727</v>
      </c>
      <c r="M329" t="s">
        <v>3728</v>
      </c>
      <c r="O329" t="s">
        <v>3729</v>
      </c>
      <c r="P329" t="s">
        <v>3687</v>
      </c>
      <c r="Q329" t="s">
        <v>790</v>
      </c>
      <c r="T329" t="s">
        <v>319</v>
      </c>
      <c r="U329" t="s">
        <v>816</v>
      </c>
      <c r="W329">
        <v>0</v>
      </c>
      <c r="X329">
        <v>3564</v>
      </c>
      <c r="Z329">
        <v>5</v>
      </c>
      <c r="AA329" s="31">
        <v>45925</v>
      </c>
      <c r="AB329" s="61">
        <v>0.64129629629629625</v>
      </c>
      <c r="AC329" t="s">
        <v>818</v>
      </c>
      <c r="AD329" s="31">
        <v>45930</v>
      </c>
      <c r="AE329" s="61">
        <v>0.69265046296296295</v>
      </c>
      <c r="AH329" t="s">
        <v>4136</v>
      </c>
      <c r="AI329" t="s">
        <v>4136</v>
      </c>
      <c r="AQ329">
        <v>1</v>
      </c>
    </row>
    <row r="330" spans="1:43" x14ac:dyDescent="0.3">
      <c r="A330" t="s">
        <v>31</v>
      </c>
      <c r="B330">
        <v>606</v>
      </c>
      <c r="C330">
        <v>196</v>
      </c>
      <c r="D330">
        <v>2589</v>
      </c>
      <c r="G330" t="s">
        <v>4137</v>
      </c>
      <c r="H330">
        <v>32494222000102</v>
      </c>
      <c r="I330" t="s">
        <v>3715</v>
      </c>
      <c r="J330" t="s">
        <v>3716</v>
      </c>
      <c r="K330" t="s">
        <v>3717</v>
      </c>
      <c r="M330" t="s">
        <v>3718</v>
      </c>
      <c r="O330" t="s">
        <v>3719</v>
      </c>
      <c r="P330" t="s">
        <v>3720</v>
      </c>
      <c r="Q330" t="s">
        <v>790</v>
      </c>
      <c r="T330" t="s">
        <v>319</v>
      </c>
      <c r="U330" t="s">
        <v>3417</v>
      </c>
      <c r="W330">
        <v>7200</v>
      </c>
      <c r="X330">
        <v>0</v>
      </c>
      <c r="Z330">
        <v>28</v>
      </c>
      <c r="AA330" s="31">
        <v>45925</v>
      </c>
      <c r="AB330" s="61">
        <v>0.66199074074074071</v>
      </c>
      <c r="AC330" t="s">
        <v>795</v>
      </c>
      <c r="AD330" s="31">
        <v>45953</v>
      </c>
      <c r="AE330" s="61">
        <v>0.40660879629629632</v>
      </c>
      <c r="AF330" t="s">
        <v>3463</v>
      </c>
      <c r="AH330" t="s">
        <v>4136</v>
      </c>
      <c r="AI330" t="s">
        <v>4136</v>
      </c>
      <c r="AQ330">
        <v>1</v>
      </c>
    </row>
    <row r="331" spans="1:43" x14ac:dyDescent="0.3">
      <c r="A331" t="s">
        <v>31</v>
      </c>
      <c r="B331">
        <v>612</v>
      </c>
      <c r="C331">
        <v>179</v>
      </c>
      <c r="D331">
        <v>2599</v>
      </c>
      <c r="G331" t="s">
        <v>4138</v>
      </c>
      <c r="H331">
        <v>21736169000184</v>
      </c>
      <c r="I331" t="s">
        <v>3546</v>
      </c>
      <c r="J331" t="s">
        <v>1243</v>
      </c>
      <c r="K331" t="s">
        <v>3547</v>
      </c>
      <c r="M331" t="s">
        <v>3548</v>
      </c>
      <c r="O331" t="s">
        <v>3549</v>
      </c>
      <c r="P331" t="s">
        <v>3550</v>
      </c>
      <c r="Q331" t="s">
        <v>874</v>
      </c>
      <c r="T331" t="s">
        <v>319</v>
      </c>
      <c r="U331" t="s">
        <v>816</v>
      </c>
      <c r="W331">
        <v>5040</v>
      </c>
      <c r="X331">
        <v>0</v>
      </c>
      <c r="Z331">
        <v>2</v>
      </c>
      <c r="AA331" s="31">
        <v>45929</v>
      </c>
      <c r="AB331" s="61">
        <v>0.44142361111111111</v>
      </c>
      <c r="AC331" t="s">
        <v>818</v>
      </c>
      <c r="AD331" s="31">
        <v>45931</v>
      </c>
      <c r="AE331" s="61">
        <v>0.42006944444444438</v>
      </c>
      <c r="AH331" t="s">
        <v>4139</v>
      </c>
      <c r="AQ331">
        <v>1</v>
      </c>
    </row>
    <row r="332" spans="1:43" x14ac:dyDescent="0.3">
      <c r="A332" t="s">
        <v>31</v>
      </c>
      <c r="B332">
        <v>617</v>
      </c>
      <c r="C332">
        <v>132</v>
      </c>
      <c r="D332">
        <v>2608</v>
      </c>
      <c r="G332" t="s">
        <v>3587</v>
      </c>
      <c r="I332" t="s">
        <v>3373</v>
      </c>
      <c r="J332" t="s">
        <v>3588</v>
      </c>
      <c r="K332" t="s">
        <v>3553</v>
      </c>
      <c r="M332" t="s">
        <v>3375</v>
      </c>
      <c r="O332" t="s">
        <v>778</v>
      </c>
      <c r="T332" t="s">
        <v>319</v>
      </c>
      <c r="U332" t="s">
        <v>3417</v>
      </c>
      <c r="W332">
        <v>14677</v>
      </c>
      <c r="X332">
        <v>0</v>
      </c>
      <c r="Z332">
        <v>23</v>
      </c>
      <c r="AA332" s="31">
        <v>45930</v>
      </c>
      <c r="AB332" s="61">
        <v>0.39962962962962961</v>
      </c>
      <c r="AC332" t="s">
        <v>795</v>
      </c>
      <c r="AD332" s="31">
        <v>45953</v>
      </c>
      <c r="AE332" s="61">
        <v>0.4246064814814815</v>
      </c>
      <c r="AF332" t="s">
        <v>934</v>
      </c>
      <c r="AH332" t="s">
        <v>4140</v>
      </c>
      <c r="AQ332">
        <v>1</v>
      </c>
    </row>
    <row r="333" spans="1:43" x14ac:dyDescent="0.3">
      <c r="A333" t="s">
        <v>31</v>
      </c>
      <c r="B333">
        <v>625</v>
      </c>
      <c r="C333">
        <v>119</v>
      </c>
      <c r="D333">
        <v>2620</v>
      </c>
      <c r="G333" t="s">
        <v>4141</v>
      </c>
      <c r="H333">
        <v>60963378000112</v>
      </c>
      <c r="I333" t="s">
        <v>608</v>
      </c>
      <c r="J333" t="s">
        <v>844</v>
      </c>
      <c r="K333" t="s">
        <v>3948</v>
      </c>
      <c r="M333" t="s">
        <v>3345</v>
      </c>
      <c r="O333" t="s">
        <v>778</v>
      </c>
      <c r="T333" t="s">
        <v>319</v>
      </c>
      <c r="U333" t="s">
        <v>3417</v>
      </c>
      <c r="W333">
        <v>0</v>
      </c>
      <c r="X333">
        <v>220373</v>
      </c>
      <c r="Z333">
        <v>44</v>
      </c>
      <c r="AA333" s="31">
        <v>45931</v>
      </c>
      <c r="AB333" s="61">
        <v>0.60418981481481482</v>
      </c>
      <c r="AC333" t="s">
        <v>795</v>
      </c>
      <c r="AD333" s="31">
        <v>45975</v>
      </c>
      <c r="AE333" s="61">
        <v>0.5134143518518518</v>
      </c>
      <c r="AF333" t="s">
        <v>3463</v>
      </c>
      <c r="AH333" t="s">
        <v>4142</v>
      </c>
      <c r="AQ333">
        <v>1</v>
      </c>
    </row>
    <row r="334" spans="1:43" x14ac:dyDescent="0.3">
      <c r="A334" t="s">
        <v>31</v>
      </c>
      <c r="B334">
        <v>626</v>
      </c>
      <c r="C334">
        <v>150</v>
      </c>
      <c r="D334">
        <v>2621</v>
      </c>
      <c r="G334" t="s">
        <v>4143</v>
      </c>
      <c r="H334">
        <v>32258848000101</v>
      </c>
      <c r="I334" t="s">
        <v>3435</v>
      </c>
      <c r="J334" t="s">
        <v>1540</v>
      </c>
      <c r="K334" t="s">
        <v>3493</v>
      </c>
      <c r="M334" t="s">
        <v>3437</v>
      </c>
      <c r="O334" t="s">
        <v>778</v>
      </c>
      <c r="T334" t="s">
        <v>319</v>
      </c>
      <c r="U334" t="s">
        <v>816</v>
      </c>
      <c r="W334">
        <v>0</v>
      </c>
      <c r="X334">
        <v>28512</v>
      </c>
      <c r="Z334">
        <v>20</v>
      </c>
      <c r="AA334" s="31">
        <v>45931</v>
      </c>
      <c r="AB334" s="61">
        <v>0.67376157407407411</v>
      </c>
      <c r="AC334" t="s">
        <v>818</v>
      </c>
      <c r="AD334" s="31">
        <v>45951</v>
      </c>
      <c r="AE334" s="61">
        <v>0.41662037037037042</v>
      </c>
      <c r="AH334" t="s">
        <v>4142</v>
      </c>
      <c r="AI334" t="s">
        <v>4142</v>
      </c>
      <c r="AQ334">
        <v>1</v>
      </c>
    </row>
    <row r="335" spans="1:43" x14ac:dyDescent="0.3">
      <c r="A335" t="s">
        <v>31</v>
      </c>
      <c r="B335">
        <v>627</v>
      </c>
      <c r="C335">
        <v>189</v>
      </c>
      <c r="D335">
        <v>2623</v>
      </c>
      <c r="G335" t="s">
        <v>4144</v>
      </c>
      <c r="H335">
        <v>10698565000148</v>
      </c>
      <c r="I335" t="s">
        <v>4145</v>
      </c>
      <c r="J335" t="s">
        <v>4146</v>
      </c>
      <c r="K335" t="s">
        <v>4147</v>
      </c>
      <c r="O335" t="s">
        <v>4148</v>
      </c>
      <c r="P335" t="s">
        <v>4149</v>
      </c>
      <c r="Q335" t="s">
        <v>4150</v>
      </c>
      <c r="T335" t="s">
        <v>319</v>
      </c>
      <c r="U335" t="s">
        <v>816</v>
      </c>
      <c r="W335">
        <v>700</v>
      </c>
      <c r="X335">
        <v>0</v>
      </c>
      <c r="Z335">
        <v>5</v>
      </c>
      <c r="AA335" s="31">
        <v>45932</v>
      </c>
      <c r="AB335" s="61">
        <v>0.64900462962962968</v>
      </c>
      <c r="AC335" t="s">
        <v>818</v>
      </c>
      <c r="AD335" s="31">
        <v>45937</v>
      </c>
      <c r="AE335" s="61">
        <v>0.65004629629629629</v>
      </c>
      <c r="AH335" t="s">
        <v>4151</v>
      </c>
      <c r="AQ335">
        <v>1</v>
      </c>
    </row>
    <row r="336" spans="1:43" x14ac:dyDescent="0.3">
      <c r="A336" t="s">
        <v>31</v>
      </c>
      <c r="B336">
        <v>629</v>
      </c>
      <c r="C336">
        <v>184</v>
      </c>
      <c r="D336">
        <v>2624</v>
      </c>
      <c r="G336" t="s">
        <v>453</v>
      </c>
      <c r="H336">
        <v>11861121000144</v>
      </c>
      <c r="I336" t="s">
        <v>3877</v>
      </c>
      <c r="J336" t="s">
        <v>4152</v>
      </c>
      <c r="K336" t="s">
        <v>3879</v>
      </c>
      <c r="M336" t="s">
        <v>3880</v>
      </c>
      <c r="O336" t="s">
        <v>3881</v>
      </c>
      <c r="P336" t="s">
        <v>1094</v>
      </c>
      <c r="Q336" t="s">
        <v>790</v>
      </c>
      <c r="T336" t="s">
        <v>319</v>
      </c>
      <c r="U336" t="s">
        <v>3417</v>
      </c>
      <c r="W336">
        <v>16200</v>
      </c>
      <c r="X336">
        <v>2160</v>
      </c>
      <c r="Z336">
        <v>17</v>
      </c>
      <c r="AA336" s="31">
        <v>45933</v>
      </c>
      <c r="AB336" s="61">
        <v>0.61473379629629632</v>
      </c>
      <c r="AC336" t="s">
        <v>795</v>
      </c>
      <c r="AD336" s="31">
        <v>45950</v>
      </c>
      <c r="AE336" s="61">
        <v>0.46638888888888891</v>
      </c>
      <c r="AF336" t="s">
        <v>3463</v>
      </c>
      <c r="AH336" t="s">
        <v>4153</v>
      </c>
      <c r="AI336" t="s">
        <v>4153</v>
      </c>
      <c r="AQ336">
        <v>1</v>
      </c>
    </row>
    <row r="337" spans="1:43" x14ac:dyDescent="0.3">
      <c r="A337" t="s">
        <v>31</v>
      </c>
      <c r="B337">
        <v>630</v>
      </c>
      <c r="C337">
        <v>159</v>
      </c>
      <c r="D337">
        <v>2625</v>
      </c>
      <c r="G337" t="s">
        <v>4154</v>
      </c>
      <c r="H337">
        <v>43526090000161</v>
      </c>
      <c r="I337" t="s">
        <v>913</v>
      </c>
      <c r="J337" t="s">
        <v>4067</v>
      </c>
      <c r="K337" t="s">
        <v>4155</v>
      </c>
      <c r="M337" t="s">
        <v>916</v>
      </c>
      <c r="O337" t="s">
        <v>778</v>
      </c>
      <c r="P337" t="s">
        <v>909</v>
      </c>
      <c r="Q337" t="s">
        <v>790</v>
      </c>
      <c r="T337" t="s">
        <v>319</v>
      </c>
      <c r="U337" t="s">
        <v>3417</v>
      </c>
      <c r="W337">
        <v>420</v>
      </c>
      <c r="X337">
        <v>3564</v>
      </c>
      <c r="Z337">
        <v>26</v>
      </c>
      <c r="AA337" s="31">
        <v>45933</v>
      </c>
      <c r="AB337" s="61">
        <v>0.67500000000000004</v>
      </c>
      <c r="AC337" t="s">
        <v>795</v>
      </c>
      <c r="AD337" s="31">
        <v>45959</v>
      </c>
      <c r="AE337" s="61">
        <v>0.44155092592592587</v>
      </c>
      <c r="AF337" t="s">
        <v>3463</v>
      </c>
      <c r="AH337" t="s">
        <v>4153</v>
      </c>
      <c r="AI337" t="s">
        <v>4153</v>
      </c>
      <c r="AQ337">
        <v>1</v>
      </c>
    </row>
    <row r="338" spans="1:43" x14ac:dyDescent="0.3">
      <c r="A338" t="s">
        <v>31</v>
      </c>
      <c r="B338">
        <v>631</v>
      </c>
      <c r="C338">
        <v>204</v>
      </c>
      <c r="D338">
        <v>2626</v>
      </c>
      <c r="G338" t="s">
        <v>4156</v>
      </c>
      <c r="H338">
        <v>33071847000116</v>
      </c>
      <c r="I338" t="s">
        <v>3811</v>
      </c>
      <c r="J338" t="s">
        <v>4157</v>
      </c>
      <c r="K338" t="s">
        <v>3813</v>
      </c>
      <c r="M338" t="s">
        <v>3814</v>
      </c>
      <c r="O338" t="s">
        <v>3815</v>
      </c>
      <c r="P338" t="s">
        <v>2589</v>
      </c>
      <c r="Q338" t="s">
        <v>790</v>
      </c>
      <c r="S338" t="s">
        <v>1419</v>
      </c>
      <c r="T338" t="s">
        <v>319</v>
      </c>
      <c r="U338" t="s">
        <v>3417</v>
      </c>
      <c r="W338">
        <v>29400</v>
      </c>
      <c r="X338">
        <v>57024</v>
      </c>
      <c r="Z338">
        <v>101</v>
      </c>
      <c r="AA338" s="31">
        <v>45933</v>
      </c>
      <c r="AB338" s="61">
        <v>0.71627314814814813</v>
      </c>
      <c r="AC338" t="s">
        <v>795</v>
      </c>
      <c r="AD338" s="31">
        <v>46034</v>
      </c>
      <c r="AE338" s="61">
        <v>0.49495370370370367</v>
      </c>
      <c r="AF338" t="s">
        <v>934</v>
      </c>
      <c r="AH338" t="s">
        <v>4158</v>
      </c>
      <c r="AI338" t="s">
        <v>2251</v>
      </c>
      <c r="AK338" t="s">
        <v>4159</v>
      </c>
      <c r="AQ338">
        <v>1</v>
      </c>
    </row>
    <row r="339" spans="1:43" x14ac:dyDescent="0.3">
      <c r="A339" t="s">
        <v>31</v>
      </c>
      <c r="B339">
        <v>632</v>
      </c>
      <c r="D339">
        <v>2627</v>
      </c>
      <c r="G339" t="s">
        <v>4160</v>
      </c>
      <c r="H339">
        <v>8636039000101</v>
      </c>
      <c r="J339" t="s">
        <v>4161</v>
      </c>
      <c r="K339" t="s">
        <v>4162</v>
      </c>
      <c r="M339" t="s">
        <v>4163</v>
      </c>
      <c r="O339" t="s">
        <v>778</v>
      </c>
      <c r="T339" t="s">
        <v>319</v>
      </c>
      <c r="U339" t="s">
        <v>781</v>
      </c>
      <c r="Z339">
        <v>35</v>
      </c>
      <c r="AA339" s="31">
        <v>45936</v>
      </c>
      <c r="AB339" s="61">
        <v>0.49776620370370372</v>
      </c>
      <c r="AC339" t="s">
        <v>795</v>
      </c>
      <c r="AD339" s="31">
        <v>45971</v>
      </c>
      <c r="AE339" s="61">
        <v>0.67709490740740741</v>
      </c>
      <c r="AF339" t="s">
        <v>796</v>
      </c>
      <c r="AQ339">
        <v>1</v>
      </c>
    </row>
    <row r="340" spans="1:43" x14ac:dyDescent="0.3">
      <c r="A340" t="s">
        <v>31</v>
      </c>
      <c r="B340">
        <v>633</v>
      </c>
      <c r="C340">
        <v>96</v>
      </c>
      <c r="D340">
        <v>2628</v>
      </c>
      <c r="G340" t="s">
        <v>4164</v>
      </c>
      <c r="H340">
        <v>44075830000153</v>
      </c>
      <c r="I340" t="s">
        <v>3291</v>
      </c>
      <c r="J340" t="s">
        <v>704</v>
      </c>
      <c r="K340" t="s">
        <v>3672</v>
      </c>
      <c r="M340" t="s">
        <v>3293</v>
      </c>
      <c r="O340" t="s">
        <v>778</v>
      </c>
      <c r="T340" t="s">
        <v>319</v>
      </c>
      <c r="U340" t="s">
        <v>816</v>
      </c>
      <c r="W340">
        <v>1440</v>
      </c>
      <c r="X340">
        <v>0</v>
      </c>
      <c r="Z340">
        <v>0</v>
      </c>
      <c r="AA340" s="31">
        <v>45936</v>
      </c>
      <c r="AB340" s="61">
        <v>0.64180555555555552</v>
      </c>
      <c r="AC340" t="s">
        <v>818</v>
      </c>
      <c r="AD340" s="31">
        <v>45936</v>
      </c>
      <c r="AE340" s="61">
        <v>0.64354166666666668</v>
      </c>
      <c r="AH340" t="s">
        <v>4165</v>
      </c>
      <c r="AQ340">
        <v>1</v>
      </c>
    </row>
    <row r="341" spans="1:43" x14ac:dyDescent="0.3">
      <c r="A341" t="s">
        <v>31</v>
      </c>
      <c r="B341">
        <v>635</v>
      </c>
      <c r="D341">
        <v>2634</v>
      </c>
      <c r="E341" t="s">
        <v>4166</v>
      </c>
      <c r="AA341" s="31"/>
      <c r="AB341" s="61"/>
      <c r="AD341" s="31"/>
      <c r="AE341" s="61"/>
      <c r="AQ341">
        <v>1</v>
      </c>
    </row>
    <row r="342" spans="1:43" x14ac:dyDescent="0.3">
      <c r="A342" t="s">
        <v>4167</v>
      </c>
      <c r="E342" t="s">
        <v>4168</v>
      </c>
      <c r="G342" t="s">
        <v>4169</v>
      </c>
      <c r="P342" t="s">
        <v>1718</v>
      </c>
      <c r="Q342" t="s">
        <v>319</v>
      </c>
      <c r="R342" t="s">
        <v>3417</v>
      </c>
      <c r="T342" t="s">
        <v>4170</v>
      </c>
      <c r="U342" t="s">
        <v>4171</v>
      </c>
      <c r="W342">
        <v>101</v>
      </c>
      <c r="Y342" t="s">
        <v>4172</v>
      </c>
      <c r="AA342" s="31">
        <v>46041</v>
      </c>
      <c r="AB342" s="61">
        <v>0.45721064814814821</v>
      </c>
      <c r="AC342" t="s">
        <v>1358</v>
      </c>
      <c r="AD342" s="31"/>
      <c r="AE342" s="61"/>
      <c r="AF342" t="s">
        <v>2273</v>
      </c>
      <c r="AH342" t="s">
        <v>2590</v>
      </c>
      <c r="AQ342">
        <v>1</v>
      </c>
    </row>
    <row r="343" spans="1:43" x14ac:dyDescent="0.3">
      <c r="A343" t="s">
        <v>31</v>
      </c>
      <c r="B343">
        <v>636</v>
      </c>
      <c r="C343">
        <v>187</v>
      </c>
      <c r="D343">
        <v>2638</v>
      </c>
      <c r="G343" t="s">
        <v>4173</v>
      </c>
      <c r="H343">
        <v>17063632000105</v>
      </c>
      <c r="I343" t="s">
        <v>3631</v>
      </c>
      <c r="J343" t="s">
        <v>4174</v>
      </c>
      <c r="K343" t="s">
        <v>3633</v>
      </c>
      <c r="M343" t="s">
        <v>3634</v>
      </c>
      <c r="O343" t="s">
        <v>3635</v>
      </c>
      <c r="P343" t="s">
        <v>3636</v>
      </c>
      <c r="Q343" t="s">
        <v>1699</v>
      </c>
      <c r="T343" t="s">
        <v>319</v>
      </c>
      <c r="U343" t="s">
        <v>3417</v>
      </c>
      <c r="W343">
        <v>3360</v>
      </c>
      <c r="X343">
        <v>3564</v>
      </c>
      <c r="Z343">
        <v>53</v>
      </c>
      <c r="AA343" s="31">
        <v>45940</v>
      </c>
      <c r="AB343" s="61">
        <v>0.4409837962962963</v>
      </c>
      <c r="AC343" t="s">
        <v>795</v>
      </c>
      <c r="AD343" s="31">
        <v>45993</v>
      </c>
      <c r="AE343" s="61">
        <v>0.39199074074074081</v>
      </c>
      <c r="AF343" t="s">
        <v>934</v>
      </c>
      <c r="AH343" t="s">
        <v>4175</v>
      </c>
      <c r="AI343" t="s">
        <v>4175</v>
      </c>
      <c r="AQ343">
        <v>1</v>
      </c>
    </row>
    <row r="344" spans="1:43" x14ac:dyDescent="0.3">
      <c r="A344" t="s">
        <v>31</v>
      </c>
      <c r="B344">
        <v>637</v>
      </c>
      <c r="C344">
        <v>89</v>
      </c>
      <c r="D344">
        <v>2639</v>
      </c>
      <c r="G344" t="s">
        <v>4176</v>
      </c>
      <c r="I344" t="s">
        <v>3275</v>
      </c>
      <c r="J344" t="s">
        <v>4177</v>
      </c>
      <c r="K344" t="s">
        <v>4178</v>
      </c>
      <c r="M344" t="s">
        <v>3277</v>
      </c>
      <c r="O344" t="s">
        <v>778</v>
      </c>
      <c r="T344" t="s">
        <v>319</v>
      </c>
      <c r="U344" t="s">
        <v>3417</v>
      </c>
      <c r="Z344">
        <v>19</v>
      </c>
      <c r="AA344" s="31">
        <v>45940</v>
      </c>
      <c r="AB344" s="61">
        <v>0.44233796296296302</v>
      </c>
      <c r="AC344" t="s">
        <v>795</v>
      </c>
      <c r="AD344" s="31">
        <v>45959</v>
      </c>
      <c r="AE344" s="61">
        <v>0.44339120370370372</v>
      </c>
      <c r="AF344" t="s">
        <v>3463</v>
      </c>
      <c r="AH344" t="s">
        <v>4175</v>
      </c>
      <c r="AQ344">
        <v>1</v>
      </c>
    </row>
    <row r="345" spans="1:43" x14ac:dyDescent="0.3">
      <c r="A345" t="s">
        <v>31</v>
      </c>
      <c r="B345">
        <v>646</v>
      </c>
      <c r="C345">
        <v>0</v>
      </c>
      <c r="D345">
        <v>2658</v>
      </c>
      <c r="G345" t="s">
        <v>4179</v>
      </c>
      <c r="H345">
        <v>55585815000171</v>
      </c>
      <c r="J345" t="s">
        <v>4180</v>
      </c>
      <c r="K345" t="s">
        <v>4181</v>
      </c>
      <c r="M345" t="s">
        <v>4182</v>
      </c>
      <c r="O345" t="s">
        <v>778</v>
      </c>
      <c r="T345" t="s">
        <v>319</v>
      </c>
      <c r="U345" t="s">
        <v>816</v>
      </c>
      <c r="W345">
        <v>378</v>
      </c>
      <c r="X345">
        <v>3564</v>
      </c>
      <c r="Z345">
        <v>25</v>
      </c>
      <c r="AA345" s="31">
        <v>45947</v>
      </c>
      <c r="AB345" s="61">
        <v>0.45363425925925932</v>
      </c>
      <c r="AC345" t="s">
        <v>818</v>
      </c>
      <c r="AD345" s="31">
        <v>45972</v>
      </c>
      <c r="AE345" s="61">
        <v>0.50258101851851855</v>
      </c>
      <c r="AH345" t="s">
        <v>2008</v>
      </c>
      <c r="AI345" t="s">
        <v>4183</v>
      </c>
      <c r="AQ345">
        <v>1</v>
      </c>
    </row>
    <row r="346" spans="1:43" x14ac:dyDescent="0.3">
      <c r="A346" t="s">
        <v>31</v>
      </c>
      <c r="B346">
        <v>647</v>
      </c>
      <c r="C346">
        <v>206</v>
      </c>
      <c r="D346">
        <v>2662</v>
      </c>
      <c r="G346" t="s">
        <v>4184</v>
      </c>
      <c r="H346">
        <v>37075503000136</v>
      </c>
      <c r="I346" t="s">
        <v>3826</v>
      </c>
      <c r="J346" t="s">
        <v>1474</v>
      </c>
      <c r="K346" t="s">
        <v>1475</v>
      </c>
      <c r="M346" t="s">
        <v>1476</v>
      </c>
      <c r="O346" t="s">
        <v>3827</v>
      </c>
      <c r="P346" t="s">
        <v>1477</v>
      </c>
      <c r="Q346" t="s">
        <v>932</v>
      </c>
      <c r="T346" t="s">
        <v>319</v>
      </c>
      <c r="U346" t="s">
        <v>3417</v>
      </c>
      <c r="W346">
        <v>0</v>
      </c>
      <c r="X346">
        <v>210</v>
      </c>
      <c r="Z346">
        <v>21</v>
      </c>
      <c r="AA346" s="31">
        <v>45950</v>
      </c>
      <c r="AB346" s="61">
        <v>0.42215277777777782</v>
      </c>
      <c r="AC346" t="s">
        <v>795</v>
      </c>
      <c r="AD346" s="31">
        <v>45971</v>
      </c>
      <c r="AE346" s="61">
        <v>0.67648148148148146</v>
      </c>
      <c r="AF346" t="s">
        <v>934</v>
      </c>
      <c r="AH346" t="s">
        <v>4185</v>
      </c>
      <c r="AI346" t="s">
        <v>4185</v>
      </c>
      <c r="AQ346">
        <v>1</v>
      </c>
    </row>
    <row r="347" spans="1:43" x14ac:dyDescent="0.3">
      <c r="A347" t="s">
        <v>31</v>
      </c>
      <c r="B347">
        <v>648</v>
      </c>
      <c r="C347">
        <v>206</v>
      </c>
      <c r="D347">
        <v>2663</v>
      </c>
      <c r="G347" t="s">
        <v>4186</v>
      </c>
      <c r="H347">
        <v>37075503000136</v>
      </c>
      <c r="I347" t="s">
        <v>3826</v>
      </c>
      <c r="J347" t="s">
        <v>1474</v>
      </c>
      <c r="K347" t="s">
        <v>1475</v>
      </c>
      <c r="M347" t="s">
        <v>1476</v>
      </c>
      <c r="O347" t="s">
        <v>3827</v>
      </c>
      <c r="P347" t="s">
        <v>1477</v>
      </c>
      <c r="Q347" t="s">
        <v>932</v>
      </c>
      <c r="T347" t="s">
        <v>319</v>
      </c>
      <c r="U347" t="s">
        <v>3417</v>
      </c>
      <c r="W347">
        <v>26200</v>
      </c>
      <c r="X347">
        <v>3400</v>
      </c>
      <c r="Z347">
        <v>21</v>
      </c>
      <c r="AA347" s="31">
        <v>45950</v>
      </c>
      <c r="AB347" s="61">
        <v>0.42942129629629627</v>
      </c>
      <c r="AC347" t="s">
        <v>795</v>
      </c>
      <c r="AD347" s="31">
        <v>45971</v>
      </c>
      <c r="AE347" s="61">
        <v>0.67660879629629633</v>
      </c>
      <c r="AF347" t="s">
        <v>934</v>
      </c>
      <c r="AH347" t="s">
        <v>4185</v>
      </c>
      <c r="AI347" t="s">
        <v>4185</v>
      </c>
      <c r="AQ347">
        <v>1</v>
      </c>
    </row>
    <row r="348" spans="1:43" x14ac:dyDescent="0.3">
      <c r="A348" t="s">
        <v>31</v>
      </c>
      <c r="B348">
        <v>649</v>
      </c>
      <c r="C348">
        <v>124</v>
      </c>
      <c r="D348">
        <v>2664</v>
      </c>
      <c r="G348" t="s">
        <v>4187</v>
      </c>
      <c r="H348">
        <v>12121089000123</v>
      </c>
      <c r="I348" t="s">
        <v>3354</v>
      </c>
      <c r="J348" t="s">
        <v>4188</v>
      </c>
      <c r="M348" t="s">
        <v>3355</v>
      </c>
      <c r="O348" t="s">
        <v>778</v>
      </c>
      <c r="T348" t="s">
        <v>319</v>
      </c>
      <c r="U348" t="s">
        <v>3417</v>
      </c>
      <c r="W348">
        <v>8400</v>
      </c>
      <c r="X348">
        <v>0</v>
      </c>
      <c r="Z348">
        <v>37</v>
      </c>
      <c r="AA348" s="31">
        <v>45950</v>
      </c>
      <c r="AB348" s="61">
        <v>0.47859953703703711</v>
      </c>
      <c r="AC348" t="s">
        <v>795</v>
      </c>
      <c r="AD348" s="31">
        <v>45987</v>
      </c>
      <c r="AE348" s="61">
        <v>0.505</v>
      </c>
      <c r="AF348" t="s">
        <v>796</v>
      </c>
      <c r="AH348" t="s">
        <v>4185</v>
      </c>
      <c r="AI348" t="s">
        <v>2223</v>
      </c>
      <c r="AQ348">
        <v>1</v>
      </c>
    </row>
    <row r="349" spans="1:43" x14ac:dyDescent="0.3">
      <c r="A349" t="s">
        <v>31</v>
      </c>
      <c r="B349">
        <v>650</v>
      </c>
      <c r="C349">
        <v>128</v>
      </c>
      <c r="D349">
        <v>2665</v>
      </c>
      <c r="G349" t="s">
        <v>4189</v>
      </c>
      <c r="H349">
        <v>8530284000130</v>
      </c>
      <c r="I349" t="s">
        <v>3363</v>
      </c>
      <c r="J349" t="s">
        <v>4190</v>
      </c>
      <c r="M349" t="s">
        <v>3364</v>
      </c>
      <c r="O349" t="s">
        <v>778</v>
      </c>
      <c r="T349" t="s">
        <v>319</v>
      </c>
      <c r="U349" t="s">
        <v>3417</v>
      </c>
      <c r="W349">
        <v>3360</v>
      </c>
      <c r="X349">
        <v>7128</v>
      </c>
      <c r="Z349">
        <v>18</v>
      </c>
      <c r="AA349" s="31">
        <v>45950</v>
      </c>
      <c r="AB349" s="61">
        <v>0.52028935185185188</v>
      </c>
      <c r="AC349" t="s">
        <v>795</v>
      </c>
      <c r="AD349" s="31">
        <v>45968</v>
      </c>
      <c r="AE349" s="61">
        <v>0.41829861111111111</v>
      </c>
      <c r="AF349" t="s">
        <v>3463</v>
      </c>
      <c r="AH349" t="s">
        <v>4185</v>
      </c>
      <c r="AI349" t="s">
        <v>4185</v>
      </c>
      <c r="AQ349">
        <v>1</v>
      </c>
    </row>
    <row r="350" spans="1:43" x14ac:dyDescent="0.3">
      <c r="A350" t="s">
        <v>31</v>
      </c>
      <c r="B350">
        <v>651</v>
      </c>
      <c r="D350">
        <v>2666</v>
      </c>
      <c r="G350" t="s">
        <v>4191</v>
      </c>
      <c r="H350">
        <v>49119936000125</v>
      </c>
      <c r="J350" t="s">
        <v>4192</v>
      </c>
      <c r="K350" t="s">
        <v>4193</v>
      </c>
      <c r="M350" t="s">
        <v>4096</v>
      </c>
      <c r="O350" t="s">
        <v>778</v>
      </c>
      <c r="T350" t="s">
        <v>319</v>
      </c>
      <c r="U350" t="s">
        <v>3417</v>
      </c>
      <c r="W350">
        <v>0</v>
      </c>
      <c r="X350">
        <v>2574</v>
      </c>
      <c r="Z350">
        <v>37</v>
      </c>
      <c r="AA350" s="31">
        <v>45950</v>
      </c>
      <c r="AB350" s="61">
        <v>0.73157407407407404</v>
      </c>
      <c r="AC350" t="s">
        <v>795</v>
      </c>
      <c r="AD350" s="31">
        <v>45987</v>
      </c>
      <c r="AE350" s="61">
        <v>0.49932870370370369</v>
      </c>
      <c r="AF350" t="s">
        <v>796</v>
      </c>
      <c r="AH350" t="s">
        <v>4185</v>
      </c>
      <c r="AI350" t="s">
        <v>4185</v>
      </c>
      <c r="AQ350">
        <v>1</v>
      </c>
    </row>
    <row r="351" spans="1:43" x14ac:dyDescent="0.3">
      <c r="A351" t="s">
        <v>31</v>
      </c>
      <c r="B351">
        <v>652</v>
      </c>
      <c r="C351">
        <v>203</v>
      </c>
      <c r="D351">
        <v>2667</v>
      </c>
      <c r="G351" t="s">
        <v>4194</v>
      </c>
      <c r="H351">
        <v>11806036000183</v>
      </c>
      <c r="I351" t="s">
        <v>3791</v>
      </c>
      <c r="J351" t="s">
        <v>2600</v>
      </c>
      <c r="K351" t="s">
        <v>3792</v>
      </c>
      <c r="M351" t="s">
        <v>3793</v>
      </c>
      <c r="O351" t="s">
        <v>3794</v>
      </c>
      <c r="P351" t="s">
        <v>3636</v>
      </c>
      <c r="Q351" t="s">
        <v>1699</v>
      </c>
      <c r="T351" t="s">
        <v>319</v>
      </c>
      <c r="U351" t="s">
        <v>3417</v>
      </c>
      <c r="W351">
        <v>2160</v>
      </c>
      <c r="X351">
        <v>0</v>
      </c>
      <c r="Z351">
        <v>14</v>
      </c>
      <c r="AA351" s="31">
        <v>45951</v>
      </c>
      <c r="AB351" s="61">
        <v>0.48002314814814823</v>
      </c>
      <c r="AC351" t="s">
        <v>795</v>
      </c>
      <c r="AD351" s="31">
        <v>45965</v>
      </c>
      <c r="AE351" s="61">
        <v>0.50258101851851855</v>
      </c>
      <c r="AF351" t="s">
        <v>934</v>
      </c>
      <c r="AH351" t="s">
        <v>2297</v>
      </c>
      <c r="AI351" t="s">
        <v>4195</v>
      </c>
      <c r="AQ351">
        <v>1</v>
      </c>
    </row>
    <row r="352" spans="1:43" x14ac:dyDescent="0.3">
      <c r="A352" t="s">
        <v>31</v>
      </c>
      <c r="B352">
        <v>653</v>
      </c>
      <c r="D352">
        <v>2668</v>
      </c>
      <c r="E352" t="s">
        <v>4196</v>
      </c>
      <c r="G352" t="s">
        <v>4197</v>
      </c>
      <c r="H352">
        <v>38160619000136</v>
      </c>
      <c r="J352" t="s">
        <v>4198</v>
      </c>
      <c r="K352" t="s">
        <v>4199</v>
      </c>
      <c r="M352" t="s">
        <v>4200</v>
      </c>
      <c r="O352" t="s">
        <v>778</v>
      </c>
      <c r="S352" t="s">
        <v>1419</v>
      </c>
      <c r="T352" t="s">
        <v>319</v>
      </c>
      <c r="U352" t="s">
        <v>816</v>
      </c>
      <c r="W352">
        <v>16200</v>
      </c>
      <c r="X352">
        <v>7128</v>
      </c>
      <c r="Z352">
        <v>121</v>
      </c>
      <c r="AA352" s="31">
        <v>45951</v>
      </c>
      <c r="AB352" s="61">
        <v>0.4896759259259259</v>
      </c>
      <c r="AC352" t="s">
        <v>782</v>
      </c>
      <c r="AD352" s="31"/>
      <c r="AE352" s="61"/>
      <c r="AH352" t="s">
        <v>4195</v>
      </c>
      <c r="AI352" t="s">
        <v>4195</v>
      </c>
      <c r="AK352" t="s">
        <v>423</v>
      </c>
      <c r="AL352" t="s">
        <v>1423</v>
      </c>
      <c r="AQ352">
        <v>1</v>
      </c>
    </row>
    <row r="353" spans="1:43" x14ac:dyDescent="0.3">
      <c r="A353" t="s">
        <v>31</v>
      </c>
      <c r="B353">
        <v>654</v>
      </c>
      <c r="C353">
        <v>73</v>
      </c>
      <c r="D353">
        <v>2670</v>
      </c>
      <c r="G353" t="s">
        <v>4201</v>
      </c>
      <c r="I353" t="s">
        <v>3218</v>
      </c>
      <c r="J353" t="s">
        <v>1481</v>
      </c>
      <c r="K353" t="s">
        <v>3939</v>
      </c>
      <c r="M353" t="s">
        <v>3220</v>
      </c>
      <c r="O353" t="s">
        <v>778</v>
      </c>
      <c r="T353" t="s">
        <v>319</v>
      </c>
      <c r="U353" t="s">
        <v>3417</v>
      </c>
      <c r="W353">
        <v>1600</v>
      </c>
      <c r="X353">
        <v>322193</v>
      </c>
      <c r="Z353">
        <v>19</v>
      </c>
      <c r="AA353" s="31">
        <v>45952</v>
      </c>
      <c r="AB353" s="61">
        <v>0.38269675925925928</v>
      </c>
      <c r="AC353" t="s">
        <v>795</v>
      </c>
      <c r="AD353" s="31">
        <v>45971</v>
      </c>
      <c r="AE353" s="61">
        <v>0.62304398148148143</v>
      </c>
      <c r="AF353" t="s">
        <v>3463</v>
      </c>
      <c r="AH353" t="s">
        <v>4195</v>
      </c>
      <c r="AI353" t="s">
        <v>4202</v>
      </c>
      <c r="AQ353">
        <v>1</v>
      </c>
    </row>
    <row r="354" spans="1:43" x14ac:dyDescent="0.3">
      <c r="A354" t="s">
        <v>31</v>
      </c>
      <c r="B354">
        <v>655</v>
      </c>
      <c r="C354">
        <v>107</v>
      </c>
      <c r="D354">
        <v>2671</v>
      </c>
      <c r="G354" t="s">
        <v>4203</v>
      </c>
      <c r="H354">
        <v>7527737000297</v>
      </c>
      <c r="I354" t="s">
        <v>427</v>
      </c>
      <c r="J354" t="s">
        <v>4204</v>
      </c>
      <c r="M354" t="s">
        <v>3320</v>
      </c>
      <c r="O354" t="s">
        <v>778</v>
      </c>
      <c r="T354" t="s">
        <v>319</v>
      </c>
      <c r="U354" t="s">
        <v>3417</v>
      </c>
      <c r="W354">
        <v>420</v>
      </c>
      <c r="X354">
        <v>3564</v>
      </c>
      <c r="Z354">
        <v>26</v>
      </c>
      <c r="AA354" s="31">
        <v>45952</v>
      </c>
      <c r="AB354" s="61">
        <v>0.48693287037037042</v>
      </c>
      <c r="AC354" t="s">
        <v>795</v>
      </c>
      <c r="AD354" s="31">
        <v>45978</v>
      </c>
      <c r="AE354" s="61">
        <v>0.41158564814814808</v>
      </c>
      <c r="AF354" t="s">
        <v>934</v>
      </c>
      <c r="AH354" t="s">
        <v>4202</v>
      </c>
      <c r="AI354" t="s">
        <v>4202</v>
      </c>
      <c r="AQ354">
        <v>1</v>
      </c>
    </row>
    <row r="355" spans="1:43" x14ac:dyDescent="0.3">
      <c r="A355" t="s">
        <v>31</v>
      </c>
      <c r="B355">
        <v>658</v>
      </c>
      <c r="C355">
        <v>191</v>
      </c>
      <c r="D355">
        <v>2681</v>
      </c>
      <c r="G355" t="s">
        <v>4205</v>
      </c>
      <c r="H355">
        <v>18628799000120</v>
      </c>
      <c r="I355" t="s">
        <v>3734</v>
      </c>
      <c r="J355" t="s">
        <v>3735</v>
      </c>
      <c r="K355" t="s">
        <v>2216</v>
      </c>
      <c r="M355" t="s">
        <v>2217</v>
      </c>
      <c r="O355" t="s">
        <v>3736</v>
      </c>
      <c r="P355" t="s">
        <v>1094</v>
      </c>
      <c r="Q355" t="s">
        <v>790</v>
      </c>
      <c r="T355" t="s">
        <v>319</v>
      </c>
      <c r="U355" t="s">
        <v>816</v>
      </c>
      <c r="W355">
        <v>0</v>
      </c>
      <c r="X355">
        <v>64159</v>
      </c>
      <c r="Z355">
        <v>2</v>
      </c>
      <c r="AA355" s="31">
        <v>45957</v>
      </c>
      <c r="AB355" s="61">
        <v>0.64555555555555555</v>
      </c>
      <c r="AC355" t="s">
        <v>818</v>
      </c>
      <c r="AD355" s="31">
        <v>45959</v>
      </c>
      <c r="AE355" s="61">
        <v>0.38715277777777779</v>
      </c>
      <c r="AH355" t="s">
        <v>4206</v>
      </c>
      <c r="AQ355">
        <v>1</v>
      </c>
    </row>
    <row r="356" spans="1:43" x14ac:dyDescent="0.3">
      <c r="A356" t="s">
        <v>31</v>
      </c>
      <c r="B356">
        <v>660</v>
      </c>
      <c r="C356">
        <v>174</v>
      </c>
      <c r="D356">
        <v>2682</v>
      </c>
      <c r="G356" t="s">
        <v>4207</v>
      </c>
      <c r="H356">
        <v>45238441000164</v>
      </c>
      <c r="I356" t="s">
        <v>3507</v>
      </c>
      <c r="J356" t="s">
        <v>3995</v>
      </c>
      <c r="K356" t="s">
        <v>3509</v>
      </c>
      <c r="L356">
        <v>11973359869</v>
      </c>
      <c r="M356" t="s">
        <v>3510</v>
      </c>
      <c r="O356" t="s">
        <v>3511</v>
      </c>
      <c r="P356" t="s">
        <v>1094</v>
      </c>
      <c r="Q356" t="s">
        <v>790</v>
      </c>
      <c r="T356" t="s">
        <v>319</v>
      </c>
      <c r="U356" t="s">
        <v>816</v>
      </c>
      <c r="W356">
        <v>0</v>
      </c>
      <c r="X356">
        <v>14256</v>
      </c>
      <c r="Z356">
        <v>0</v>
      </c>
      <c r="AA356" s="31">
        <v>45957</v>
      </c>
      <c r="AB356" s="61">
        <v>0.65339120370370374</v>
      </c>
      <c r="AC356" t="s">
        <v>818</v>
      </c>
      <c r="AD356" s="31">
        <v>45957</v>
      </c>
      <c r="AE356" s="61">
        <v>0.65457175925925926</v>
      </c>
      <c r="AH356" t="s">
        <v>4185</v>
      </c>
      <c r="AI356" t="s">
        <v>4165</v>
      </c>
      <c r="AQ356">
        <v>1</v>
      </c>
    </row>
    <row r="357" spans="1:43" x14ac:dyDescent="0.3">
      <c r="A357" t="s">
        <v>31</v>
      </c>
      <c r="B357">
        <v>661</v>
      </c>
      <c r="D357">
        <v>2683</v>
      </c>
      <c r="G357" t="s">
        <v>4208</v>
      </c>
      <c r="H357">
        <v>38160619000136</v>
      </c>
      <c r="J357" t="s">
        <v>4198</v>
      </c>
      <c r="K357" t="s">
        <v>4199</v>
      </c>
      <c r="M357" t="s">
        <v>4200</v>
      </c>
      <c r="O357" t="s">
        <v>778</v>
      </c>
      <c r="T357" t="s">
        <v>319</v>
      </c>
      <c r="U357" t="s">
        <v>816</v>
      </c>
      <c r="W357">
        <v>0</v>
      </c>
      <c r="X357">
        <v>2586</v>
      </c>
      <c r="Z357">
        <v>1</v>
      </c>
      <c r="AA357" s="31">
        <v>45957</v>
      </c>
      <c r="AB357" s="61">
        <v>0.65902777777777777</v>
      </c>
      <c r="AC357" t="s">
        <v>818</v>
      </c>
      <c r="AD357" s="31">
        <v>45958</v>
      </c>
      <c r="AE357" s="61">
        <v>0.42133101851851851</v>
      </c>
      <c r="AH357" t="s">
        <v>4206</v>
      </c>
      <c r="AQ357">
        <v>1</v>
      </c>
    </row>
    <row r="358" spans="1:43" x14ac:dyDescent="0.3">
      <c r="A358" t="s">
        <v>31</v>
      </c>
      <c r="B358">
        <v>663</v>
      </c>
      <c r="C358">
        <v>190</v>
      </c>
      <c r="D358">
        <v>2689</v>
      </c>
      <c r="G358" t="s">
        <v>4209</v>
      </c>
      <c r="H358">
        <v>18203215000175</v>
      </c>
      <c r="I358" t="s">
        <v>3690</v>
      </c>
      <c r="J358" t="s">
        <v>4210</v>
      </c>
      <c r="K358" t="s">
        <v>3692</v>
      </c>
      <c r="M358" t="s">
        <v>3693</v>
      </c>
      <c r="O358" t="s">
        <v>3694</v>
      </c>
      <c r="P358" t="s">
        <v>3695</v>
      </c>
      <c r="Q358" t="s">
        <v>790</v>
      </c>
      <c r="T358" t="s">
        <v>319</v>
      </c>
      <c r="U358" t="s">
        <v>816</v>
      </c>
      <c r="W358">
        <v>8400</v>
      </c>
      <c r="X358">
        <v>0</v>
      </c>
      <c r="Z358">
        <v>0</v>
      </c>
      <c r="AA358" s="31">
        <v>45959</v>
      </c>
      <c r="AB358" s="61">
        <v>0.41988425925925932</v>
      </c>
      <c r="AC358" t="s">
        <v>818</v>
      </c>
      <c r="AD358" s="31">
        <v>45959</v>
      </c>
      <c r="AE358" s="61">
        <v>0.42054398148148148</v>
      </c>
      <c r="AH358" t="s">
        <v>4211</v>
      </c>
      <c r="AI358" t="s">
        <v>4211</v>
      </c>
      <c r="AQ358">
        <v>1</v>
      </c>
    </row>
    <row r="359" spans="1:43" x14ac:dyDescent="0.3">
      <c r="A359" t="s">
        <v>31</v>
      </c>
      <c r="B359">
        <v>664</v>
      </c>
      <c r="C359">
        <v>191</v>
      </c>
      <c r="D359">
        <v>2691</v>
      </c>
      <c r="G359" t="s">
        <v>4212</v>
      </c>
      <c r="H359">
        <v>18628799000120</v>
      </c>
      <c r="I359" t="s">
        <v>3734</v>
      </c>
      <c r="J359" t="s">
        <v>3735</v>
      </c>
      <c r="K359" t="s">
        <v>2216</v>
      </c>
      <c r="M359" t="s">
        <v>2217</v>
      </c>
      <c r="O359" t="s">
        <v>3736</v>
      </c>
      <c r="P359" t="s">
        <v>1094</v>
      </c>
      <c r="Q359" t="s">
        <v>790</v>
      </c>
      <c r="T359" t="s">
        <v>319</v>
      </c>
      <c r="U359" t="s">
        <v>3417</v>
      </c>
      <c r="W359">
        <v>26200</v>
      </c>
      <c r="X359">
        <v>3400</v>
      </c>
      <c r="Z359">
        <v>36</v>
      </c>
      <c r="AA359" s="31">
        <v>45959</v>
      </c>
      <c r="AB359" s="61">
        <v>0.69269675925925922</v>
      </c>
      <c r="AC359" t="s">
        <v>795</v>
      </c>
      <c r="AD359" s="31">
        <v>45995</v>
      </c>
      <c r="AE359" s="61">
        <v>0.40078703703703711</v>
      </c>
      <c r="AF359" t="s">
        <v>796</v>
      </c>
      <c r="AH359" t="s">
        <v>4211</v>
      </c>
      <c r="AI359" t="s">
        <v>4211</v>
      </c>
      <c r="AQ359">
        <v>1</v>
      </c>
    </row>
    <row r="360" spans="1:43" x14ac:dyDescent="0.3">
      <c r="A360" t="s">
        <v>31</v>
      </c>
      <c r="B360">
        <v>668</v>
      </c>
      <c r="C360">
        <v>103</v>
      </c>
      <c r="D360">
        <v>2717</v>
      </c>
      <c r="G360" t="s">
        <v>4213</v>
      </c>
      <c r="H360">
        <v>12549273000179</v>
      </c>
      <c r="I360" t="s">
        <v>3309</v>
      </c>
      <c r="J360" t="s">
        <v>4067</v>
      </c>
      <c r="K360" t="s">
        <v>4214</v>
      </c>
      <c r="M360" t="s">
        <v>3312</v>
      </c>
      <c r="O360" t="s">
        <v>3313</v>
      </c>
      <c r="P360" t="s">
        <v>1596</v>
      </c>
      <c r="Q360" t="s">
        <v>790</v>
      </c>
      <c r="S360" t="s">
        <v>1581</v>
      </c>
      <c r="T360" t="s">
        <v>319</v>
      </c>
      <c r="U360" t="s">
        <v>3417</v>
      </c>
      <c r="W360">
        <v>1600</v>
      </c>
      <c r="X360">
        <v>47183</v>
      </c>
      <c r="Z360">
        <v>82</v>
      </c>
      <c r="AA360" s="31">
        <v>45961</v>
      </c>
      <c r="AB360" s="61">
        <v>0.45398148148148149</v>
      </c>
      <c r="AC360" t="s">
        <v>795</v>
      </c>
      <c r="AD360" s="31">
        <v>46043</v>
      </c>
      <c r="AE360" s="61">
        <v>0.40621527777777777</v>
      </c>
      <c r="AF360" t="s">
        <v>3463</v>
      </c>
      <c r="AH360" t="s">
        <v>4215</v>
      </c>
      <c r="AI360" t="s">
        <v>4206</v>
      </c>
      <c r="AK360" t="s">
        <v>2576</v>
      </c>
      <c r="AQ360">
        <v>1</v>
      </c>
    </row>
    <row r="361" spans="1:43" x14ac:dyDescent="0.3">
      <c r="A361" t="s">
        <v>31</v>
      </c>
      <c r="B361">
        <v>670</v>
      </c>
      <c r="D361">
        <v>2719</v>
      </c>
      <c r="G361" t="s">
        <v>4216</v>
      </c>
      <c r="H361">
        <v>6946105000114</v>
      </c>
      <c r="J361" t="s">
        <v>4217</v>
      </c>
      <c r="K361" t="s">
        <v>4218</v>
      </c>
      <c r="M361" t="s">
        <v>4219</v>
      </c>
      <c r="O361" t="s">
        <v>778</v>
      </c>
      <c r="T361" t="s">
        <v>319</v>
      </c>
      <c r="U361" t="s">
        <v>816</v>
      </c>
      <c r="W361">
        <v>0</v>
      </c>
      <c r="X361">
        <v>28512</v>
      </c>
      <c r="Z361">
        <v>19</v>
      </c>
      <c r="AA361" s="31">
        <v>45961</v>
      </c>
      <c r="AB361" s="61">
        <v>0.68109953703703707</v>
      </c>
      <c r="AC361" t="s">
        <v>818</v>
      </c>
      <c r="AD361" s="31">
        <v>45980</v>
      </c>
      <c r="AE361" s="61">
        <v>0.71309027777777778</v>
      </c>
      <c r="AH361" t="s">
        <v>4220</v>
      </c>
      <c r="AI361" t="s">
        <v>4220</v>
      </c>
      <c r="AQ361">
        <v>1</v>
      </c>
    </row>
    <row r="362" spans="1:43" x14ac:dyDescent="0.3">
      <c r="A362" t="s">
        <v>31</v>
      </c>
      <c r="B362">
        <v>671</v>
      </c>
      <c r="C362">
        <v>189</v>
      </c>
      <c r="D362">
        <v>2728</v>
      </c>
      <c r="G362" t="s">
        <v>4221</v>
      </c>
      <c r="H362">
        <v>10698565000148</v>
      </c>
      <c r="I362" t="s">
        <v>4145</v>
      </c>
      <c r="J362" t="s">
        <v>4146</v>
      </c>
      <c r="K362" t="s">
        <v>4147</v>
      </c>
      <c r="O362" t="s">
        <v>4148</v>
      </c>
      <c r="P362" t="s">
        <v>4149</v>
      </c>
      <c r="Q362" t="s">
        <v>4150</v>
      </c>
      <c r="T362" t="s">
        <v>319</v>
      </c>
      <c r="U362" t="s">
        <v>3417</v>
      </c>
      <c r="W362">
        <v>2040708</v>
      </c>
      <c r="X362">
        <v>7128</v>
      </c>
      <c r="Z362">
        <v>30</v>
      </c>
      <c r="AA362" s="31">
        <v>45964</v>
      </c>
      <c r="AB362" s="61">
        <v>0.44855324074074082</v>
      </c>
      <c r="AC362" t="s">
        <v>795</v>
      </c>
      <c r="AD362" s="31">
        <v>45994</v>
      </c>
      <c r="AE362" s="61">
        <v>0.4256597222222222</v>
      </c>
      <c r="AF362" t="s">
        <v>3463</v>
      </c>
      <c r="AH362" t="s">
        <v>2324</v>
      </c>
      <c r="AI362" t="s">
        <v>2324</v>
      </c>
      <c r="AQ362">
        <v>1</v>
      </c>
    </row>
    <row r="363" spans="1:43" x14ac:dyDescent="0.3">
      <c r="A363" t="s">
        <v>31</v>
      </c>
      <c r="B363">
        <v>675</v>
      </c>
      <c r="C363">
        <v>159</v>
      </c>
      <c r="D363">
        <v>2742</v>
      </c>
      <c r="G363" t="s">
        <v>4222</v>
      </c>
      <c r="H363">
        <v>43526090000161</v>
      </c>
      <c r="I363" t="s">
        <v>913</v>
      </c>
      <c r="J363" t="s">
        <v>3860</v>
      </c>
      <c r="K363" t="s">
        <v>4155</v>
      </c>
      <c r="M363" t="s">
        <v>916</v>
      </c>
      <c r="O363" t="s">
        <v>778</v>
      </c>
      <c r="P363" t="s">
        <v>909</v>
      </c>
      <c r="Q363" t="s">
        <v>790</v>
      </c>
      <c r="T363" t="s">
        <v>319</v>
      </c>
      <c r="U363" t="s">
        <v>3417</v>
      </c>
      <c r="Z363">
        <v>25</v>
      </c>
      <c r="AA363" s="31">
        <v>45968</v>
      </c>
      <c r="AB363" s="61">
        <v>0.67895833333333333</v>
      </c>
      <c r="AC363" t="s">
        <v>795</v>
      </c>
      <c r="AD363" s="31">
        <v>45993</v>
      </c>
      <c r="AE363" s="61">
        <v>0.39473379629629629</v>
      </c>
      <c r="AF363" t="s">
        <v>796</v>
      </c>
      <c r="AH363" t="s">
        <v>4223</v>
      </c>
      <c r="AI363" t="s">
        <v>4223</v>
      </c>
      <c r="AQ363">
        <v>1</v>
      </c>
    </row>
    <row r="364" spans="1:43" x14ac:dyDescent="0.3">
      <c r="A364" t="s">
        <v>31</v>
      </c>
      <c r="B364">
        <v>676</v>
      </c>
      <c r="C364">
        <v>208</v>
      </c>
      <c r="D364">
        <v>2746</v>
      </c>
      <c r="G364" t="s">
        <v>4224</v>
      </c>
      <c r="H364">
        <v>42830750000130</v>
      </c>
      <c r="I364" t="s">
        <v>3903</v>
      </c>
      <c r="J364" t="s">
        <v>1804</v>
      </c>
      <c r="K364" t="s">
        <v>3905</v>
      </c>
      <c r="M364" t="s">
        <v>3906</v>
      </c>
      <c r="O364" t="s">
        <v>3907</v>
      </c>
      <c r="P364" t="s">
        <v>1094</v>
      </c>
      <c r="Q364" t="s">
        <v>790</v>
      </c>
      <c r="T364" t="s">
        <v>319</v>
      </c>
      <c r="U364" t="s">
        <v>3417</v>
      </c>
      <c r="W364">
        <v>0</v>
      </c>
      <c r="X364">
        <v>308</v>
      </c>
      <c r="Z364">
        <v>30</v>
      </c>
      <c r="AA364" s="31">
        <v>45971</v>
      </c>
      <c r="AB364" s="61">
        <v>0.39951388888888889</v>
      </c>
      <c r="AC364" t="s">
        <v>795</v>
      </c>
      <c r="AD364" s="31">
        <v>46001</v>
      </c>
      <c r="AE364" s="61">
        <v>0.44709490740740743</v>
      </c>
      <c r="AF364" t="s">
        <v>796</v>
      </c>
      <c r="AH364" t="s">
        <v>2437</v>
      </c>
      <c r="AI364" t="s">
        <v>2437</v>
      </c>
      <c r="AQ364">
        <v>1</v>
      </c>
    </row>
    <row r="365" spans="1:43" x14ac:dyDescent="0.3">
      <c r="A365" t="s">
        <v>31</v>
      </c>
      <c r="B365">
        <v>677</v>
      </c>
      <c r="C365">
        <v>182</v>
      </c>
      <c r="D365">
        <v>2752</v>
      </c>
      <c r="G365" t="s">
        <v>4225</v>
      </c>
      <c r="H365">
        <v>23873456000161</v>
      </c>
      <c r="I365" t="s">
        <v>3573</v>
      </c>
      <c r="J365" t="s">
        <v>3574</v>
      </c>
      <c r="K365" t="s">
        <v>3575</v>
      </c>
      <c r="M365" t="s">
        <v>3576</v>
      </c>
      <c r="O365" t="s">
        <v>3577</v>
      </c>
      <c r="P365" t="s">
        <v>1837</v>
      </c>
      <c r="Q365" t="s">
        <v>790</v>
      </c>
      <c r="S365" t="s">
        <v>1718</v>
      </c>
      <c r="T365" t="s">
        <v>319</v>
      </c>
      <c r="U365" t="s">
        <v>781</v>
      </c>
      <c r="Z365">
        <v>63</v>
      </c>
      <c r="AA365" s="31">
        <v>45972</v>
      </c>
      <c r="AB365" s="61">
        <v>0.64833333333333332</v>
      </c>
      <c r="AC365" t="s">
        <v>795</v>
      </c>
      <c r="AD365" s="31">
        <v>46035</v>
      </c>
      <c r="AE365" s="61">
        <v>0.70446759259259262</v>
      </c>
      <c r="AF365" t="s">
        <v>796</v>
      </c>
      <c r="AQ365">
        <v>1</v>
      </c>
    </row>
    <row r="366" spans="1:43" x14ac:dyDescent="0.3">
      <c r="A366" t="s">
        <v>31</v>
      </c>
      <c r="B366">
        <v>678</v>
      </c>
      <c r="C366">
        <v>182</v>
      </c>
      <c r="D366">
        <v>2753</v>
      </c>
      <c r="G366" t="s">
        <v>4226</v>
      </c>
      <c r="H366">
        <v>23873456000161</v>
      </c>
      <c r="I366" t="s">
        <v>3573</v>
      </c>
      <c r="J366" t="s">
        <v>3574</v>
      </c>
      <c r="K366" t="s">
        <v>3575</v>
      </c>
      <c r="M366" t="s">
        <v>3576</v>
      </c>
      <c r="O366" t="s">
        <v>3577</v>
      </c>
      <c r="P366" t="s">
        <v>1837</v>
      </c>
      <c r="Q366" t="s">
        <v>790</v>
      </c>
      <c r="S366" t="s">
        <v>1718</v>
      </c>
      <c r="T366" t="s">
        <v>319</v>
      </c>
      <c r="U366" t="s">
        <v>3417</v>
      </c>
      <c r="W366">
        <v>3360</v>
      </c>
      <c r="X366">
        <v>3564</v>
      </c>
      <c r="Z366">
        <v>100</v>
      </c>
      <c r="AA366" s="31">
        <v>45972</v>
      </c>
      <c r="AB366" s="61">
        <v>0.64900462962962968</v>
      </c>
      <c r="AC366" t="s">
        <v>782</v>
      </c>
      <c r="AD366" s="31"/>
      <c r="AE366" s="61"/>
      <c r="AH366" t="s">
        <v>4227</v>
      </c>
      <c r="AI366" t="s">
        <v>4227</v>
      </c>
      <c r="AK366" t="s">
        <v>2326</v>
      </c>
      <c r="AL366" t="s">
        <v>2119</v>
      </c>
      <c r="AQ366">
        <v>1</v>
      </c>
    </row>
    <row r="367" spans="1:43" x14ac:dyDescent="0.3">
      <c r="A367" t="s">
        <v>31</v>
      </c>
      <c r="B367">
        <v>679</v>
      </c>
      <c r="C367">
        <v>182</v>
      </c>
      <c r="D367">
        <v>2754</v>
      </c>
      <c r="G367" t="s">
        <v>4228</v>
      </c>
      <c r="H367">
        <v>23873456000161</v>
      </c>
      <c r="I367" t="s">
        <v>3573</v>
      </c>
      <c r="J367" t="s">
        <v>3574</v>
      </c>
      <c r="K367" t="s">
        <v>3575</v>
      </c>
      <c r="M367" t="s">
        <v>3576</v>
      </c>
      <c r="O367" t="s">
        <v>3577</v>
      </c>
      <c r="P367" t="s">
        <v>1837</v>
      </c>
      <c r="Q367" t="s">
        <v>790</v>
      </c>
      <c r="S367" t="s">
        <v>1718</v>
      </c>
      <c r="T367" t="s">
        <v>319</v>
      </c>
      <c r="U367" t="s">
        <v>3417</v>
      </c>
      <c r="W367">
        <v>25200</v>
      </c>
      <c r="X367">
        <v>104544</v>
      </c>
      <c r="Z367">
        <v>79</v>
      </c>
      <c r="AA367" s="31">
        <v>45972</v>
      </c>
      <c r="AB367" s="61">
        <v>0.66282407407407407</v>
      </c>
      <c r="AC367" t="s">
        <v>795</v>
      </c>
      <c r="AD367" s="31">
        <v>46051</v>
      </c>
      <c r="AE367" s="61">
        <v>0.39392361111111113</v>
      </c>
      <c r="AF367" t="s">
        <v>796</v>
      </c>
      <c r="AH367" t="s">
        <v>2529</v>
      </c>
      <c r="AI367" t="s">
        <v>2529</v>
      </c>
      <c r="AK367" t="s">
        <v>2891</v>
      </c>
      <c r="AQ367">
        <v>1</v>
      </c>
    </row>
    <row r="368" spans="1:43" x14ac:dyDescent="0.3">
      <c r="A368" t="s">
        <v>31</v>
      </c>
      <c r="B368">
        <v>682</v>
      </c>
      <c r="C368">
        <v>206</v>
      </c>
      <c r="D368">
        <v>2758</v>
      </c>
      <c r="G368" t="s">
        <v>4229</v>
      </c>
      <c r="H368">
        <v>37075503000136</v>
      </c>
      <c r="I368" t="s">
        <v>3826</v>
      </c>
      <c r="J368" t="s">
        <v>1474</v>
      </c>
      <c r="K368" t="s">
        <v>1475</v>
      </c>
      <c r="M368" t="s">
        <v>1476</v>
      </c>
      <c r="O368" t="s">
        <v>3827</v>
      </c>
      <c r="P368" t="s">
        <v>1477</v>
      </c>
      <c r="Q368" t="s">
        <v>932</v>
      </c>
      <c r="T368" t="s">
        <v>319</v>
      </c>
      <c r="U368" t="s">
        <v>3417</v>
      </c>
      <c r="W368">
        <v>70875</v>
      </c>
      <c r="X368">
        <v>0</v>
      </c>
      <c r="Z368">
        <v>19</v>
      </c>
      <c r="AA368" s="31">
        <v>45974</v>
      </c>
      <c r="AB368" s="61">
        <v>0.40334490740740742</v>
      </c>
      <c r="AC368" t="s">
        <v>795</v>
      </c>
      <c r="AD368" s="31">
        <v>45993</v>
      </c>
      <c r="AE368" s="61">
        <v>0.39771990740740742</v>
      </c>
      <c r="AF368" t="s">
        <v>796</v>
      </c>
      <c r="AH368" t="s">
        <v>4230</v>
      </c>
      <c r="AQ368">
        <v>1</v>
      </c>
    </row>
    <row r="369" spans="1:43" x14ac:dyDescent="0.3">
      <c r="A369" t="s">
        <v>31</v>
      </c>
      <c r="B369">
        <v>683</v>
      </c>
      <c r="C369">
        <v>186</v>
      </c>
      <c r="D369">
        <v>2759</v>
      </c>
      <c r="G369" t="s">
        <v>4231</v>
      </c>
      <c r="H369">
        <v>10899939000193</v>
      </c>
      <c r="I369" t="s">
        <v>3625</v>
      </c>
      <c r="J369" t="s">
        <v>704</v>
      </c>
      <c r="K369" t="s">
        <v>3626</v>
      </c>
      <c r="M369" t="s">
        <v>3627</v>
      </c>
      <c r="O369" t="s">
        <v>3628</v>
      </c>
      <c r="P369" t="s">
        <v>3629</v>
      </c>
      <c r="Q369" t="s">
        <v>932</v>
      </c>
      <c r="S369" t="s">
        <v>1704</v>
      </c>
      <c r="T369" t="s">
        <v>319</v>
      </c>
      <c r="U369" t="s">
        <v>816</v>
      </c>
      <c r="W369">
        <v>2856</v>
      </c>
      <c r="X369">
        <v>60588</v>
      </c>
      <c r="Z369">
        <v>60</v>
      </c>
      <c r="AA369" s="31">
        <v>45974</v>
      </c>
      <c r="AB369" s="61">
        <v>0.44814814814814807</v>
      </c>
      <c r="AC369" t="s">
        <v>795</v>
      </c>
      <c r="AD369" s="31">
        <v>46034</v>
      </c>
      <c r="AE369" s="61">
        <v>0.46733796296296298</v>
      </c>
      <c r="AF369" t="s">
        <v>934</v>
      </c>
      <c r="AH369" t="s">
        <v>4230</v>
      </c>
      <c r="AK369" t="s">
        <v>2519</v>
      </c>
      <c r="AQ369">
        <v>1</v>
      </c>
    </row>
    <row r="370" spans="1:43" x14ac:dyDescent="0.3">
      <c r="A370" t="s">
        <v>31</v>
      </c>
      <c r="B370">
        <v>687</v>
      </c>
      <c r="C370">
        <v>152</v>
      </c>
      <c r="D370">
        <v>2817</v>
      </c>
      <c r="G370" t="s">
        <v>4018</v>
      </c>
      <c r="I370" t="s">
        <v>3445</v>
      </c>
      <c r="J370" t="s">
        <v>4146</v>
      </c>
      <c r="K370" t="s">
        <v>3621</v>
      </c>
      <c r="M370" t="s">
        <v>3448</v>
      </c>
      <c r="O370" t="s">
        <v>778</v>
      </c>
      <c r="S370" t="s">
        <v>1718</v>
      </c>
      <c r="T370" t="s">
        <v>319</v>
      </c>
      <c r="U370" t="s">
        <v>816</v>
      </c>
      <c r="W370">
        <v>3360</v>
      </c>
      <c r="X370">
        <v>7128</v>
      </c>
      <c r="Z370">
        <v>67</v>
      </c>
      <c r="AA370" s="31">
        <v>45978</v>
      </c>
      <c r="AB370" s="61">
        <v>0.72304398148148152</v>
      </c>
      <c r="AC370" t="s">
        <v>818</v>
      </c>
      <c r="AD370" s="31">
        <v>46045</v>
      </c>
      <c r="AE370" s="61">
        <v>0.71009259259259261</v>
      </c>
      <c r="AH370" t="s">
        <v>2273</v>
      </c>
      <c r="AI370" t="s">
        <v>2273</v>
      </c>
      <c r="AK370" t="s">
        <v>2590</v>
      </c>
      <c r="AQ370">
        <v>1</v>
      </c>
    </row>
    <row r="371" spans="1:43" x14ac:dyDescent="0.3">
      <c r="A371" t="s">
        <v>31</v>
      </c>
      <c r="B371">
        <v>688</v>
      </c>
      <c r="C371">
        <v>170</v>
      </c>
      <c r="D371">
        <v>2818</v>
      </c>
      <c r="G371" t="s">
        <v>460</v>
      </c>
      <c r="H371">
        <v>4150555001304</v>
      </c>
      <c r="I371" t="s">
        <v>3477</v>
      </c>
      <c r="J371" t="s">
        <v>3478</v>
      </c>
      <c r="K371" t="s">
        <v>3569</v>
      </c>
      <c r="M371" t="s">
        <v>3480</v>
      </c>
      <c r="O371" t="s">
        <v>3481</v>
      </c>
      <c r="P371" t="s">
        <v>3482</v>
      </c>
      <c r="Q371" t="s">
        <v>1699</v>
      </c>
      <c r="T371" t="s">
        <v>319</v>
      </c>
      <c r="U371" t="s">
        <v>816</v>
      </c>
      <c r="W371">
        <v>838823</v>
      </c>
      <c r="X371">
        <v>0</v>
      </c>
      <c r="Z371">
        <v>8</v>
      </c>
      <c r="AA371" s="31">
        <v>45979</v>
      </c>
      <c r="AB371" s="61">
        <v>0.6174884259259259</v>
      </c>
      <c r="AC371" t="s">
        <v>818</v>
      </c>
      <c r="AD371" s="31">
        <v>45987</v>
      </c>
      <c r="AE371" s="61">
        <v>0.49862268518518521</v>
      </c>
      <c r="AH371" t="s">
        <v>4232</v>
      </c>
      <c r="AQ371">
        <v>1</v>
      </c>
    </row>
    <row r="372" spans="1:43" x14ac:dyDescent="0.3">
      <c r="A372" t="s">
        <v>31</v>
      </c>
      <c r="B372">
        <v>689</v>
      </c>
      <c r="C372">
        <v>0</v>
      </c>
      <c r="D372">
        <v>2851</v>
      </c>
      <c r="G372" t="s">
        <v>4233</v>
      </c>
      <c r="J372" t="s">
        <v>4234</v>
      </c>
      <c r="K372" t="s">
        <v>4235</v>
      </c>
      <c r="M372" t="s">
        <v>4236</v>
      </c>
      <c r="O372" t="s">
        <v>778</v>
      </c>
      <c r="S372" t="s">
        <v>1718</v>
      </c>
      <c r="T372" t="s">
        <v>319</v>
      </c>
      <c r="U372" t="s">
        <v>3606</v>
      </c>
      <c r="Z372">
        <v>45</v>
      </c>
      <c r="AA372" s="31">
        <v>45985</v>
      </c>
      <c r="AB372" s="61">
        <v>0.38097222222222221</v>
      </c>
      <c r="AC372" t="s">
        <v>795</v>
      </c>
      <c r="AD372" s="31">
        <v>46030</v>
      </c>
      <c r="AE372" s="61">
        <v>0.49526620370370372</v>
      </c>
      <c r="AF372" t="s">
        <v>1358</v>
      </c>
      <c r="AI372" t="s">
        <v>2433</v>
      </c>
      <c r="AK372" t="s">
        <v>2326</v>
      </c>
      <c r="AQ372">
        <v>1</v>
      </c>
    </row>
    <row r="373" spans="1:43" x14ac:dyDescent="0.3">
      <c r="A373" t="s">
        <v>31</v>
      </c>
      <c r="B373">
        <v>691</v>
      </c>
      <c r="C373">
        <v>197</v>
      </c>
      <c r="D373">
        <v>2873</v>
      </c>
      <c r="G373" t="s">
        <v>4237</v>
      </c>
      <c r="H373">
        <v>8616236000169</v>
      </c>
      <c r="I373" t="s">
        <v>3726</v>
      </c>
      <c r="J373" t="s">
        <v>704</v>
      </c>
      <c r="K373" t="s">
        <v>3727</v>
      </c>
      <c r="M373" t="s">
        <v>3728</v>
      </c>
      <c r="O373" t="s">
        <v>3729</v>
      </c>
      <c r="P373" t="s">
        <v>3687</v>
      </c>
      <c r="Q373" t="s">
        <v>790</v>
      </c>
      <c r="S373" t="s">
        <v>1419</v>
      </c>
      <c r="T373" t="s">
        <v>319</v>
      </c>
      <c r="U373" t="s">
        <v>3417</v>
      </c>
      <c r="W373">
        <v>3360</v>
      </c>
      <c r="X373">
        <v>19642</v>
      </c>
      <c r="Z373">
        <v>86</v>
      </c>
      <c r="AA373" s="31">
        <v>45986</v>
      </c>
      <c r="AB373" s="61">
        <v>0.42895833333333327</v>
      </c>
      <c r="AC373" t="s">
        <v>782</v>
      </c>
      <c r="AD373" s="31"/>
      <c r="AE373" s="61"/>
      <c r="AH373" t="s">
        <v>4238</v>
      </c>
      <c r="AI373" t="s">
        <v>4238</v>
      </c>
      <c r="AK373" t="s">
        <v>2519</v>
      </c>
      <c r="AL373" t="s">
        <v>1423</v>
      </c>
      <c r="AQ373">
        <v>1</v>
      </c>
    </row>
    <row r="374" spans="1:43" x14ac:dyDescent="0.3">
      <c r="A374" t="s">
        <v>31</v>
      </c>
      <c r="B374">
        <v>698</v>
      </c>
      <c r="C374">
        <v>148</v>
      </c>
      <c r="D374">
        <v>2888</v>
      </c>
      <c r="G374" t="s">
        <v>3554</v>
      </c>
      <c r="H374">
        <v>8530284000130</v>
      </c>
      <c r="I374" t="s">
        <v>3555</v>
      </c>
      <c r="J374" t="s">
        <v>4190</v>
      </c>
      <c r="K374" t="s">
        <v>3556</v>
      </c>
      <c r="M374" t="s">
        <v>3557</v>
      </c>
      <c r="O374" t="s">
        <v>778</v>
      </c>
      <c r="T374" t="s">
        <v>319</v>
      </c>
      <c r="U374" t="s">
        <v>3417</v>
      </c>
      <c r="W374">
        <v>1600</v>
      </c>
      <c r="X374">
        <v>40193</v>
      </c>
      <c r="Z374">
        <v>16</v>
      </c>
      <c r="AA374" s="31">
        <v>45986</v>
      </c>
      <c r="AB374" s="61">
        <v>0.71763888888888894</v>
      </c>
      <c r="AC374" t="s">
        <v>795</v>
      </c>
      <c r="AD374" s="31">
        <v>46002</v>
      </c>
      <c r="AE374" s="61">
        <v>0.63847222222222222</v>
      </c>
      <c r="AF374" t="s">
        <v>3463</v>
      </c>
      <c r="AH374" t="s">
        <v>4238</v>
      </c>
      <c r="AI374" t="s">
        <v>4238</v>
      </c>
      <c r="AQ374">
        <v>1</v>
      </c>
    </row>
    <row r="375" spans="1:43" x14ac:dyDescent="0.3">
      <c r="A375" t="s">
        <v>31</v>
      </c>
      <c r="B375">
        <v>699</v>
      </c>
      <c r="C375">
        <v>172</v>
      </c>
      <c r="D375">
        <v>2889</v>
      </c>
      <c r="G375" t="s">
        <v>3500</v>
      </c>
      <c r="H375">
        <v>33561753000125</v>
      </c>
      <c r="I375" t="s">
        <v>3501</v>
      </c>
      <c r="J375" t="s">
        <v>4180</v>
      </c>
      <c r="K375" t="s">
        <v>3502</v>
      </c>
      <c r="M375" t="s">
        <v>3503</v>
      </c>
      <c r="O375" t="s">
        <v>3504</v>
      </c>
      <c r="P375" t="s">
        <v>3505</v>
      </c>
      <c r="Q375" t="s">
        <v>790</v>
      </c>
      <c r="T375" t="s">
        <v>319</v>
      </c>
      <c r="U375" t="s">
        <v>3417</v>
      </c>
      <c r="W375">
        <v>1680</v>
      </c>
      <c r="X375">
        <v>3564</v>
      </c>
      <c r="Z375">
        <v>0</v>
      </c>
      <c r="AA375" s="31">
        <v>45986</v>
      </c>
      <c r="AB375" s="61">
        <v>0.71848379629629633</v>
      </c>
      <c r="AC375" t="s">
        <v>795</v>
      </c>
      <c r="AD375" s="31">
        <v>45986</v>
      </c>
      <c r="AE375" s="61">
        <v>0.72062499999999996</v>
      </c>
      <c r="AF375" t="s">
        <v>796</v>
      </c>
      <c r="AH375" t="s">
        <v>4238</v>
      </c>
      <c r="AI375" t="s">
        <v>4238</v>
      </c>
      <c r="AQ375">
        <v>1</v>
      </c>
    </row>
    <row r="376" spans="1:43" x14ac:dyDescent="0.3">
      <c r="A376" t="s">
        <v>31</v>
      </c>
      <c r="B376">
        <v>710</v>
      </c>
      <c r="C376">
        <v>149</v>
      </c>
      <c r="D376">
        <v>2901</v>
      </c>
      <c r="G376" t="s">
        <v>4020</v>
      </c>
      <c r="H376">
        <v>12418196000118</v>
      </c>
      <c r="I376" t="s">
        <v>3645</v>
      </c>
      <c r="J376" t="s">
        <v>1115</v>
      </c>
      <c r="K376" t="s">
        <v>3647</v>
      </c>
      <c r="M376" t="s">
        <v>3648</v>
      </c>
      <c r="O376" t="s">
        <v>778</v>
      </c>
      <c r="T376" t="s">
        <v>319</v>
      </c>
      <c r="U376" t="s">
        <v>816</v>
      </c>
      <c r="W376">
        <v>2856</v>
      </c>
      <c r="X376">
        <v>60588</v>
      </c>
      <c r="Z376">
        <v>8</v>
      </c>
      <c r="AA376" s="31">
        <v>45987</v>
      </c>
      <c r="AB376" s="61">
        <v>0.50680555555555551</v>
      </c>
      <c r="AC376" t="s">
        <v>818</v>
      </c>
      <c r="AD376" s="31">
        <v>45995</v>
      </c>
      <c r="AE376" s="61">
        <v>0.38068287037037041</v>
      </c>
      <c r="AH376" t="s">
        <v>2392</v>
      </c>
      <c r="AI376" t="s">
        <v>2392</v>
      </c>
      <c r="AQ376">
        <v>1</v>
      </c>
    </row>
    <row r="377" spans="1:43" x14ac:dyDescent="0.3">
      <c r="A377" t="s">
        <v>31</v>
      </c>
      <c r="B377">
        <v>712</v>
      </c>
      <c r="D377">
        <v>2903</v>
      </c>
      <c r="G377" t="s">
        <v>4239</v>
      </c>
      <c r="H377">
        <v>6847915000113</v>
      </c>
      <c r="J377" t="s">
        <v>4240</v>
      </c>
      <c r="K377" t="s">
        <v>4241</v>
      </c>
      <c r="M377" t="s">
        <v>4242</v>
      </c>
      <c r="O377" t="s">
        <v>778</v>
      </c>
      <c r="S377" t="s">
        <v>1419</v>
      </c>
      <c r="T377" t="s">
        <v>319</v>
      </c>
      <c r="U377" t="s">
        <v>3417</v>
      </c>
      <c r="W377">
        <v>16200</v>
      </c>
      <c r="X377">
        <v>2160</v>
      </c>
      <c r="Z377">
        <v>47</v>
      </c>
      <c r="AA377" s="31">
        <v>45987</v>
      </c>
      <c r="AB377" s="61">
        <v>0.67927083333333338</v>
      </c>
      <c r="AC377" t="s">
        <v>795</v>
      </c>
      <c r="AD377" s="31">
        <v>46034</v>
      </c>
      <c r="AE377" s="61">
        <v>0.47002314814814822</v>
      </c>
      <c r="AF377" t="s">
        <v>3463</v>
      </c>
      <c r="AH377" t="s">
        <v>4243</v>
      </c>
      <c r="AI377" t="s">
        <v>4243</v>
      </c>
      <c r="AK377" t="s">
        <v>4244</v>
      </c>
      <c r="AQ377">
        <v>1</v>
      </c>
    </row>
    <row r="378" spans="1:43" x14ac:dyDescent="0.3">
      <c r="A378" t="s">
        <v>31</v>
      </c>
      <c r="B378">
        <v>713</v>
      </c>
      <c r="C378">
        <v>208</v>
      </c>
      <c r="D378">
        <v>2905</v>
      </c>
      <c r="G378" t="s">
        <v>3902</v>
      </c>
      <c r="H378">
        <v>42830750000130</v>
      </c>
      <c r="I378" t="s">
        <v>3903</v>
      </c>
      <c r="J378" t="s">
        <v>4091</v>
      </c>
      <c r="K378" t="s">
        <v>3905</v>
      </c>
      <c r="M378" t="s">
        <v>3906</v>
      </c>
      <c r="O378" t="s">
        <v>3907</v>
      </c>
      <c r="P378" t="s">
        <v>1094</v>
      </c>
      <c r="Q378" t="s">
        <v>790</v>
      </c>
      <c r="S378" t="s">
        <v>1704</v>
      </c>
      <c r="T378" t="s">
        <v>319</v>
      </c>
      <c r="U378" t="s">
        <v>3409</v>
      </c>
      <c r="W378">
        <v>2100</v>
      </c>
      <c r="X378">
        <v>0</v>
      </c>
      <c r="Z378">
        <v>43</v>
      </c>
      <c r="AA378" s="31">
        <v>45988</v>
      </c>
      <c r="AB378" s="61">
        <v>0.71693287037037035</v>
      </c>
      <c r="AC378" t="s">
        <v>795</v>
      </c>
      <c r="AD378" s="31">
        <v>46031</v>
      </c>
      <c r="AE378" s="61">
        <v>0.50325231481481481</v>
      </c>
      <c r="AF378" t="s">
        <v>796</v>
      </c>
      <c r="AH378" t="s">
        <v>4243</v>
      </c>
      <c r="AK378" t="s">
        <v>2326</v>
      </c>
      <c r="AQ378">
        <v>1</v>
      </c>
    </row>
    <row r="379" spans="1:43" x14ac:dyDescent="0.3">
      <c r="A379" t="s">
        <v>31</v>
      </c>
      <c r="B379">
        <v>715</v>
      </c>
      <c r="C379">
        <v>191</v>
      </c>
      <c r="D379">
        <v>2911</v>
      </c>
      <c r="G379" t="s">
        <v>4245</v>
      </c>
      <c r="H379">
        <v>18628799000120</v>
      </c>
      <c r="I379" t="s">
        <v>3734</v>
      </c>
      <c r="J379" t="s">
        <v>3735</v>
      </c>
      <c r="K379" t="s">
        <v>2216</v>
      </c>
      <c r="M379" t="s">
        <v>2217</v>
      </c>
      <c r="O379" t="s">
        <v>3736</v>
      </c>
      <c r="P379" t="s">
        <v>1094</v>
      </c>
      <c r="Q379" t="s">
        <v>790</v>
      </c>
      <c r="T379" t="s">
        <v>319</v>
      </c>
      <c r="U379" t="s">
        <v>3417</v>
      </c>
      <c r="W379">
        <v>62091</v>
      </c>
      <c r="X379">
        <v>0</v>
      </c>
      <c r="Z379">
        <v>5</v>
      </c>
      <c r="AA379" s="31">
        <v>45989</v>
      </c>
      <c r="AB379" s="61">
        <v>0.67053240740740738</v>
      </c>
      <c r="AC379" t="s">
        <v>795</v>
      </c>
      <c r="AD379" s="31">
        <v>45994</v>
      </c>
      <c r="AE379" s="61">
        <v>0.42509259259259258</v>
      </c>
      <c r="AF379" t="s">
        <v>796</v>
      </c>
      <c r="AQ379">
        <v>1</v>
      </c>
    </row>
    <row r="380" spans="1:43" x14ac:dyDescent="0.3">
      <c r="A380" t="s">
        <v>31</v>
      </c>
      <c r="B380">
        <v>716</v>
      </c>
      <c r="D380">
        <v>2912</v>
      </c>
      <c r="G380" t="s">
        <v>4246</v>
      </c>
      <c r="H380">
        <v>38160619000136</v>
      </c>
      <c r="J380" t="s">
        <v>4198</v>
      </c>
      <c r="K380" t="s">
        <v>4199</v>
      </c>
      <c r="M380" t="s">
        <v>4200</v>
      </c>
      <c r="O380" t="s">
        <v>778</v>
      </c>
      <c r="T380" t="s">
        <v>319</v>
      </c>
      <c r="U380" t="s">
        <v>816</v>
      </c>
      <c r="W380">
        <v>714</v>
      </c>
      <c r="X380">
        <v>0</v>
      </c>
      <c r="Z380">
        <v>0</v>
      </c>
      <c r="AA380" s="31">
        <v>45989</v>
      </c>
      <c r="AB380" s="61">
        <v>0.6887268518518519</v>
      </c>
      <c r="AC380" t="s">
        <v>818</v>
      </c>
      <c r="AD380" s="31">
        <v>45989</v>
      </c>
      <c r="AE380" s="61">
        <v>0.70133101851851853</v>
      </c>
      <c r="AH380" t="s">
        <v>4247</v>
      </c>
      <c r="AQ380">
        <v>1</v>
      </c>
    </row>
    <row r="381" spans="1:43" x14ac:dyDescent="0.3">
      <c r="A381" t="s">
        <v>31</v>
      </c>
      <c r="B381">
        <v>720</v>
      </c>
      <c r="C381">
        <v>147</v>
      </c>
      <c r="D381">
        <v>2956</v>
      </c>
      <c r="G381" t="s">
        <v>4248</v>
      </c>
      <c r="H381">
        <v>7964558000136</v>
      </c>
      <c r="I381" t="s">
        <v>3430</v>
      </c>
      <c r="J381" t="s">
        <v>1317</v>
      </c>
      <c r="K381" t="s">
        <v>3515</v>
      </c>
      <c r="M381" t="s">
        <v>3433</v>
      </c>
      <c r="O381" t="s">
        <v>778</v>
      </c>
      <c r="S381" t="s">
        <v>1704</v>
      </c>
      <c r="T381" t="s">
        <v>319</v>
      </c>
      <c r="U381" t="s">
        <v>816</v>
      </c>
      <c r="W381">
        <v>5040</v>
      </c>
      <c r="X381">
        <v>114048</v>
      </c>
      <c r="Z381">
        <v>79</v>
      </c>
      <c r="AA381" s="31">
        <v>45993</v>
      </c>
      <c r="AB381" s="61">
        <v>0.49560185185185179</v>
      </c>
      <c r="AC381" t="s">
        <v>782</v>
      </c>
      <c r="AD381" s="31"/>
      <c r="AE381" s="61"/>
      <c r="AH381" t="s">
        <v>2452</v>
      </c>
      <c r="AI381" t="s">
        <v>2452</v>
      </c>
      <c r="AK381" t="s">
        <v>2510</v>
      </c>
      <c r="AL381" t="s">
        <v>1970</v>
      </c>
      <c r="AQ381">
        <v>1</v>
      </c>
    </row>
    <row r="382" spans="1:43" x14ac:dyDescent="0.3">
      <c r="A382" t="s">
        <v>31</v>
      </c>
      <c r="B382">
        <v>721</v>
      </c>
      <c r="C382">
        <v>190</v>
      </c>
      <c r="D382">
        <v>2957</v>
      </c>
      <c r="G382" t="s">
        <v>4249</v>
      </c>
      <c r="H382">
        <v>18203215000175</v>
      </c>
      <c r="I382" t="s">
        <v>3690</v>
      </c>
      <c r="J382" t="s">
        <v>4210</v>
      </c>
      <c r="K382" t="s">
        <v>3692</v>
      </c>
      <c r="M382" t="s">
        <v>3693</v>
      </c>
      <c r="O382" t="s">
        <v>3694</v>
      </c>
      <c r="P382" t="s">
        <v>3695</v>
      </c>
      <c r="Q382" t="s">
        <v>790</v>
      </c>
      <c r="S382" t="s">
        <v>1704</v>
      </c>
      <c r="T382" t="s">
        <v>319</v>
      </c>
      <c r="U382" t="s">
        <v>816</v>
      </c>
      <c r="W382">
        <v>7000</v>
      </c>
      <c r="X382">
        <v>0</v>
      </c>
      <c r="Z382">
        <v>8</v>
      </c>
      <c r="AA382" s="31">
        <v>45994</v>
      </c>
      <c r="AB382" s="61">
        <v>0.48918981481481483</v>
      </c>
      <c r="AC382" t="s">
        <v>818</v>
      </c>
      <c r="AD382" s="31">
        <v>46002</v>
      </c>
      <c r="AE382" s="61">
        <v>0.68612268518518515</v>
      </c>
      <c r="AH382" t="s">
        <v>2465</v>
      </c>
      <c r="AI382" t="s">
        <v>2465</v>
      </c>
      <c r="AQ382">
        <v>1</v>
      </c>
    </row>
    <row r="383" spans="1:43" x14ac:dyDescent="0.3">
      <c r="A383" t="s">
        <v>31</v>
      </c>
      <c r="B383">
        <v>722</v>
      </c>
      <c r="C383">
        <v>195</v>
      </c>
      <c r="D383">
        <v>2964</v>
      </c>
      <c r="G383" t="s">
        <v>4250</v>
      </c>
      <c r="H383">
        <v>49682710000138</v>
      </c>
      <c r="I383" t="s">
        <v>4059</v>
      </c>
      <c r="J383" t="s">
        <v>4060</v>
      </c>
      <c r="K383" t="s">
        <v>4061</v>
      </c>
      <c r="M383" t="s">
        <v>4062</v>
      </c>
      <c r="O383" t="s">
        <v>4063</v>
      </c>
      <c r="P383" t="s">
        <v>1633</v>
      </c>
      <c r="Q383" t="s">
        <v>848</v>
      </c>
      <c r="T383" t="s">
        <v>319</v>
      </c>
      <c r="U383" t="s">
        <v>816</v>
      </c>
      <c r="W383">
        <v>7200</v>
      </c>
      <c r="X383">
        <v>0</v>
      </c>
      <c r="Z383">
        <v>0</v>
      </c>
      <c r="AA383" s="31">
        <v>45996</v>
      </c>
      <c r="AB383" s="61">
        <v>0.39057870370370368</v>
      </c>
      <c r="AC383" t="s">
        <v>818</v>
      </c>
      <c r="AD383" s="31">
        <v>45996</v>
      </c>
      <c r="AE383" s="61">
        <v>0.41447916666666668</v>
      </c>
      <c r="AH383" t="s">
        <v>2459</v>
      </c>
      <c r="AQ383">
        <v>1</v>
      </c>
    </row>
    <row r="384" spans="1:43" x14ac:dyDescent="0.3">
      <c r="A384" t="s">
        <v>31</v>
      </c>
      <c r="B384">
        <v>723</v>
      </c>
      <c r="C384">
        <v>197</v>
      </c>
      <c r="D384">
        <v>2965</v>
      </c>
      <c r="G384" t="s">
        <v>4251</v>
      </c>
      <c r="H384">
        <v>8616236000169</v>
      </c>
      <c r="I384" t="s">
        <v>3726</v>
      </c>
      <c r="J384" t="s">
        <v>704</v>
      </c>
      <c r="K384" t="s">
        <v>3727</v>
      </c>
      <c r="M384" t="s">
        <v>3728</v>
      </c>
      <c r="O384" t="s">
        <v>3729</v>
      </c>
      <c r="P384" t="s">
        <v>3687</v>
      </c>
      <c r="Q384" t="s">
        <v>790</v>
      </c>
      <c r="S384" t="s">
        <v>1581</v>
      </c>
      <c r="T384" t="s">
        <v>319</v>
      </c>
      <c r="U384" t="s">
        <v>816</v>
      </c>
      <c r="W384">
        <v>2856</v>
      </c>
      <c r="X384">
        <v>60588</v>
      </c>
      <c r="Z384">
        <v>38</v>
      </c>
      <c r="AA384" s="31">
        <v>45996</v>
      </c>
      <c r="AB384" s="61">
        <v>0.70861111111111108</v>
      </c>
      <c r="AC384" t="s">
        <v>795</v>
      </c>
      <c r="AD384" s="31">
        <v>46034</v>
      </c>
      <c r="AE384" s="61">
        <v>0.46759259259259262</v>
      </c>
      <c r="AF384" t="s">
        <v>934</v>
      </c>
      <c r="AH384" t="s">
        <v>2459</v>
      </c>
      <c r="AI384" t="s">
        <v>2459</v>
      </c>
      <c r="AK384" t="s">
        <v>2519</v>
      </c>
      <c r="AQ384">
        <v>1</v>
      </c>
    </row>
    <row r="385" spans="1:43" x14ac:dyDescent="0.3">
      <c r="A385" t="s">
        <v>31</v>
      </c>
      <c r="B385">
        <v>724</v>
      </c>
      <c r="C385">
        <v>180</v>
      </c>
      <c r="D385">
        <v>2968</v>
      </c>
      <c r="G385" t="s">
        <v>4252</v>
      </c>
      <c r="H385">
        <v>7287290000226</v>
      </c>
      <c r="I385" t="s">
        <v>3561</v>
      </c>
      <c r="J385" t="s">
        <v>3922</v>
      </c>
      <c r="K385" t="s">
        <v>3563</v>
      </c>
      <c r="M385" t="s">
        <v>3564</v>
      </c>
      <c r="O385" t="s">
        <v>3565</v>
      </c>
      <c r="P385" t="s">
        <v>3566</v>
      </c>
      <c r="Q385" t="s">
        <v>790</v>
      </c>
      <c r="S385" t="s">
        <v>1419</v>
      </c>
      <c r="T385" t="s">
        <v>319</v>
      </c>
      <c r="U385" t="s">
        <v>3417</v>
      </c>
      <c r="W385">
        <v>669483</v>
      </c>
      <c r="X385">
        <v>0</v>
      </c>
      <c r="Z385">
        <v>28</v>
      </c>
      <c r="AA385" s="31">
        <v>45999</v>
      </c>
      <c r="AB385" s="61">
        <v>0.47325231481481478</v>
      </c>
      <c r="AC385" t="s">
        <v>795</v>
      </c>
      <c r="AD385" s="31">
        <v>46027</v>
      </c>
      <c r="AE385" s="61">
        <v>0.60864583333333333</v>
      </c>
      <c r="AF385" t="s">
        <v>934</v>
      </c>
      <c r="AH385" t="s">
        <v>4253</v>
      </c>
      <c r="AK385" t="s">
        <v>2520</v>
      </c>
      <c r="AQ385">
        <v>1</v>
      </c>
    </row>
    <row r="386" spans="1:43" x14ac:dyDescent="0.3">
      <c r="A386" t="s">
        <v>31</v>
      </c>
      <c r="B386">
        <v>738</v>
      </c>
      <c r="C386">
        <v>133</v>
      </c>
      <c r="D386">
        <v>2990</v>
      </c>
      <c r="G386" t="s">
        <v>4254</v>
      </c>
      <c r="H386">
        <v>9517464000144</v>
      </c>
      <c r="I386" t="s">
        <v>625</v>
      </c>
      <c r="J386" t="s">
        <v>4255</v>
      </c>
      <c r="K386" t="s">
        <v>3584</v>
      </c>
      <c r="M386" t="s">
        <v>2207</v>
      </c>
      <c r="O386" t="s">
        <v>778</v>
      </c>
      <c r="S386" t="s">
        <v>1704</v>
      </c>
      <c r="T386" t="s">
        <v>319</v>
      </c>
      <c r="U386" t="s">
        <v>816</v>
      </c>
      <c r="W386">
        <v>3570</v>
      </c>
      <c r="X386">
        <v>0</v>
      </c>
      <c r="Z386">
        <v>1</v>
      </c>
      <c r="AA386" s="31">
        <v>46002</v>
      </c>
      <c r="AB386" s="61">
        <v>0.69379629629629624</v>
      </c>
      <c r="AC386" t="s">
        <v>818</v>
      </c>
      <c r="AD386" s="31">
        <v>46003</v>
      </c>
      <c r="AE386" s="61">
        <v>0.74067129629629624</v>
      </c>
      <c r="AH386" t="s">
        <v>4256</v>
      </c>
      <c r="AI386" t="s">
        <v>4256</v>
      </c>
      <c r="AK386" t="s">
        <v>2326</v>
      </c>
      <c r="AQ386">
        <v>1</v>
      </c>
    </row>
    <row r="387" spans="1:43" x14ac:dyDescent="0.3">
      <c r="A387" t="s">
        <v>31</v>
      </c>
      <c r="B387">
        <v>743</v>
      </c>
      <c r="D387">
        <v>2998</v>
      </c>
      <c r="G387" t="s">
        <v>4191</v>
      </c>
      <c r="H387">
        <v>49119936000125</v>
      </c>
      <c r="J387" t="s">
        <v>1288</v>
      </c>
      <c r="K387" t="s">
        <v>4193</v>
      </c>
      <c r="M387" t="s">
        <v>4096</v>
      </c>
      <c r="O387" t="s">
        <v>778</v>
      </c>
      <c r="S387" t="s">
        <v>1718</v>
      </c>
      <c r="T387" t="s">
        <v>319</v>
      </c>
      <c r="U387" t="s">
        <v>3417</v>
      </c>
      <c r="W387">
        <v>0</v>
      </c>
      <c r="X387">
        <v>26136</v>
      </c>
      <c r="Z387">
        <v>33</v>
      </c>
      <c r="AA387" s="31">
        <v>46008</v>
      </c>
      <c r="AB387" s="61">
        <v>0.69160879629629635</v>
      </c>
      <c r="AC387" t="s">
        <v>795</v>
      </c>
      <c r="AD387" s="31">
        <v>46041</v>
      </c>
      <c r="AE387" s="61">
        <v>0.43174768518518519</v>
      </c>
      <c r="AF387" t="s">
        <v>934</v>
      </c>
      <c r="AH387" t="s">
        <v>4257</v>
      </c>
      <c r="AI387" t="s">
        <v>4257</v>
      </c>
      <c r="AK387" t="s">
        <v>4257</v>
      </c>
      <c r="AQ387">
        <v>1</v>
      </c>
    </row>
    <row r="388" spans="1:43" x14ac:dyDescent="0.3">
      <c r="A388" t="s">
        <v>31</v>
      </c>
      <c r="B388">
        <v>744</v>
      </c>
      <c r="C388">
        <v>134</v>
      </c>
      <c r="D388">
        <v>2999</v>
      </c>
      <c r="G388" t="s">
        <v>3863</v>
      </c>
      <c r="I388" t="s">
        <v>3377</v>
      </c>
      <c r="J388" t="s">
        <v>3985</v>
      </c>
      <c r="K388" t="s">
        <v>3830</v>
      </c>
      <c r="M388" t="s">
        <v>3379</v>
      </c>
      <c r="O388" t="s">
        <v>778</v>
      </c>
      <c r="T388" t="s">
        <v>319</v>
      </c>
      <c r="U388" t="s">
        <v>816</v>
      </c>
      <c r="W388">
        <v>9867</v>
      </c>
      <c r="X388">
        <v>8000</v>
      </c>
      <c r="Z388">
        <v>21</v>
      </c>
      <c r="AA388" s="31">
        <v>46008</v>
      </c>
      <c r="AB388" s="61">
        <v>0.702662037037037</v>
      </c>
      <c r="AC388" t="s">
        <v>818</v>
      </c>
      <c r="AD388" s="31">
        <v>46029</v>
      </c>
      <c r="AE388" s="61">
        <v>0.45002314814814809</v>
      </c>
      <c r="AH388" t="s">
        <v>4257</v>
      </c>
      <c r="AI388" t="s">
        <v>4258</v>
      </c>
      <c r="AK388" t="s">
        <v>4259</v>
      </c>
      <c r="AQ388">
        <v>1</v>
      </c>
    </row>
    <row r="389" spans="1:43" x14ac:dyDescent="0.3">
      <c r="A389" t="s">
        <v>31</v>
      </c>
      <c r="B389">
        <v>745</v>
      </c>
      <c r="C389">
        <v>122</v>
      </c>
      <c r="D389">
        <v>137</v>
      </c>
      <c r="G389" t="s">
        <v>4260</v>
      </c>
      <c r="I389" t="s">
        <v>680</v>
      </c>
      <c r="J389" t="s">
        <v>680</v>
      </c>
      <c r="K389" t="s">
        <v>3350</v>
      </c>
      <c r="M389" t="s">
        <v>3351</v>
      </c>
      <c r="O389" t="s">
        <v>778</v>
      </c>
      <c r="S389" t="s">
        <v>1718</v>
      </c>
      <c r="T389" t="s">
        <v>319</v>
      </c>
      <c r="U389" t="s">
        <v>3417</v>
      </c>
      <c r="W389">
        <v>3360</v>
      </c>
      <c r="X389">
        <v>0</v>
      </c>
      <c r="Z389">
        <v>31</v>
      </c>
      <c r="AA389" s="31">
        <v>46010</v>
      </c>
      <c r="AB389" s="61">
        <v>0.45038194444444452</v>
      </c>
      <c r="AC389" t="s">
        <v>795</v>
      </c>
      <c r="AD389" s="31">
        <v>46041</v>
      </c>
      <c r="AE389" s="61">
        <v>0.37591435185185179</v>
      </c>
      <c r="AF389" t="s">
        <v>796</v>
      </c>
      <c r="AH389" t="s">
        <v>4261</v>
      </c>
      <c r="AI389" t="s">
        <v>4262</v>
      </c>
      <c r="AK389" t="s">
        <v>4261</v>
      </c>
      <c r="AQ389">
        <v>1</v>
      </c>
    </row>
    <row r="390" spans="1:43" x14ac:dyDescent="0.3">
      <c r="A390" t="s">
        <v>31</v>
      </c>
      <c r="B390">
        <v>751</v>
      </c>
      <c r="D390">
        <v>3019</v>
      </c>
      <c r="G390" t="s">
        <v>4263</v>
      </c>
      <c r="H390">
        <v>38160619000136</v>
      </c>
      <c r="J390" t="s">
        <v>4198</v>
      </c>
      <c r="K390" t="s">
        <v>4199</v>
      </c>
      <c r="M390" t="s">
        <v>4200</v>
      </c>
      <c r="O390" t="s">
        <v>778</v>
      </c>
      <c r="S390" t="s">
        <v>1718</v>
      </c>
      <c r="T390" t="s">
        <v>319</v>
      </c>
      <c r="U390" t="s">
        <v>3417</v>
      </c>
      <c r="W390">
        <v>13100</v>
      </c>
      <c r="X390">
        <v>1700</v>
      </c>
      <c r="Z390">
        <v>44</v>
      </c>
      <c r="AA390" s="31">
        <v>46028</v>
      </c>
      <c r="AB390" s="61">
        <v>0.47716435185185191</v>
      </c>
      <c r="AC390" t="s">
        <v>782</v>
      </c>
      <c r="AD390" s="31"/>
      <c r="AE390" s="61"/>
      <c r="AH390" t="s">
        <v>4264</v>
      </c>
      <c r="AK390" t="s">
        <v>4264</v>
      </c>
      <c r="AL390" t="s">
        <v>2119</v>
      </c>
      <c r="AQ390">
        <v>1</v>
      </c>
    </row>
    <row r="391" spans="1:43" x14ac:dyDescent="0.3">
      <c r="A391" t="s">
        <v>31</v>
      </c>
      <c r="B391">
        <v>752</v>
      </c>
      <c r="C391">
        <v>0</v>
      </c>
      <c r="D391">
        <v>3020</v>
      </c>
      <c r="G391" t="s">
        <v>4265</v>
      </c>
      <c r="H391">
        <v>38160619000136</v>
      </c>
      <c r="J391" t="s">
        <v>4198</v>
      </c>
      <c r="K391" t="s">
        <v>4199</v>
      </c>
      <c r="M391" t="s">
        <v>4200</v>
      </c>
      <c r="O391" t="s">
        <v>778</v>
      </c>
      <c r="S391" t="s">
        <v>1718</v>
      </c>
      <c r="T391" t="s">
        <v>319</v>
      </c>
      <c r="U391" t="s">
        <v>781</v>
      </c>
      <c r="Z391">
        <v>37</v>
      </c>
      <c r="AA391" s="31">
        <v>46028</v>
      </c>
      <c r="AB391" s="61">
        <v>0.49056712962962962</v>
      </c>
      <c r="AC391" t="s">
        <v>795</v>
      </c>
      <c r="AD391" s="31">
        <v>46065</v>
      </c>
      <c r="AE391" s="61">
        <v>0.7333912037037037</v>
      </c>
      <c r="AF391" t="s">
        <v>796</v>
      </c>
      <c r="AK391" t="s">
        <v>4264</v>
      </c>
      <c r="AL391" t="s">
        <v>2119</v>
      </c>
      <c r="AQ391">
        <v>1</v>
      </c>
    </row>
    <row r="392" spans="1:43" x14ac:dyDescent="0.3">
      <c r="A392" t="s">
        <v>31</v>
      </c>
      <c r="B392">
        <v>753</v>
      </c>
      <c r="C392">
        <v>152</v>
      </c>
      <c r="D392">
        <v>3021</v>
      </c>
      <c r="E392" t="s">
        <v>4266</v>
      </c>
      <c r="AA392" s="31"/>
      <c r="AB392" s="61"/>
      <c r="AD392" s="31"/>
      <c r="AE392" s="61"/>
      <c r="AQ392">
        <v>1</v>
      </c>
    </row>
    <row r="393" spans="1:43" x14ac:dyDescent="0.3">
      <c r="A393" t="s">
        <v>4267</v>
      </c>
      <c r="AA393" s="31"/>
      <c r="AB393" s="61"/>
      <c r="AD393" s="31"/>
      <c r="AE393" s="61"/>
      <c r="AQ393">
        <v>1</v>
      </c>
    </row>
    <row r="394" spans="1:43" x14ac:dyDescent="0.3">
      <c r="A394" t="s">
        <v>4268</v>
      </c>
      <c r="AA394" s="31"/>
      <c r="AB394" s="61"/>
      <c r="AD394" s="31"/>
      <c r="AE394" s="61"/>
      <c r="AQ394">
        <v>1</v>
      </c>
    </row>
    <row r="395" spans="1:43" x14ac:dyDescent="0.3">
      <c r="A395" t="s">
        <v>4269</v>
      </c>
      <c r="AA395" s="31"/>
      <c r="AB395" s="61"/>
      <c r="AD395" s="31"/>
      <c r="AE395" s="61"/>
      <c r="AQ395">
        <v>1</v>
      </c>
    </row>
    <row r="396" spans="1:43" x14ac:dyDescent="0.3">
      <c r="A396" t="s">
        <v>4270</v>
      </c>
      <c r="AA396" s="31"/>
      <c r="AB396" s="61"/>
      <c r="AD396" s="31"/>
      <c r="AE396" s="61"/>
      <c r="AQ396">
        <v>1</v>
      </c>
    </row>
    <row r="397" spans="1:43" x14ac:dyDescent="0.3">
      <c r="A397" t="s">
        <v>4271</v>
      </c>
      <c r="AA397" s="31"/>
      <c r="AB397" s="61"/>
      <c r="AD397" s="31"/>
      <c r="AE397" s="61"/>
      <c r="AQ397">
        <v>1</v>
      </c>
    </row>
    <row r="398" spans="1:43" x14ac:dyDescent="0.3">
      <c r="A398" t="s">
        <v>4271</v>
      </c>
      <c r="AA398" s="31"/>
      <c r="AB398" s="61"/>
      <c r="AD398" s="31"/>
      <c r="AE398" s="61"/>
      <c r="AQ398">
        <v>1</v>
      </c>
    </row>
    <row r="399" spans="1:43" x14ac:dyDescent="0.3">
      <c r="A399" t="s">
        <v>4271</v>
      </c>
      <c r="AA399" s="31"/>
      <c r="AB399" s="61"/>
      <c r="AD399" s="31"/>
      <c r="AE399" s="61"/>
      <c r="AQ399">
        <v>1</v>
      </c>
    </row>
    <row r="400" spans="1:43" x14ac:dyDescent="0.3">
      <c r="A400" t="s">
        <v>4271</v>
      </c>
      <c r="AA400" s="31"/>
      <c r="AB400" s="61"/>
      <c r="AD400" s="31"/>
      <c r="AE400" s="61"/>
      <c r="AQ400">
        <v>1</v>
      </c>
    </row>
    <row r="401" spans="1:43" x14ac:dyDescent="0.3">
      <c r="A401" t="s">
        <v>4272</v>
      </c>
      <c r="AA401" s="31"/>
      <c r="AB401" s="61"/>
      <c r="AD401" s="31"/>
      <c r="AE401" s="61"/>
      <c r="AQ401">
        <v>1</v>
      </c>
    </row>
    <row r="402" spans="1:43" x14ac:dyDescent="0.3">
      <c r="A402" t="s">
        <v>4272</v>
      </c>
      <c r="F402" t="s">
        <v>3445</v>
      </c>
      <c r="G402" t="s">
        <v>4273</v>
      </c>
      <c r="J402" t="s">
        <v>3448</v>
      </c>
      <c r="P402" t="s">
        <v>1718</v>
      </c>
      <c r="Q402" t="s">
        <v>319</v>
      </c>
      <c r="R402" t="s">
        <v>3417</v>
      </c>
      <c r="T402" t="s">
        <v>4274</v>
      </c>
      <c r="U402" t="s">
        <v>4275</v>
      </c>
      <c r="W402">
        <v>30</v>
      </c>
      <c r="Y402" t="s">
        <v>4276</v>
      </c>
      <c r="AA402" s="31">
        <v>46058</v>
      </c>
      <c r="AB402" s="61">
        <v>0.60276620370370371</v>
      </c>
      <c r="AC402" t="s">
        <v>3463</v>
      </c>
      <c r="AD402" s="31"/>
      <c r="AE402" s="61"/>
      <c r="AH402" t="s">
        <v>2990</v>
      </c>
      <c r="AQ402">
        <v>1</v>
      </c>
    </row>
    <row r="403" spans="1:43" x14ac:dyDescent="0.3">
      <c r="A403" t="s">
        <v>31</v>
      </c>
      <c r="B403">
        <v>755</v>
      </c>
      <c r="C403">
        <v>194</v>
      </c>
      <c r="D403">
        <v>3043</v>
      </c>
      <c r="G403" t="s">
        <v>4277</v>
      </c>
      <c r="H403">
        <v>44580314000186</v>
      </c>
      <c r="I403" t="s">
        <v>3682</v>
      </c>
      <c r="J403" t="s">
        <v>704</v>
      </c>
      <c r="K403" t="s">
        <v>3684</v>
      </c>
      <c r="M403" t="s">
        <v>3685</v>
      </c>
      <c r="O403" t="s">
        <v>3686</v>
      </c>
      <c r="P403" t="s">
        <v>3687</v>
      </c>
      <c r="Q403" t="s">
        <v>790</v>
      </c>
      <c r="S403" t="s">
        <v>1704</v>
      </c>
      <c r="T403" t="s">
        <v>319</v>
      </c>
      <c r="U403" t="s">
        <v>816</v>
      </c>
      <c r="W403">
        <v>8100</v>
      </c>
      <c r="X403">
        <v>1080</v>
      </c>
      <c r="Z403">
        <v>37</v>
      </c>
      <c r="AA403" s="31">
        <v>46029</v>
      </c>
      <c r="AB403" s="61">
        <v>0.7151967592592593</v>
      </c>
      <c r="AC403" t="s">
        <v>818</v>
      </c>
      <c r="AD403" s="31">
        <v>46066</v>
      </c>
      <c r="AE403" s="61">
        <v>0.39057870370370368</v>
      </c>
      <c r="AH403" t="s">
        <v>4278</v>
      </c>
      <c r="AI403" t="s">
        <v>4278</v>
      </c>
      <c r="AK403" t="s">
        <v>4278</v>
      </c>
      <c r="AL403" t="s">
        <v>1970</v>
      </c>
      <c r="AQ403">
        <v>1</v>
      </c>
    </row>
    <row r="404" spans="1:43" x14ac:dyDescent="0.3">
      <c r="A404" t="s">
        <v>31</v>
      </c>
      <c r="B404">
        <v>756</v>
      </c>
      <c r="C404">
        <v>194</v>
      </c>
      <c r="D404">
        <v>3044</v>
      </c>
      <c r="G404" t="s">
        <v>233</v>
      </c>
      <c r="H404">
        <v>44580314000186</v>
      </c>
      <c r="I404" t="s">
        <v>3682</v>
      </c>
      <c r="J404" t="s">
        <v>704</v>
      </c>
      <c r="K404" t="s">
        <v>3684</v>
      </c>
      <c r="M404" t="s">
        <v>3685</v>
      </c>
      <c r="O404" t="s">
        <v>3686</v>
      </c>
      <c r="P404" t="s">
        <v>3687</v>
      </c>
      <c r="Q404" t="s">
        <v>790</v>
      </c>
      <c r="S404" t="s">
        <v>1718</v>
      </c>
      <c r="T404" t="s">
        <v>319</v>
      </c>
      <c r="U404" t="s">
        <v>3417</v>
      </c>
      <c r="W404">
        <v>29400</v>
      </c>
      <c r="X404">
        <v>0</v>
      </c>
      <c r="Z404">
        <v>43</v>
      </c>
      <c r="AA404" s="31">
        <v>46029</v>
      </c>
      <c r="AB404" s="61">
        <v>0.72042824074074074</v>
      </c>
      <c r="AC404" t="s">
        <v>782</v>
      </c>
      <c r="AD404" s="31"/>
      <c r="AE404" s="61"/>
      <c r="AH404" t="s">
        <v>4279</v>
      </c>
      <c r="AK404" t="s">
        <v>2591</v>
      </c>
      <c r="AL404" t="s">
        <v>2119</v>
      </c>
      <c r="AQ404">
        <v>1</v>
      </c>
    </row>
    <row r="405" spans="1:43" x14ac:dyDescent="0.3">
      <c r="A405" t="s">
        <v>31</v>
      </c>
      <c r="B405">
        <v>765</v>
      </c>
      <c r="C405">
        <v>85</v>
      </c>
      <c r="D405">
        <v>3062</v>
      </c>
      <c r="E405" t="s">
        <v>4280</v>
      </c>
      <c r="AA405" s="31"/>
      <c r="AB405" s="61"/>
      <c r="AD405" s="31"/>
      <c r="AE405" s="61"/>
      <c r="AQ405">
        <v>1</v>
      </c>
    </row>
    <row r="406" spans="1:43" x14ac:dyDescent="0.3">
      <c r="A406" t="s">
        <v>4281</v>
      </c>
      <c r="AA406" s="31"/>
      <c r="AB406" s="61"/>
      <c r="AD406" s="31"/>
      <c r="AE406" s="61"/>
      <c r="AQ406">
        <v>1</v>
      </c>
    </row>
    <row r="407" spans="1:43" x14ac:dyDescent="0.3">
      <c r="A407" t="s">
        <v>4282</v>
      </c>
      <c r="AA407" s="31"/>
      <c r="AB407" s="61"/>
      <c r="AD407" s="31"/>
      <c r="AE407" s="61"/>
      <c r="AQ407">
        <v>1</v>
      </c>
    </row>
    <row r="408" spans="1:43" x14ac:dyDescent="0.3">
      <c r="A408" t="s">
        <v>4283</v>
      </c>
      <c r="AA408" s="31"/>
      <c r="AB408" s="61"/>
      <c r="AD408" s="31"/>
      <c r="AE408" s="61"/>
      <c r="AQ408">
        <v>1</v>
      </c>
    </row>
    <row r="409" spans="1:43" x14ac:dyDescent="0.3">
      <c r="A409" t="s">
        <v>4284</v>
      </c>
      <c r="AA409" s="31"/>
      <c r="AB409" s="61"/>
      <c r="AD409" s="31"/>
      <c r="AE409" s="61"/>
      <c r="AQ409">
        <v>1</v>
      </c>
    </row>
    <row r="410" spans="1:43" x14ac:dyDescent="0.3">
      <c r="A410" t="s">
        <v>4267</v>
      </c>
      <c r="AA410" s="31"/>
      <c r="AB410" s="61"/>
      <c r="AD410" s="31"/>
      <c r="AE410" s="61"/>
      <c r="AQ410">
        <v>1</v>
      </c>
    </row>
    <row r="411" spans="1:43" x14ac:dyDescent="0.3">
      <c r="A411" t="s">
        <v>4285</v>
      </c>
      <c r="AA411" s="31"/>
      <c r="AB411" s="61"/>
      <c r="AD411" s="31"/>
      <c r="AE411" s="61"/>
      <c r="AQ411">
        <v>1</v>
      </c>
    </row>
    <row r="412" spans="1:43" x14ac:dyDescent="0.3">
      <c r="A412" t="s">
        <v>4269</v>
      </c>
      <c r="AA412" s="31"/>
      <c r="AB412" s="61"/>
      <c r="AD412" s="31"/>
      <c r="AE412" s="61"/>
      <c r="AQ412">
        <v>1</v>
      </c>
    </row>
    <row r="413" spans="1:43" x14ac:dyDescent="0.3">
      <c r="A413" t="s">
        <v>4270</v>
      </c>
      <c r="AA413" s="31"/>
      <c r="AB413" s="61"/>
      <c r="AD413" s="31"/>
      <c r="AE413" s="61"/>
      <c r="AQ413">
        <v>1</v>
      </c>
    </row>
    <row r="414" spans="1:43" x14ac:dyDescent="0.3">
      <c r="A414" t="s">
        <v>4286</v>
      </c>
      <c r="AA414" s="31"/>
      <c r="AB414" s="61"/>
      <c r="AD414" s="31"/>
      <c r="AE414" s="61"/>
      <c r="AQ414">
        <v>1</v>
      </c>
    </row>
    <row r="415" spans="1:43" x14ac:dyDescent="0.3">
      <c r="A415" t="s">
        <v>4286</v>
      </c>
      <c r="E415" t="s">
        <v>4287</v>
      </c>
      <c r="F415" t="s">
        <v>4288</v>
      </c>
      <c r="G415" t="s">
        <v>3261</v>
      </c>
      <c r="I415" t="s">
        <v>3972</v>
      </c>
      <c r="K415" t="s">
        <v>3263</v>
      </c>
      <c r="M415" t="s">
        <v>778</v>
      </c>
      <c r="N415" t="s">
        <v>3264</v>
      </c>
      <c r="Q415" t="s">
        <v>1718</v>
      </c>
      <c r="R415" t="s">
        <v>319</v>
      </c>
      <c r="S415" t="s">
        <v>3417</v>
      </c>
      <c r="U415" t="s">
        <v>4289</v>
      </c>
      <c r="V415" t="s">
        <v>4275</v>
      </c>
      <c r="X415">
        <v>41</v>
      </c>
      <c r="Y415" t="s">
        <v>4290</v>
      </c>
      <c r="AA415" s="31"/>
      <c r="AB415" s="61"/>
      <c r="AD415" s="31"/>
      <c r="AE415" s="61"/>
      <c r="AF415" t="s">
        <v>2619</v>
      </c>
      <c r="AI415" t="s">
        <v>2990</v>
      </c>
      <c r="AJ415" t="s">
        <v>2119</v>
      </c>
      <c r="AQ415">
        <v>1</v>
      </c>
    </row>
    <row r="416" spans="1:43" x14ac:dyDescent="0.3">
      <c r="A416" t="s">
        <v>31</v>
      </c>
      <c r="B416">
        <v>791</v>
      </c>
      <c r="C416">
        <v>182</v>
      </c>
      <c r="D416">
        <v>3085</v>
      </c>
      <c r="E416" t="s">
        <v>4291</v>
      </c>
      <c r="AA416" s="31"/>
      <c r="AB416" s="61"/>
      <c r="AD416" s="31"/>
      <c r="AE416" s="61"/>
      <c r="AQ416">
        <v>1</v>
      </c>
    </row>
    <row r="417" spans="1:43" x14ac:dyDescent="0.3">
      <c r="A417" t="s">
        <v>4292</v>
      </c>
      <c r="D417">
        <v>23873456000161</v>
      </c>
      <c r="E417" t="s">
        <v>3573</v>
      </c>
      <c r="F417" t="s">
        <v>3655</v>
      </c>
      <c r="G417" t="s">
        <v>3575</v>
      </c>
      <c r="I417" t="s">
        <v>3576</v>
      </c>
      <c r="K417" t="s">
        <v>3577</v>
      </c>
      <c r="M417" t="s">
        <v>790</v>
      </c>
      <c r="P417" t="s">
        <v>319</v>
      </c>
      <c r="Q417" t="s">
        <v>3417</v>
      </c>
      <c r="S417" t="s">
        <v>4293</v>
      </c>
      <c r="T417" t="s">
        <v>4171</v>
      </c>
      <c r="V417" t="s">
        <v>4294</v>
      </c>
      <c r="Y417" t="s">
        <v>795</v>
      </c>
      <c r="AA417" s="31"/>
      <c r="AB417" s="61"/>
      <c r="AD417" s="31"/>
      <c r="AE417" s="61"/>
      <c r="AQ417">
        <v>1</v>
      </c>
    </row>
    <row r="418" spans="1:43" x14ac:dyDescent="0.3">
      <c r="A418" t="s">
        <v>31</v>
      </c>
      <c r="B418">
        <v>797</v>
      </c>
      <c r="C418">
        <v>103</v>
      </c>
      <c r="D418">
        <v>3089</v>
      </c>
      <c r="E418" t="s">
        <v>4295</v>
      </c>
      <c r="AA418" s="31"/>
      <c r="AB418" s="61"/>
      <c r="AD418" s="31"/>
      <c r="AE418" s="61"/>
      <c r="AQ418">
        <v>1</v>
      </c>
    </row>
    <row r="419" spans="1:43" x14ac:dyDescent="0.3">
      <c r="A419" t="s">
        <v>4296</v>
      </c>
      <c r="D419">
        <v>12549273000179</v>
      </c>
      <c r="E419" t="s">
        <v>3309</v>
      </c>
      <c r="F419" t="s">
        <v>4297</v>
      </c>
      <c r="I419" t="s">
        <v>3312</v>
      </c>
      <c r="K419" t="s">
        <v>3313</v>
      </c>
      <c r="M419" t="s">
        <v>790</v>
      </c>
      <c r="O419" t="s">
        <v>1718</v>
      </c>
      <c r="P419" t="s">
        <v>319</v>
      </c>
      <c r="Q419" t="s">
        <v>816</v>
      </c>
      <c r="S419" t="s">
        <v>4298</v>
      </c>
      <c r="T419" t="s">
        <v>4275</v>
      </c>
      <c r="V419" t="s">
        <v>4299</v>
      </c>
      <c r="Y419" t="s">
        <v>818</v>
      </c>
      <c r="AA419" s="31"/>
      <c r="AB419" s="61"/>
      <c r="AD419" s="31"/>
      <c r="AE419" s="61"/>
      <c r="AH419" t="s">
        <v>2119</v>
      </c>
      <c r="AQ419">
        <v>1</v>
      </c>
    </row>
    <row r="420" spans="1:43" x14ac:dyDescent="0.3">
      <c r="A420" t="s">
        <v>31</v>
      </c>
      <c r="B420">
        <v>798</v>
      </c>
      <c r="C420">
        <v>149</v>
      </c>
      <c r="D420">
        <v>3090</v>
      </c>
      <c r="E420" t="s">
        <v>4300</v>
      </c>
      <c r="G420" t="s">
        <v>4301</v>
      </c>
      <c r="H420">
        <v>12418196000118</v>
      </c>
      <c r="I420" t="s">
        <v>3645</v>
      </c>
      <c r="J420" t="s">
        <v>3878</v>
      </c>
      <c r="K420" t="s">
        <v>3647</v>
      </c>
      <c r="M420" t="s">
        <v>3648</v>
      </c>
      <c r="O420" t="s">
        <v>778</v>
      </c>
      <c r="T420" t="s">
        <v>319</v>
      </c>
      <c r="U420" t="s">
        <v>3606</v>
      </c>
      <c r="Z420">
        <v>0</v>
      </c>
      <c r="AA420" s="31">
        <v>46036</v>
      </c>
      <c r="AB420" s="61">
        <v>0.52998842592592588</v>
      </c>
      <c r="AC420" t="s">
        <v>795</v>
      </c>
      <c r="AD420" s="31">
        <v>46036</v>
      </c>
      <c r="AE420" s="61">
        <v>0.53285879629629629</v>
      </c>
      <c r="AF420" t="s">
        <v>1358</v>
      </c>
      <c r="AI420" t="s">
        <v>2770</v>
      </c>
      <c r="AK420" t="s">
        <v>2808</v>
      </c>
      <c r="AQ420">
        <v>1</v>
      </c>
    </row>
    <row r="421" spans="1:43" x14ac:dyDescent="0.3">
      <c r="A421" t="s">
        <v>31</v>
      </c>
      <c r="B421">
        <v>801</v>
      </c>
      <c r="C421">
        <v>211</v>
      </c>
      <c r="D421">
        <v>3097</v>
      </c>
      <c r="E421" t="s">
        <v>4302</v>
      </c>
      <c r="G421" t="s">
        <v>4303</v>
      </c>
      <c r="H421">
        <v>5691820000190</v>
      </c>
      <c r="I421" t="s">
        <v>3912</v>
      </c>
      <c r="J421" t="s">
        <v>3431</v>
      </c>
      <c r="K421" t="s">
        <v>3913</v>
      </c>
      <c r="M421" t="s">
        <v>3914</v>
      </c>
      <c r="O421" t="s">
        <v>3915</v>
      </c>
      <c r="P421" t="s">
        <v>1026</v>
      </c>
      <c r="Q421" t="s">
        <v>1027</v>
      </c>
      <c r="T421" t="s">
        <v>319</v>
      </c>
      <c r="U421" t="s">
        <v>816</v>
      </c>
      <c r="W421">
        <v>2310</v>
      </c>
      <c r="X421">
        <v>0</v>
      </c>
      <c r="Z421">
        <v>4</v>
      </c>
      <c r="AA421" s="31">
        <v>46038</v>
      </c>
      <c r="AB421" s="61">
        <v>0.64081018518518518</v>
      </c>
      <c r="AC421" t="s">
        <v>818</v>
      </c>
      <c r="AD421" s="31">
        <v>46042</v>
      </c>
      <c r="AE421" s="61">
        <v>0.42754629629629631</v>
      </c>
      <c r="AH421" t="s">
        <v>4304</v>
      </c>
      <c r="AK421" t="s">
        <v>2829</v>
      </c>
      <c r="AQ421">
        <v>1</v>
      </c>
    </row>
    <row r="422" spans="1:43" x14ac:dyDescent="0.3">
      <c r="A422" t="s">
        <v>31</v>
      </c>
      <c r="B422">
        <v>802</v>
      </c>
      <c r="C422">
        <v>208</v>
      </c>
      <c r="D422">
        <v>3098</v>
      </c>
      <c r="G422" t="s">
        <v>4305</v>
      </c>
      <c r="H422">
        <v>42830750000130</v>
      </c>
      <c r="I422" t="s">
        <v>3903</v>
      </c>
      <c r="J422" t="s">
        <v>1804</v>
      </c>
      <c r="K422" t="s">
        <v>3905</v>
      </c>
      <c r="M422" t="s">
        <v>3906</v>
      </c>
      <c r="O422" t="s">
        <v>3907</v>
      </c>
      <c r="P422" t="s">
        <v>1094</v>
      </c>
      <c r="Q422" t="s">
        <v>790</v>
      </c>
      <c r="T422" t="s">
        <v>319</v>
      </c>
      <c r="U422" t="s">
        <v>816</v>
      </c>
      <c r="W422">
        <v>2100</v>
      </c>
      <c r="X422">
        <v>0</v>
      </c>
      <c r="Z422">
        <v>0</v>
      </c>
      <c r="AA422" s="31">
        <v>46038</v>
      </c>
      <c r="AB422" s="61">
        <v>0.64391203703703703</v>
      </c>
      <c r="AC422" t="s">
        <v>818</v>
      </c>
      <c r="AD422" s="31">
        <v>46038</v>
      </c>
      <c r="AE422" s="61">
        <v>0.67453703703703705</v>
      </c>
      <c r="AH422" t="s">
        <v>4304</v>
      </c>
      <c r="AK422" t="s">
        <v>4304</v>
      </c>
      <c r="AQ422">
        <v>1</v>
      </c>
    </row>
    <row r="423" spans="1:43" x14ac:dyDescent="0.3">
      <c r="A423" t="s">
        <v>31</v>
      </c>
      <c r="B423">
        <v>806</v>
      </c>
      <c r="C423">
        <v>185</v>
      </c>
      <c r="D423">
        <v>3100</v>
      </c>
      <c r="G423" t="s">
        <v>4306</v>
      </c>
      <c r="H423">
        <v>51496785000176</v>
      </c>
      <c r="I423" t="s">
        <v>3599</v>
      </c>
      <c r="J423" t="s">
        <v>3600</v>
      </c>
      <c r="K423" t="s">
        <v>3601</v>
      </c>
      <c r="M423" t="s">
        <v>3602</v>
      </c>
      <c r="O423" t="s">
        <v>3603</v>
      </c>
      <c r="P423" t="s">
        <v>847</v>
      </c>
      <c r="Q423" t="s">
        <v>848</v>
      </c>
      <c r="S423" t="s">
        <v>1718</v>
      </c>
      <c r="T423" t="s">
        <v>319</v>
      </c>
      <c r="U423" t="s">
        <v>3417</v>
      </c>
      <c r="W423">
        <v>3360</v>
      </c>
      <c r="X423">
        <v>7128</v>
      </c>
      <c r="Z423">
        <v>34</v>
      </c>
      <c r="AA423" s="31">
        <v>46038</v>
      </c>
      <c r="AB423" s="61">
        <v>0.69921296296296298</v>
      </c>
      <c r="AC423" t="s">
        <v>782</v>
      </c>
      <c r="AD423" s="31"/>
      <c r="AE423" s="61"/>
      <c r="AH423" t="s">
        <v>4304</v>
      </c>
      <c r="AI423" t="s">
        <v>4304</v>
      </c>
      <c r="AK423" t="s">
        <v>4304</v>
      </c>
      <c r="AL423" t="s">
        <v>2119</v>
      </c>
      <c r="AQ423">
        <v>1</v>
      </c>
    </row>
    <row r="424" spans="1:43" x14ac:dyDescent="0.3">
      <c r="A424" t="s">
        <v>31</v>
      </c>
      <c r="B424">
        <v>807</v>
      </c>
      <c r="C424">
        <v>0</v>
      </c>
      <c r="D424">
        <v>3104</v>
      </c>
      <c r="E424" t="s">
        <v>4307</v>
      </c>
      <c r="AA424" s="31"/>
      <c r="AB424" s="61"/>
      <c r="AD424" s="31"/>
      <c r="AE424" s="61"/>
      <c r="AQ424">
        <v>1</v>
      </c>
    </row>
    <row r="425" spans="1:43" x14ac:dyDescent="0.3">
      <c r="A425" t="s">
        <v>4308</v>
      </c>
      <c r="AA425" s="31"/>
      <c r="AB425" s="61"/>
      <c r="AD425" s="31"/>
      <c r="AE425" s="61"/>
      <c r="AQ425">
        <v>1</v>
      </c>
    </row>
    <row r="426" spans="1:43" x14ac:dyDescent="0.3">
      <c r="A426" t="s">
        <v>4309</v>
      </c>
      <c r="AA426" s="31"/>
      <c r="AB426" s="61"/>
      <c r="AD426" s="31"/>
      <c r="AE426" s="61"/>
      <c r="AQ426">
        <v>1</v>
      </c>
    </row>
    <row r="427" spans="1:43" x14ac:dyDescent="0.3">
      <c r="A427" t="s">
        <v>4310</v>
      </c>
      <c r="AA427" s="31"/>
      <c r="AB427" s="61"/>
      <c r="AD427" s="31"/>
      <c r="AE427" s="61"/>
      <c r="AQ427">
        <v>1</v>
      </c>
    </row>
    <row r="428" spans="1:43" x14ac:dyDescent="0.3">
      <c r="A428" t="s">
        <v>4311</v>
      </c>
      <c r="AA428" s="31"/>
      <c r="AB428" s="61"/>
      <c r="AD428" s="31"/>
      <c r="AE428" s="61"/>
      <c r="AQ428">
        <v>1</v>
      </c>
    </row>
    <row r="429" spans="1:43" x14ac:dyDescent="0.3">
      <c r="A429" t="s">
        <v>4312</v>
      </c>
      <c r="AA429" s="31"/>
      <c r="AB429" s="61"/>
      <c r="AD429" s="31"/>
      <c r="AE429" s="61"/>
      <c r="AQ429">
        <v>1</v>
      </c>
    </row>
    <row r="430" spans="1:43" x14ac:dyDescent="0.3">
      <c r="A430" t="s">
        <v>4313</v>
      </c>
      <c r="D430">
        <v>82128935000201</v>
      </c>
      <c r="F430" t="s">
        <v>4314</v>
      </c>
      <c r="G430" t="s">
        <v>4315</v>
      </c>
      <c r="I430" t="s">
        <v>4316</v>
      </c>
      <c r="K430" t="s">
        <v>778</v>
      </c>
      <c r="N430" t="s">
        <v>2919</v>
      </c>
      <c r="P430" t="s">
        <v>4317</v>
      </c>
      <c r="Q430" t="s">
        <v>4318</v>
      </c>
      <c r="V430" t="s">
        <v>3195</v>
      </c>
      <c r="Y430" t="s">
        <v>782</v>
      </c>
      <c r="AA430" s="31"/>
      <c r="AB430" s="61"/>
      <c r="AD430" s="31"/>
      <c r="AE430" s="61"/>
      <c r="AQ430">
        <v>1</v>
      </c>
    </row>
    <row r="431" spans="1:43" x14ac:dyDescent="0.3">
      <c r="A431" t="s">
        <v>31</v>
      </c>
      <c r="B431">
        <v>808</v>
      </c>
      <c r="C431">
        <v>0</v>
      </c>
      <c r="D431">
        <v>3105</v>
      </c>
      <c r="E431" t="s">
        <v>4319</v>
      </c>
      <c r="AA431" s="31"/>
      <c r="AB431" s="61"/>
      <c r="AD431" s="31"/>
      <c r="AE431" s="61"/>
      <c r="AQ431">
        <v>1</v>
      </c>
    </row>
    <row r="432" spans="1:43" x14ac:dyDescent="0.3">
      <c r="A432" t="s">
        <v>4320</v>
      </c>
      <c r="D432">
        <v>11247450000108</v>
      </c>
      <c r="F432" t="s">
        <v>1474</v>
      </c>
      <c r="G432" t="s">
        <v>4321</v>
      </c>
      <c r="I432" t="s">
        <v>4322</v>
      </c>
      <c r="K432" t="s">
        <v>778</v>
      </c>
      <c r="P432" t="s">
        <v>4317</v>
      </c>
      <c r="Q432" t="s">
        <v>4318</v>
      </c>
      <c r="V432" t="s">
        <v>3195</v>
      </c>
      <c r="Y432" t="s">
        <v>782</v>
      </c>
      <c r="AA432" s="31"/>
      <c r="AB432" s="61"/>
      <c r="AD432" s="31"/>
      <c r="AE432" s="61"/>
      <c r="AQ432">
        <v>1</v>
      </c>
    </row>
    <row r="433" spans="1:43" x14ac:dyDescent="0.3">
      <c r="A433" t="s">
        <v>31</v>
      </c>
      <c r="B433">
        <v>809</v>
      </c>
      <c r="C433">
        <v>0</v>
      </c>
      <c r="D433">
        <v>3106</v>
      </c>
      <c r="E433" t="s">
        <v>4323</v>
      </c>
      <c r="AA433" s="31"/>
      <c r="AB433" s="61"/>
      <c r="AD433" s="31"/>
      <c r="AE433" s="61"/>
      <c r="AQ433">
        <v>1</v>
      </c>
    </row>
    <row r="434" spans="1:43" x14ac:dyDescent="0.3">
      <c r="A434" t="s">
        <v>4324</v>
      </c>
      <c r="D434">
        <v>32258848000101</v>
      </c>
      <c r="F434" t="s">
        <v>1540</v>
      </c>
      <c r="G434" t="s">
        <v>3493</v>
      </c>
      <c r="I434" t="s">
        <v>3437</v>
      </c>
      <c r="K434" t="s">
        <v>778</v>
      </c>
      <c r="P434" t="s">
        <v>4317</v>
      </c>
      <c r="Q434" t="s">
        <v>4318</v>
      </c>
      <c r="V434" t="s">
        <v>3195</v>
      </c>
      <c r="Y434" t="s">
        <v>782</v>
      </c>
      <c r="AA434" s="31"/>
      <c r="AB434" s="61"/>
      <c r="AD434" s="31"/>
      <c r="AE434" s="61"/>
      <c r="AQ434">
        <v>1</v>
      </c>
    </row>
    <row r="435" spans="1:43" x14ac:dyDescent="0.3">
      <c r="A435" t="s">
        <v>44</v>
      </c>
      <c r="B435">
        <v>810</v>
      </c>
      <c r="C435">
        <v>0</v>
      </c>
      <c r="D435">
        <v>3107</v>
      </c>
      <c r="G435" t="s">
        <v>4325</v>
      </c>
      <c r="H435">
        <v>4150555000170</v>
      </c>
      <c r="J435" t="s">
        <v>4326</v>
      </c>
      <c r="K435" t="s">
        <v>4327</v>
      </c>
      <c r="M435" t="s">
        <v>4328</v>
      </c>
      <c r="O435" t="s">
        <v>778</v>
      </c>
      <c r="T435" t="s">
        <v>4317</v>
      </c>
      <c r="U435" t="s">
        <v>4329</v>
      </c>
      <c r="Z435">
        <v>31</v>
      </c>
      <c r="AA435" s="31">
        <v>46041</v>
      </c>
      <c r="AB435" s="61">
        <v>0.36829861111111112</v>
      </c>
      <c r="AC435" t="s">
        <v>782</v>
      </c>
      <c r="AD435" s="31"/>
      <c r="AE435" s="61"/>
      <c r="AK435" t="s">
        <v>4330</v>
      </c>
      <c r="AQ435">
        <v>1</v>
      </c>
    </row>
    <row r="436" spans="1:43" x14ac:dyDescent="0.3">
      <c r="A436" t="s">
        <v>44</v>
      </c>
      <c r="B436">
        <v>811</v>
      </c>
      <c r="C436">
        <v>0</v>
      </c>
      <c r="D436">
        <v>3108</v>
      </c>
      <c r="G436" t="s">
        <v>4331</v>
      </c>
      <c r="H436">
        <v>16710794000117</v>
      </c>
      <c r="J436" t="s">
        <v>1540</v>
      </c>
      <c r="K436" t="s">
        <v>4332</v>
      </c>
      <c r="M436" t="s">
        <v>4333</v>
      </c>
      <c r="O436" t="s">
        <v>778</v>
      </c>
      <c r="T436" t="s">
        <v>4317</v>
      </c>
      <c r="U436" t="s">
        <v>4329</v>
      </c>
      <c r="Z436">
        <v>31</v>
      </c>
      <c r="AA436" s="31">
        <v>46041</v>
      </c>
      <c r="AB436" s="61">
        <v>0.37181712962962971</v>
      </c>
      <c r="AC436" t="s">
        <v>782</v>
      </c>
      <c r="AD436" s="31"/>
      <c r="AE436" s="61"/>
      <c r="AK436" t="s">
        <v>4330</v>
      </c>
      <c r="AQ436">
        <v>1</v>
      </c>
    </row>
    <row r="437" spans="1:43" x14ac:dyDescent="0.3">
      <c r="A437" t="s">
        <v>44</v>
      </c>
      <c r="B437">
        <v>812</v>
      </c>
      <c r="C437">
        <v>0</v>
      </c>
      <c r="D437">
        <v>3109</v>
      </c>
      <c r="G437" t="s">
        <v>4334</v>
      </c>
      <c r="H437">
        <v>59262535000183</v>
      </c>
      <c r="J437" t="s">
        <v>4335</v>
      </c>
      <c r="K437" t="s">
        <v>4336</v>
      </c>
      <c r="M437" t="s">
        <v>4337</v>
      </c>
      <c r="O437" t="s">
        <v>778</v>
      </c>
      <c r="T437" t="s">
        <v>4317</v>
      </c>
      <c r="U437" t="s">
        <v>4329</v>
      </c>
      <c r="Z437">
        <v>31</v>
      </c>
      <c r="AA437" s="31">
        <v>46041</v>
      </c>
      <c r="AB437" s="61">
        <v>0.37361111111111112</v>
      </c>
      <c r="AC437" t="s">
        <v>782</v>
      </c>
      <c r="AD437" s="31"/>
      <c r="AE437" s="61"/>
      <c r="AK437" t="s">
        <v>4330</v>
      </c>
      <c r="AQ437">
        <v>1</v>
      </c>
    </row>
    <row r="438" spans="1:43" x14ac:dyDescent="0.3">
      <c r="A438" t="s">
        <v>22</v>
      </c>
      <c r="B438">
        <v>813</v>
      </c>
      <c r="C438">
        <v>0</v>
      </c>
      <c r="D438">
        <v>3110</v>
      </c>
      <c r="G438" t="s">
        <v>4338</v>
      </c>
      <c r="H438">
        <v>8616236000169</v>
      </c>
      <c r="J438" t="s">
        <v>1499</v>
      </c>
      <c r="K438" t="s">
        <v>4339</v>
      </c>
      <c r="M438" t="s">
        <v>3728</v>
      </c>
      <c r="O438" t="s">
        <v>778</v>
      </c>
      <c r="T438" t="s">
        <v>4317</v>
      </c>
      <c r="U438" t="s">
        <v>4329</v>
      </c>
      <c r="Z438">
        <v>31</v>
      </c>
      <c r="AA438" s="31">
        <v>46041</v>
      </c>
      <c r="AB438" s="61">
        <v>0.37436342592592592</v>
      </c>
      <c r="AC438" t="s">
        <v>782</v>
      </c>
      <c r="AD438" s="31"/>
      <c r="AE438" s="61"/>
      <c r="AK438" t="s">
        <v>4330</v>
      </c>
      <c r="AQ438">
        <v>1</v>
      </c>
    </row>
    <row r="439" spans="1:43" x14ac:dyDescent="0.3">
      <c r="A439" t="s">
        <v>22</v>
      </c>
      <c r="B439">
        <v>814</v>
      </c>
      <c r="C439">
        <v>0</v>
      </c>
      <c r="D439">
        <v>3114</v>
      </c>
      <c r="G439" t="s">
        <v>4340</v>
      </c>
      <c r="H439">
        <v>7527737000297</v>
      </c>
      <c r="J439" t="s">
        <v>4067</v>
      </c>
      <c r="K439" t="s">
        <v>4341</v>
      </c>
      <c r="M439" t="s">
        <v>4342</v>
      </c>
      <c r="O439" t="s">
        <v>778</v>
      </c>
      <c r="T439" t="s">
        <v>4317</v>
      </c>
      <c r="U439" t="s">
        <v>4329</v>
      </c>
      <c r="Z439">
        <v>31</v>
      </c>
      <c r="AA439" s="31">
        <v>46041</v>
      </c>
      <c r="AB439" s="61">
        <v>0.38780092592592591</v>
      </c>
      <c r="AC439" t="s">
        <v>782</v>
      </c>
      <c r="AD439" s="31"/>
      <c r="AE439" s="61"/>
      <c r="AK439" t="s">
        <v>4330</v>
      </c>
      <c r="AQ439">
        <v>1</v>
      </c>
    </row>
    <row r="440" spans="1:43" x14ac:dyDescent="0.3">
      <c r="A440" t="s">
        <v>31</v>
      </c>
      <c r="B440">
        <v>815</v>
      </c>
      <c r="C440">
        <v>191</v>
      </c>
      <c r="D440">
        <v>3115</v>
      </c>
      <c r="E440" t="s">
        <v>4343</v>
      </c>
      <c r="AA440" s="31"/>
      <c r="AB440" s="61"/>
      <c r="AD440" s="31"/>
      <c r="AE440" s="61"/>
      <c r="AQ440">
        <v>1</v>
      </c>
    </row>
    <row r="441" spans="1:43" x14ac:dyDescent="0.3">
      <c r="A441" t="s">
        <v>4344</v>
      </c>
      <c r="E441" t="s">
        <v>4345</v>
      </c>
      <c r="F441" t="s">
        <v>3734</v>
      </c>
      <c r="G441" t="s">
        <v>4346</v>
      </c>
      <c r="J441" t="s">
        <v>2217</v>
      </c>
      <c r="M441" t="s">
        <v>1094</v>
      </c>
      <c r="N441" t="s">
        <v>790</v>
      </c>
      <c r="Q441" t="s">
        <v>319</v>
      </c>
      <c r="R441" t="s">
        <v>816</v>
      </c>
      <c r="T441" t="s">
        <v>4347</v>
      </c>
      <c r="U441" t="s">
        <v>4275</v>
      </c>
      <c r="W441">
        <v>9</v>
      </c>
      <c r="Y441" t="s">
        <v>4348</v>
      </c>
      <c r="AA441" s="31">
        <v>46050</v>
      </c>
      <c r="AB441" s="61">
        <v>0.60274305555555552</v>
      </c>
      <c r="AD441" s="31"/>
      <c r="AE441" s="61"/>
      <c r="AH441" t="s">
        <v>4349</v>
      </c>
      <c r="AQ441">
        <v>1</v>
      </c>
    </row>
    <row r="442" spans="1:43" x14ac:dyDescent="0.3">
      <c r="A442" t="s">
        <v>31</v>
      </c>
      <c r="B442">
        <v>816</v>
      </c>
      <c r="C442">
        <v>184</v>
      </c>
      <c r="D442">
        <v>3116</v>
      </c>
      <c r="E442" t="s">
        <v>4350</v>
      </c>
      <c r="G442" t="s">
        <v>419</v>
      </c>
      <c r="H442">
        <v>11861121000144</v>
      </c>
      <c r="I442" t="s">
        <v>3877</v>
      </c>
      <c r="J442" t="s">
        <v>1401</v>
      </c>
      <c r="K442" t="s">
        <v>3879</v>
      </c>
      <c r="M442" t="s">
        <v>3880</v>
      </c>
      <c r="O442" t="s">
        <v>3881</v>
      </c>
      <c r="P442" t="s">
        <v>1094</v>
      </c>
      <c r="Q442" t="s">
        <v>790</v>
      </c>
      <c r="S442" t="s">
        <v>1718</v>
      </c>
      <c r="T442" t="s">
        <v>319</v>
      </c>
      <c r="U442" t="s">
        <v>3417</v>
      </c>
      <c r="W442">
        <v>6000</v>
      </c>
      <c r="X442">
        <v>2000</v>
      </c>
      <c r="Z442">
        <v>31</v>
      </c>
      <c r="AA442" s="31">
        <v>46041</v>
      </c>
      <c r="AB442" s="61">
        <v>0.39466435185185178</v>
      </c>
      <c r="AC442" t="s">
        <v>782</v>
      </c>
      <c r="AD442" s="31"/>
      <c r="AE442" s="61"/>
      <c r="AH442" t="s">
        <v>420</v>
      </c>
      <c r="AI442" t="s">
        <v>420</v>
      </c>
      <c r="AK442" t="s">
        <v>420</v>
      </c>
      <c r="AL442" t="s">
        <v>2119</v>
      </c>
      <c r="AP442" t="s">
        <v>2922</v>
      </c>
      <c r="AQ442">
        <v>1</v>
      </c>
    </row>
    <row r="443" spans="1:43" x14ac:dyDescent="0.3">
      <c r="A443" t="s">
        <v>31</v>
      </c>
      <c r="B443">
        <v>817</v>
      </c>
      <c r="C443">
        <v>208</v>
      </c>
      <c r="D443">
        <v>3117</v>
      </c>
      <c r="G443" t="s">
        <v>4351</v>
      </c>
      <c r="H443">
        <v>42830750000130</v>
      </c>
      <c r="I443" t="s">
        <v>3903</v>
      </c>
      <c r="J443" t="s">
        <v>4091</v>
      </c>
      <c r="K443" t="s">
        <v>3905</v>
      </c>
      <c r="M443" t="s">
        <v>3906</v>
      </c>
      <c r="O443" t="s">
        <v>3907</v>
      </c>
      <c r="P443" t="s">
        <v>1094</v>
      </c>
      <c r="Q443" t="s">
        <v>790</v>
      </c>
      <c r="S443" t="s">
        <v>1718</v>
      </c>
      <c r="T443" t="s">
        <v>319</v>
      </c>
      <c r="U443" t="s">
        <v>3606</v>
      </c>
      <c r="Z443">
        <v>31</v>
      </c>
      <c r="AA443" s="31">
        <v>46041</v>
      </c>
      <c r="AB443" s="61">
        <v>0.39607638888888891</v>
      </c>
      <c r="AC443" t="s">
        <v>782</v>
      </c>
      <c r="AD443" s="31"/>
      <c r="AE443" s="61"/>
      <c r="AK443" t="s">
        <v>4352</v>
      </c>
      <c r="AL443" t="s">
        <v>2119</v>
      </c>
      <c r="AP443" t="s">
        <v>2922</v>
      </c>
      <c r="AQ443">
        <v>1</v>
      </c>
    </row>
    <row r="444" spans="1:43" x14ac:dyDescent="0.3">
      <c r="A444" t="s">
        <v>31</v>
      </c>
      <c r="B444">
        <v>822</v>
      </c>
      <c r="D444">
        <v>3121</v>
      </c>
      <c r="E444" t="s">
        <v>4353</v>
      </c>
      <c r="G444" t="s">
        <v>4354</v>
      </c>
      <c r="H444">
        <v>55585815000171</v>
      </c>
      <c r="J444" t="s">
        <v>4355</v>
      </c>
      <c r="K444" t="s">
        <v>4181</v>
      </c>
      <c r="M444" t="s">
        <v>4182</v>
      </c>
      <c r="O444" t="s">
        <v>778</v>
      </c>
      <c r="S444" t="s">
        <v>1419</v>
      </c>
      <c r="T444" t="s">
        <v>319</v>
      </c>
      <c r="U444" t="s">
        <v>3417</v>
      </c>
      <c r="W444">
        <v>4760</v>
      </c>
      <c r="X444">
        <v>712</v>
      </c>
      <c r="Z444">
        <v>30</v>
      </c>
      <c r="AA444" s="31">
        <v>46042</v>
      </c>
      <c r="AB444" s="61">
        <v>0.36277777777777781</v>
      </c>
      <c r="AC444" t="s">
        <v>782</v>
      </c>
      <c r="AD444" s="31"/>
      <c r="AE444" s="61"/>
      <c r="AH444" t="s">
        <v>2891</v>
      </c>
      <c r="AI444" t="s">
        <v>2829</v>
      </c>
      <c r="AK444" t="s">
        <v>4330</v>
      </c>
      <c r="AL444" t="s">
        <v>1423</v>
      </c>
      <c r="AQ444">
        <v>1</v>
      </c>
    </row>
    <row r="445" spans="1:43" x14ac:dyDescent="0.3">
      <c r="A445" t="s">
        <v>31</v>
      </c>
      <c r="B445">
        <v>824</v>
      </c>
      <c r="C445">
        <v>153</v>
      </c>
      <c r="D445">
        <v>3124</v>
      </c>
      <c r="G445" t="s">
        <v>4356</v>
      </c>
      <c r="I445" t="s">
        <v>3451</v>
      </c>
      <c r="J445" t="s">
        <v>3982</v>
      </c>
      <c r="K445" t="s">
        <v>3983</v>
      </c>
      <c r="M445" t="s">
        <v>3454</v>
      </c>
      <c r="O445" t="s">
        <v>778</v>
      </c>
      <c r="T445" t="s">
        <v>319</v>
      </c>
      <c r="U445" t="s">
        <v>816</v>
      </c>
      <c r="W445">
        <v>16779</v>
      </c>
      <c r="X445">
        <v>0</v>
      </c>
      <c r="Z445">
        <v>1</v>
      </c>
      <c r="AA445" s="31">
        <v>46042</v>
      </c>
      <c r="AB445" s="61">
        <v>0.38716435185185177</v>
      </c>
      <c r="AC445" t="s">
        <v>818</v>
      </c>
      <c r="AD445" s="31">
        <v>46043</v>
      </c>
      <c r="AE445" s="61">
        <v>0.39550925925925928</v>
      </c>
      <c r="AH445" t="s">
        <v>4330</v>
      </c>
      <c r="AK445" t="s">
        <v>2576</v>
      </c>
      <c r="AQ445">
        <v>1</v>
      </c>
    </row>
    <row r="446" spans="1:43" x14ac:dyDescent="0.3">
      <c r="A446" t="s">
        <v>31</v>
      </c>
      <c r="B446">
        <v>825</v>
      </c>
      <c r="C446">
        <v>0</v>
      </c>
      <c r="D446">
        <v>3125</v>
      </c>
      <c r="E446" t="s">
        <v>4357</v>
      </c>
      <c r="AA446" s="31"/>
      <c r="AB446" s="61"/>
      <c r="AD446" s="31"/>
      <c r="AE446" s="61"/>
      <c r="AQ446">
        <v>1</v>
      </c>
    </row>
    <row r="447" spans="1:43" x14ac:dyDescent="0.3">
      <c r="A447" t="s">
        <v>4308</v>
      </c>
      <c r="AA447" s="31"/>
      <c r="AB447" s="61"/>
      <c r="AD447" s="31"/>
      <c r="AE447" s="61"/>
      <c r="AQ447">
        <v>1</v>
      </c>
    </row>
    <row r="448" spans="1:43" x14ac:dyDescent="0.3">
      <c r="A448" t="s">
        <v>4358</v>
      </c>
      <c r="AA448" s="31"/>
      <c r="AB448" s="61"/>
      <c r="AD448" s="31"/>
      <c r="AE448" s="61"/>
      <c r="AQ448">
        <v>1</v>
      </c>
    </row>
    <row r="449" spans="1:43" x14ac:dyDescent="0.3">
      <c r="A449" t="s">
        <v>4311</v>
      </c>
      <c r="AA449" s="31"/>
      <c r="AB449" s="61"/>
      <c r="AD449" s="31"/>
      <c r="AE449" s="61"/>
      <c r="AQ449">
        <v>1</v>
      </c>
    </row>
    <row r="450" spans="1:43" x14ac:dyDescent="0.3">
      <c r="A450" t="s">
        <v>4359</v>
      </c>
      <c r="D450">
        <v>9023754000131</v>
      </c>
      <c r="F450" t="s">
        <v>4360</v>
      </c>
      <c r="G450" t="s">
        <v>4361</v>
      </c>
      <c r="I450" t="s">
        <v>4362</v>
      </c>
      <c r="K450" t="s">
        <v>778</v>
      </c>
      <c r="N450" t="s">
        <v>2919</v>
      </c>
      <c r="P450" t="s">
        <v>4317</v>
      </c>
      <c r="Q450" t="s">
        <v>4318</v>
      </c>
      <c r="V450" t="s">
        <v>2119</v>
      </c>
      <c r="Y450" t="s">
        <v>782</v>
      </c>
      <c r="AA450" s="31"/>
      <c r="AB450" s="61"/>
      <c r="AD450" s="31"/>
      <c r="AE450" s="61"/>
      <c r="AQ450">
        <v>1</v>
      </c>
    </row>
    <row r="451" spans="1:43" x14ac:dyDescent="0.3">
      <c r="A451" t="s">
        <v>31</v>
      </c>
      <c r="B451">
        <v>826</v>
      </c>
      <c r="C451">
        <v>0</v>
      </c>
      <c r="D451">
        <v>3126</v>
      </c>
      <c r="E451" t="s">
        <v>4363</v>
      </c>
      <c r="AA451" s="31"/>
      <c r="AB451" s="61"/>
      <c r="AD451" s="31"/>
      <c r="AE451" s="61"/>
      <c r="AQ451">
        <v>1</v>
      </c>
    </row>
    <row r="452" spans="1:43" x14ac:dyDescent="0.3">
      <c r="A452" t="s">
        <v>4364</v>
      </c>
      <c r="AA452" s="31"/>
      <c r="AB452" s="61"/>
      <c r="AD452" s="31"/>
      <c r="AE452" s="61"/>
      <c r="AQ452">
        <v>1</v>
      </c>
    </row>
    <row r="453" spans="1:43" x14ac:dyDescent="0.3">
      <c r="A453" t="s">
        <v>4365</v>
      </c>
      <c r="AA453" s="31"/>
      <c r="AB453" s="61"/>
      <c r="AD453" s="31"/>
      <c r="AE453" s="61"/>
      <c r="AQ453">
        <v>1</v>
      </c>
    </row>
    <row r="454" spans="1:43" x14ac:dyDescent="0.3">
      <c r="A454" t="s">
        <v>4366</v>
      </c>
      <c r="AA454" s="31"/>
      <c r="AB454" s="61"/>
      <c r="AD454" s="31"/>
      <c r="AE454" s="61"/>
      <c r="AQ454">
        <v>1</v>
      </c>
    </row>
    <row r="455" spans="1:43" x14ac:dyDescent="0.3">
      <c r="A455" t="s">
        <v>4366</v>
      </c>
      <c r="AA455" s="31"/>
      <c r="AB455" s="61"/>
      <c r="AD455" s="31"/>
      <c r="AE455" s="61"/>
      <c r="AQ455">
        <v>1</v>
      </c>
    </row>
    <row r="456" spans="1:43" x14ac:dyDescent="0.3">
      <c r="A456" t="s">
        <v>4367</v>
      </c>
      <c r="AA456" s="31"/>
      <c r="AB456" s="61"/>
      <c r="AD456" s="31"/>
      <c r="AE456" s="61"/>
      <c r="AQ456">
        <v>1</v>
      </c>
    </row>
    <row r="457" spans="1:43" x14ac:dyDescent="0.3">
      <c r="A457" t="s">
        <v>4368</v>
      </c>
      <c r="AA457" s="31"/>
      <c r="AB457" s="61"/>
      <c r="AD457" s="31"/>
      <c r="AE457" s="61"/>
      <c r="AQ457">
        <v>1</v>
      </c>
    </row>
    <row r="458" spans="1:43" x14ac:dyDescent="0.3">
      <c r="A458" t="s">
        <v>4369</v>
      </c>
      <c r="AA458" s="31"/>
      <c r="AB458" s="61"/>
      <c r="AD458" s="31"/>
      <c r="AE458" s="61"/>
      <c r="AQ458">
        <v>1</v>
      </c>
    </row>
    <row r="459" spans="1:43" x14ac:dyDescent="0.3">
      <c r="A459" t="s">
        <v>4370</v>
      </c>
      <c r="AA459" s="31"/>
      <c r="AB459" s="61"/>
      <c r="AD459" s="31"/>
      <c r="AE459" s="61"/>
      <c r="AQ459">
        <v>1</v>
      </c>
    </row>
    <row r="460" spans="1:43" x14ac:dyDescent="0.3">
      <c r="A460" t="s">
        <v>4371</v>
      </c>
      <c r="E460" t="s">
        <v>4372</v>
      </c>
      <c r="F460" t="s">
        <v>4373</v>
      </c>
      <c r="I460" t="s">
        <v>4374</v>
      </c>
      <c r="K460" t="s">
        <v>4375</v>
      </c>
      <c r="M460" t="s">
        <v>778</v>
      </c>
      <c r="R460" t="s">
        <v>4317</v>
      </c>
      <c r="S460" t="s">
        <v>4318</v>
      </c>
      <c r="X460">
        <v>30</v>
      </c>
      <c r="Y460" t="s">
        <v>2829</v>
      </c>
      <c r="AA460" s="31"/>
      <c r="AB460" s="61"/>
      <c r="AD460" s="31"/>
      <c r="AE460" s="61"/>
      <c r="AI460" t="s">
        <v>2890</v>
      </c>
      <c r="AQ460">
        <v>1</v>
      </c>
    </row>
    <row r="461" spans="1:43" x14ac:dyDescent="0.3">
      <c r="A461" t="s">
        <v>31</v>
      </c>
      <c r="B461">
        <v>827</v>
      </c>
      <c r="C461">
        <v>0</v>
      </c>
      <c r="D461">
        <v>3127</v>
      </c>
      <c r="E461" t="s">
        <v>4376</v>
      </c>
      <c r="AA461" s="31"/>
      <c r="AB461" s="61"/>
      <c r="AD461" s="31"/>
      <c r="AE461" s="61"/>
      <c r="AQ461">
        <v>1</v>
      </c>
    </row>
    <row r="462" spans="1:43" x14ac:dyDescent="0.3">
      <c r="A462" t="s">
        <v>4308</v>
      </c>
      <c r="AA462" s="31"/>
      <c r="AB462" s="61"/>
      <c r="AD462" s="31"/>
      <c r="AE462" s="61"/>
      <c r="AQ462">
        <v>1</v>
      </c>
    </row>
    <row r="463" spans="1:43" x14ac:dyDescent="0.3">
      <c r="A463" t="s">
        <v>4377</v>
      </c>
      <c r="AA463" s="31"/>
      <c r="AB463" s="61"/>
      <c r="AD463" s="31"/>
      <c r="AE463" s="61"/>
      <c r="AQ463">
        <v>1</v>
      </c>
    </row>
    <row r="464" spans="1:43" x14ac:dyDescent="0.3">
      <c r="A464" t="s">
        <v>4311</v>
      </c>
      <c r="AA464" s="31"/>
      <c r="AB464" s="61"/>
      <c r="AD464" s="31"/>
      <c r="AE464" s="61"/>
      <c r="AQ464">
        <v>1</v>
      </c>
    </row>
    <row r="465" spans="1:43" x14ac:dyDescent="0.3">
      <c r="A465" t="s">
        <v>4378</v>
      </c>
      <c r="D465">
        <v>5236564000141</v>
      </c>
      <c r="F465" t="s">
        <v>3922</v>
      </c>
      <c r="G465" t="s">
        <v>4379</v>
      </c>
      <c r="I465" t="s">
        <v>4380</v>
      </c>
      <c r="K465" t="s">
        <v>778</v>
      </c>
      <c r="P465" t="s">
        <v>4317</v>
      </c>
      <c r="Q465" t="s">
        <v>4318</v>
      </c>
      <c r="V465" t="s">
        <v>2119</v>
      </c>
      <c r="Y465" t="s">
        <v>782</v>
      </c>
      <c r="AA465" s="31"/>
      <c r="AB465" s="61"/>
      <c r="AD465" s="31"/>
      <c r="AE465" s="61"/>
      <c r="AQ465">
        <v>1</v>
      </c>
    </row>
    <row r="466" spans="1:43" x14ac:dyDescent="0.3">
      <c r="A466" t="s">
        <v>31</v>
      </c>
      <c r="B466">
        <v>828</v>
      </c>
      <c r="C466">
        <v>0</v>
      </c>
      <c r="D466">
        <v>3128</v>
      </c>
      <c r="E466" t="s">
        <v>4381</v>
      </c>
      <c r="AA466" s="31"/>
      <c r="AB466" s="61"/>
      <c r="AD466" s="31"/>
      <c r="AE466" s="61"/>
      <c r="AQ466">
        <v>1</v>
      </c>
    </row>
    <row r="467" spans="1:43" x14ac:dyDescent="0.3">
      <c r="A467" t="s">
        <v>4382</v>
      </c>
      <c r="E467" t="s">
        <v>4383</v>
      </c>
      <c r="G467" t="s">
        <v>1243</v>
      </c>
      <c r="J467" t="s">
        <v>4384</v>
      </c>
      <c r="Q467" t="s">
        <v>4317</v>
      </c>
      <c r="R467" t="s">
        <v>4318</v>
      </c>
      <c r="W467">
        <v>30</v>
      </c>
      <c r="Y467" t="s">
        <v>4385</v>
      </c>
      <c r="AA467" s="31"/>
      <c r="AB467" s="61"/>
      <c r="AD467" s="31"/>
      <c r="AE467" s="61"/>
      <c r="AH467" t="s">
        <v>2890</v>
      </c>
      <c r="AQ467">
        <v>1</v>
      </c>
    </row>
    <row r="468" spans="1:43" x14ac:dyDescent="0.3">
      <c r="A468" t="s">
        <v>31</v>
      </c>
      <c r="B468">
        <v>829</v>
      </c>
      <c r="C468">
        <v>0</v>
      </c>
      <c r="D468">
        <v>3130</v>
      </c>
      <c r="E468" t="s">
        <v>4386</v>
      </c>
      <c r="AA468" s="31"/>
      <c r="AB468" s="61"/>
      <c r="AD468" s="31"/>
      <c r="AE468" s="61"/>
      <c r="AQ468">
        <v>1</v>
      </c>
    </row>
    <row r="469" spans="1:43" x14ac:dyDescent="0.3">
      <c r="A469" t="s">
        <v>4387</v>
      </c>
      <c r="AA469" s="31"/>
      <c r="AB469" s="61"/>
      <c r="AD469" s="31"/>
      <c r="AE469" s="61"/>
      <c r="AQ469">
        <v>1</v>
      </c>
    </row>
    <row r="470" spans="1:43" x14ac:dyDescent="0.3">
      <c r="A470" t="s">
        <v>4388</v>
      </c>
      <c r="AA470" s="31"/>
      <c r="AB470" s="61"/>
      <c r="AD470" s="31"/>
      <c r="AE470" s="61"/>
      <c r="AQ470">
        <v>1</v>
      </c>
    </row>
    <row r="471" spans="1:43" x14ac:dyDescent="0.3">
      <c r="A471" t="s">
        <v>4389</v>
      </c>
      <c r="AA471" s="31"/>
      <c r="AB471" s="61"/>
      <c r="AD471" s="31"/>
      <c r="AE471" s="61"/>
      <c r="AQ471">
        <v>1</v>
      </c>
    </row>
    <row r="472" spans="1:43" x14ac:dyDescent="0.3">
      <c r="A472" t="s">
        <v>4390</v>
      </c>
      <c r="AA472" s="31"/>
      <c r="AB472" s="61"/>
      <c r="AD472" s="31"/>
      <c r="AE472" s="61"/>
      <c r="AQ472">
        <v>1</v>
      </c>
    </row>
    <row r="473" spans="1:43" x14ac:dyDescent="0.3">
      <c r="A473" t="s">
        <v>4391</v>
      </c>
      <c r="AA473" s="31"/>
      <c r="AB473" s="61"/>
      <c r="AD473" s="31"/>
      <c r="AE473" s="61"/>
      <c r="AQ473">
        <v>1</v>
      </c>
    </row>
    <row r="474" spans="1:43" x14ac:dyDescent="0.3">
      <c r="A474" t="s">
        <v>4392</v>
      </c>
      <c r="AA474" s="31"/>
      <c r="AB474" s="61"/>
      <c r="AD474" s="31"/>
      <c r="AE474" s="61"/>
      <c r="AQ474">
        <v>1</v>
      </c>
    </row>
    <row r="475" spans="1:43" x14ac:dyDescent="0.3">
      <c r="A475" t="s">
        <v>4393</v>
      </c>
      <c r="AA475" s="31"/>
      <c r="AB475" s="61"/>
      <c r="AD475" s="31"/>
      <c r="AE475" s="61"/>
      <c r="AQ475">
        <v>1</v>
      </c>
    </row>
    <row r="476" spans="1:43" x14ac:dyDescent="0.3">
      <c r="A476" t="s">
        <v>4394</v>
      </c>
      <c r="AA476" s="31"/>
      <c r="AB476" s="61"/>
      <c r="AD476" s="31"/>
      <c r="AE476" s="61"/>
      <c r="AQ476">
        <v>1</v>
      </c>
    </row>
    <row r="477" spans="1:43" x14ac:dyDescent="0.3">
      <c r="A477" t="s">
        <v>4395</v>
      </c>
      <c r="AA477" s="31"/>
      <c r="AB477" s="61"/>
      <c r="AD477" s="31"/>
      <c r="AE477" s="61"/>
      <c r="AQ477">
        <v>1</v>
      </c>
    </row>
    <row r="478" spans="1:43" x14ac:dyDescent="0.3">
      <c r="A478" t="s">
        <v>4388</v>
      </c>
      <c r="AA478" s="31"/>
      <c r="AB478" s="61"/>
      <c r="AD478" s="31"/>
      <c r="AE478" s="61"/>
      <c r="AQ478">
        <v>1</v>
      </c>
    </row>
    <row r="479" spans="1:43" x14ac:dyDescent="0.3">
      <c r="A479" t="s">
        <v>4389</v>
      </c>
      <c r="AA479" s="31"/>
      <c r="AB479" s="61"/>
      <c r="AD479" s="31"/>
      <c r="AE479" s="61"/>
      <c r="AQ479">
        <v>1</v>
      </c>
    </row>
    <row r="480" spans="1:43" x14ac:dyDescent="0.3">
      <c r="A480" t="s">
        <v>4390</v>
      </c>
      <c r="AA480" s="31"/>
      <c r="AB480" s="61"/>
      <c r="AD480" s="31"/>
      <c r="AE480" s="61"/>
      <c r="AQ480">
        <v>1</v>
      </c>
    </row>
    <row r="481" spans="1:43" x14ac:dyDescent="0.3">
      <c r="A481" t="s">
        <v>4391</v>
      </c>
      <c r="AA481" s="31"/>
      <c r="AB481" s="61"/>
      <c r="AD481" s="31"/>
      <c r="AE481" s="61"/>
      <c r="AQ481">
        <v>1</v>
      </c>
    </row>
    <row r="482" spans="1:43" x14ac:dyDescent="0.3">
      <c r="A482" t="s">
        <v>4392</v>
      </c>
      <c r="AA482" s="31"/>
      <c r="AB482" s="61"/>
      <c r="AD482" s="31"/>
      <c r="AE482" s="61"/>
      <c r="AQ482">
        <v>1</v>
      </c>
    </row>
    <row r="483" spans="1:43" x14ac:dyDescent="0.3">
      <c r="A483" t="s">
        <v>4393</v>
      </c>
      <c r="AA483" s="31"/>
      <c r="AB483" s="61"/>
      <c r="AD483" s="31"/>
      <c r="AE483" s="61"/>
      <c r="AQ483">
        <v>1</v>
      </c>
    </row>
    <row r="484" spans="1:43" x14ac:dyDescent="0.3">
      <c r="A484" t="s">
        <v>4394</v>
      </c>
      <c r="AA484" s="31"/>
      <c r="AB484" s="61"/>
      <c r="AD484" s="31"/>
      <c r="AE484" s="61"/>
      <c r="AQ484">
        <v>1</v>
      </c>
    </row>
    <row r="485" spans="1:43" x14ac:dyDescent="0.3">
      <c r="A485" t="s">
        <v>4396</v>
      </c>
      <c r="D485">
        <v>55585815000171</v>
      </c>
      <c r="F485" t="s">
        <v>914</v>
      </c>
      <c r="G485" t="s">
        <v>4181</v>
      </c>
      <c r="I485" t="s">
        <v>4182</v>
      </c>
      <c r="K485" t="s">
        <v>778</v>
      </c>
      <c r="P485" t="s">
        <v>4317</v>
      </c>
      <c r="Q485" t="s">
        <v>4318</v>
      </c>
      <c r="V485" t="s">
        <v>2119</v>
      </c>
      <c r="Y485" t="s">
        <v>782</v>
      </c>
      <c r="AA485" s="31"/>
      <c r="AB485" s="61"/>
      <c r="AD485" s="31"/>
      <c r="AE485" s="61"/>
      <c r="AQ485">
        <v>1</v>
      </c>
    </row>
    <row r="486" spans="1:43" x14ac:dyDescent="0.3">
      <c r="A486" t="s">
        <v>31</v>
      </c>
      <c r="B486">
        <v>830</v>
      </c>
      <c r="C486">
        <v>0</v>
      </c>
      <c r="D486">
        <v>3131</v>
      </c>
      <c r="E486" t="s">
        <v>4381</v>
      </c>
      <c r="AA486" s="31"/>
      <c r="AB486" s="61"/>
      <c r="AD486" s="31"/>
      <c r="AE486" s="61"/>
      <c r="AQ486">
        <v>1</v>
      </c>
    </row>
    <row r="487" spans="1:43" x14ac:dyDescent="0.3">
      <c r="A487" t="s">
        <v>4397</v>
      </c>
      <c r="AA487" s="31"/>
      <c r="AB487" s="61"/>
      <c r="AD487" s="31"/>
      <c r="AE487" s="61"/>
      <c r="AQ487">
        <v>1</v>
      </c>
    </row>
    <row r="488" spans="1:43" x14ac:dyDescent="0.3">
      <c r="A488" t="s">
        <v>4398</v>
      </c>
      <c r="D488">
        <v>34728104000139</v>
      </c>
      <c r="F488" t="s">
        <v>1474</v>
      </c>
      <c r="G488" t="s">
        <v>3531</v>
      </c>
      <c r="I488" t="s">
        <v>4399</v>
      </c>
      <c r="K488" t="s">
        <v>778</v>
      </c>
      <c r="P488" t="s">
        <v>4317</v>
      </c>
      <c r="Q488" t="s">
        <v>4318</v>
      </c>
      <c r="V488" t="s">
        <v>2119</v>
      </c>
      <c r="Y488" t="s">
        <v>782</v>
      </c>
      <c r="AA488" s="31"/>
      <c r="AB488" s="61"/>
      <c r="AD488" s="31"/>
      <c r="AE488" s="61"/>
      <c r="AQ488">
        <v>1</v>
      </c>
    </row>
    <row r="489" spans="1:43" x14ac:dyDescent="0.3">
      <c r="A489" t="s">
        <v>22</v>
      </c>
      <c r="B489">
        <v>831</v>
      </c>
      <c r="C489">
        <v>0</v>
      </c>
      <c r="D489">
        <v>3132</v>
      </c>
      <c r="E489" t="s">
        <v>4400</v>
      </c>
      <c r="AA489" s="31"/>
      <c r="AB489" s="61"/>
      <c r="AD489" s="31"/>
      <c r="AE489" s="61"/>
      <c r="AQ489">
        <v>1</v>
      </c>
    </row>
    <row r="490" spans="1:43" x14ac:dyDescent="0.3">
      <c r="A490" t="s">
        <v>4308</v>
      </c>
      <c r="AA490" s="31"/>
      <c r="AB490" s="61"/>
      <c r="AD490" s="31"/>
      <c r="AE490" s="61"/>
      <c r="AQ490">
        <v>1</v>
      </c>
    </row>
    <row r="491" spans="1:43" x14ac:dyDescent="0.3">
      <c r="A491" t="s">
        <v>4401</v>
      </c>
      <c r="AA491" s="31"/>
      <c r="AB491" s="61"/>
      <c r="AD491" s="31"/>
      <c r="AE491" s="61"/>
      <c r="AQ491">
        <v>1</v>
      </c>
    </row>
    <row r="492" spans="1:43" x14ac:dyDescent="0.3">
      <c r="A492" t="s">
        <v>4311</v>
      </c>
      <c r="AA492" s="31"/>
      <c r="AB492" s="61"/>
      <c r="AD492" s="31"/>
      <c r="AE492" s="61"/>
      <c r="AQ492">
        <v>1</v>
      </c>
    </row>
    <row r="493" spans="1:43" x14ac:dyDescent="0.3">
      <c r="A493" t="s">
        <v>4402</v>
      </c>
      <c r="E493" t="s">
        <v>4403</v>
      </c>
      <c r="F493" t="s">
        <v>4404</v>
      </c>
      <c r="I493" t="s">
        <v>4405</v>
      </c>
      <c r="K493" t="s">
        <v>3237</v>
      </c>
      <c r="M493" t="s">
        <v>778</v>
      </c>
      <c r="Q493" t="s">
        <v>4406</v>
      </c>
      <c r="R493" t="s">
        <v>4317</v>
      </c>
      <c r="S493" t="s">
        <v>4318</v>
      </c>
      <c r="X493">
        <v>30</v>
      </c>
      <c r="Y493" t="s">
        <v>2829</v>
      </c>
      <c r="AA493" s="31"/>
      <c r="AB493" s="61"/>
      <c r="AD493" s="31"/>
      <c r="AE493" s="61"/>
      <c r="AI493" t="s">
        <v>4407</v>
      </c>
      <c r="AQ493">
        <v>1</v>
      </c>
    </row>
    <row r="494" spans="1:43" x14ac:dyDescent="0.3">
      <c r="A494" t="s">
        <v>31</v>
      </c>
      <c r="B494">
        <v>832</v>
      </c>
      <c r="C494">
        <v>0</v>
      </c>
      <c r="D494">
        <v>3133</v>
      </c>
      <c r="E494" t="s">
        <v>4408</v>
      </c>
      <c r="AA494" s="31"/>
      <c r="AB494" s="61"/>
      <c r="AD494" s="31"/>
      <c r="AE494" s="61"/>
      <c r="AQ494">
        <v>1</v>
      </c>
    </row>
    <row r="495" spans="1:43" x14ac:dyDescent="0.3">
      <c r="A495" t="s">
        <v>4409</v>
      </c>
      <c r="AA495" s="31"/>
      <c r="AB495" s="61"/>
      <c r="AD495" s="31"/>
      <c r="AE495" s="61"/>
      <c r="AQ495">
        <v>1</v>
      </c>
    </row>
    <row r="496" spans="1:43" x14ac:dyDescent="0.3">
      <c r="A496" t="s">
        <v>4410</v>
      </c>
      <c r="D496">
        <v>35548485000137</v>
      </c>
      <c r="F496" t="s">
        <v>4411</v>
      </c>
      <c r="G496" t="s">
        <v>4412</v>
      </c>
      <c r="I496" t="s">
        <v>4413</v>
      </c>
      <c r="K496" t="s">
        <v>778</v>
      </c>
      <c r="P496" t="s">
        <v>4317</v>
      </c>
      <c r="Q496" t="s">
        <v>4318</v>
      </c>
      <c r="V496" t="s">
        <v>2119</v>
      </c>
      <c r="Y496" t="s">
        <v>782</v>
      </c>
      <c r="AA496" s="31"/>
      <c r="AB496" s="61"/>
      <c r="AD496" s="31"/>
      <c r="AE496" s="61"/>
      <c r="AQ496">
        <v>1</v>
      </c>
    </row>
    <row r="497" spans="1:43" x14ac:dyDescent="0.3">
      <c r="A497" t="s">
        <v>44</v>
      </c>
      <c r="B497">
        <v>833</v>
      </c>
      <c r="C497">
        <v>0</v>
      </c>
      <c r="D497">
        <v>3134</v>
      </c>
      <c r="G497" t="s">
        <v>4414</v>
      </c>
      <c r="H497">
        <v>26699965000108</v>
      </c>
      <c r="J497" t="s">
        <v>4415</v>
      </c>
      <c r="K497" t="s">
        <v>4416</v>
      </c>
      <c r="M497" t="s">
        <v>4417</v>
      </c>
      <c r="O497" t="s">
        <v>778</v>
      </c>
      <c r="T497" t="s">
        <v>4317</v>
      </c>
      <c r="U497" t="s">
        <v>4329</v>
      </c>
      <c r="Z497">
        <v>30</v>
      </c>
      <c r="AA497" s="31">
        <v>46042</v>
      </c>
      <c r="AB497" s="61">
        <v>0.50177083333333339</v>
      </c>
      <c r="AC497" t="s">
        <v>782</v>
      </c>
      <c r="AD497" s="31"/>
      <c r="AE497" s="61"/>
      <c r="AK497" t="s">
        <v>4407</v>
      </c>
      <c r="AQ497">
        <v>1</v>
      </c>
    </row>
    <row r="498" spans="1:43" x14ac:dyDescent="0.3">
      <c r="A498" t="s">
        <v>44</v>
      </c>
      <c r="B498">
        <v>834</v>
      </c>
      <c r="C498">
        <v>0</v>
      </c>
      <c r="D498">
        <v>3135</v>
      </c>
      <c r="G498" t="s">
        <v>4418</v>
      </c>
      <c r="H498">
        <v>2462686000168</v>
      </c>
      <c r="J498" t="s">
        <v>3530</v>
      </c>
      <c r="K498" t="s">
        <v>4419</v>
      </c>
      <c r="M498" t="s">
        <v>4420</v>
      </c>
      <c r="O498" t="s">
        <v>778</v>
      </c>
      <c r="T498" t="s">
        <v>4317</v>
      </c>
      <c r="U498" t="s">
        <v>4329</v>
      </c>
      <c r="Z498">
        <v>30</v>
      </c>
      <c r="AA498" s="31">
        <v>46042</v>
      </c>
      <c r="AB498" s="61">
        <v>0.50340277777777775</v>
      </c>
      <c r="AC498" t="s">
        <v>782</v>
      </c>
      <c r="AD498" s="31"/>
      <c r="AE498" s="61"/>
      <c r="AK498" t="s">
        <v>4407</v>
      </c>
      <c r="AQ498">
        <v>1</v>
      </c>
    </row>
    <row r="499" spans="1:43" x14ac:dyDescent="0.3">
      <c r="A499" t="s">
        <v>44</v>
      </c>
      <c r="B499">
        <v>835</v>
      </c>
      <c r="C499">
        <v>0</v>
      </c>
      <c r="D499">
        <v>3136</v>
      </c>
      <c r="G499" t="s">
        <v>4421</v>
      </c>
      <c r="H499">
        <v>6959313000158</v>
      </c>
      <c r="J499" t="s">
        <v>4422</v>
      </c>
      <c r="K499" t="s">
        <v>4423</v>
      </c>
      <c r="M499" t="s">
        <v>4424</v>
      </c>
      <c r="O499" t="s">
        <v>778</v>
      </c>
      <c r="T499" t="s">
        <v>4317</v>
      </c>
      <c r="U499" t="s">
        <v>4329</v>
      </c>
      <c r="Z499">
        <v>30</v>
      </c>
      <c r="AA499" s="31">
        <v>46042</v>
      </c>
      <c r="AB499" s="61">
        <v>0.50469907407407411</v>
      </c>
      <c r="AC499" t="s">
        <v>782</v>
      </c>
      <c r="AD499" s="31"/>
      <c r="AE499" s="61"/>
      <c r="AK499" t="s">
        <v>4407</v>
      </c>
      <c r="AQ499">
        <v>1</v>
      </c>
    </row>
    <row r="500" spans="1:43" x14ac:dyDescent="0.3">
      <c r="A500" t="s">
        <v>44</v>
      </c>
      <c r="B500">
        <v>836</v>
      </c>
      <c r="C500">
        <v>0</v>
      </c>
      <c r="D500">
        <v>3137</v>
      </c>
      <c r="G500" t="s">
        <v>4425</v>
      </c>
      <c r="H500">
        <v>14172069000107</v>
      </c>
      <c r="J500" t="s">
        <v>4426</v>
      </c>
      <c r="K500" t="s">
        <v>4427</v>
      </c>
      <c r="M500" t="s">
        <v>4428</v>
      </c>
      <c r="O500" t="s">
        <v>778</v>
      </c>
      <c r="T500" t="s">
        <v>4317</v>
      </c>
      <c r="U500" t="s">
        <v>4329</v>
      </c>
      <c r="Z500">
        <v>30</v>
      </c>
      <c r="AA500" s="31">
        <v>46042</v>
      </c>
      <c r="AB500" s="61">
        <v>0.50646990740740738</v>
      </c>
      <c r="AC500" t="s">
        <v>782</v>
      </c>
      <c r="AD500" s="31"/>
      <c r="AE500" s="61"/>
      <c r="AK500" t="s">
        <v>4407</v>
      </c>
      <c r="AQ500">
        <v>1</v>
      </c>
    </row>
    <row r="501" spans="1:43" x14ac:dyDescent="0.3">
      <c r="A501" t="s">
        <v>44</v>
      </c>
      <c r="B501">
        <v>837</v>
      </c>
      <c r="C501">
        <v>0</v>
      </c>
      <c r="D501">
        <v>3138</v>
      </c>
      <c r="E501" t="s">
        <v>4429</v>
      </c>
      <c r="AA501" s="31"/>
      <c r="AB501" s="61"/>
      <c r="AD501" s="31"/>
      <c r="AE501" s="61"/>
      <c r="AQ501">
        <v>1</v>
      </c>
    </row>
    <row r="502" spans="1:43" x14ac:dyDescent="0.3">
      <c r="A502" t="s">
        <v>4430</v>
      </c>
      <c r="AA502" s="31"/>
      <c r="AB502" s="61"/>
      <c r="AD502" s="31"/>
      <c r="AE502" s="61"/>
      <c r="AQ502">
        <v>1</v>
      </c>
    </row>
    <row r="503" spans="1:43" x14ac:dyDescent="0.3">
      <c r="A503" t="s">
        <v>4431</v>
      </c>
      <c r="AA503" s="31"/>
      <c r="AB503" s="61"/>
      <c r="AD503" s="31"/>
      <c r="AE503" s="61"/>
      <c r="AQ503">
        <v>1</v>
      </c>
    </row>
    <row r="504" spans="1:43" x14ac:dyDescent="0.3">
      <c r="A504" t="s">
        <v>4432</v>
      </c>
      <c r="AA504" s="31"/>
      <c r="AB504" s="61"/>
      <c r="AD504" s="31"/>
      <c r="AE504" s="61"/>
      <c r="AQ504">
        <v>1</v>
      </c>
    </row>
    <row r="505" spans="1:43" x14ac:dyDescent="0.3">
      <c r="A505" t="s">
        <v>4433</v>
      </c>
      <c r="AA505" s="31"/>
      <c r="AB505" s="61"/>
      <c r="AD505" s="31"/>
      <c r="AE505" s="61"/>
      <c r="AQ505">
        <v>1</v>
      </c>
    </row>
    <row r="506" spans="1:43" x14ac:dyDescent="0.3">
      <c r="A506" t="s">
        <v>4434</v>
      </c>
      <c r="E506" t="s">
        <v>4435</v>
      </c>
      <c r="G506" t="s">
        <v>4436</v>
      </c>
      <c r="J506" t="s">
        <v>3468</v>
      </c>
      <c r="Q506" t="s">
        <v>4317</v>
      </c>
      <c r="R506" t="s">
        <v>4437</v>
      </c>
      <c r="W506">
        <v>30</v>
      </c>
      <c r="Y506" t="s">
        <v>4438</v>
      </c>
      <c r="AA506" s="31"/>
      <c r="AB506" s="61"/>
      <c r="AD506" s="31"/>
      <c r="AE506" s="61"/>
      <c r="AH506" t="s">
        <v>4407</v>
      </c>
      <c r="AQ506">
        <v>1</v>
      </c>
    </row>
    <row r="507" spans="1:43" x14ac:dyDescent="0.3">
      <c r="A507" t="s">
        <v>44</v>
      </c>
      <c r="B507">
        <v>838</v>
      </c>
      <c r="C507">
        <v>0</v>
      </c>
      <c r="D507">
        <v>3139</v>
      </c>
      <c r="E507" t="s">
        <v>4439</v>
      </c>
      <c r="AA507" s="31"/>
      <c r="AB507" s="61"/>
      <c r="AD507" s="31"/>
      <c r="AE507" s="61"/>
      <c r="AQ507">
        <v>1</v>
      </c>
    </row>
    <row r="508" spans="1:43" x14ac:dyDescent="0.3">
      <c r="A508" t="s">
        <v>4440</v>
      </c>
      <c r="AA508" s="31"/>
      <c r="AB508" s="61"/>
      <c r="AD508" s="31"/>
      <c r="AE508" s="61"/>
      <c r="AQ508">
        <v>1</v>
      </c>
    </row>
    <row r="509" spans="1:43" x14ac:dyDescent="0.3">
      <c r="A509" t="s">
        <v>4441</v>
      </c>
      <c r="AA509" s="31"/>
      <c r="AB509" s="61"/>
      <c r="AD509" s="31"/>
      <c r="AE509" s="61"/>
      <c r="AQ509">
        <v>1</v>
      </c>
    </row>
    <row r="510" spans="1:43" x14ac:dyDescent="0.3">
      <c r="A510" t="s">
        <v>4442</v>
      </c>
      <c r="AA510" s="31"/>
      <c r="AB510" s="61"/>
      <c r="AD510" s="31"/>
      <c r="AE510" s="61"/>
      <c r="AQ510">
        <v>1</v>
      </c>
    </row>
    <row r="511" spans="1:43" x14ac:dyDescent="0.3">
      <c r="A511" t="s">
        <v>4443</v>
      </c>
      <c r="AA511" s="31"/>
      <c r="AB511" s="61"/>
      <c r="AD511" s="31"/>
      <c r="AE511" s="61"/>
      <c r="AQ511">
        <v>1</v>
      </c>
    </row>
    <row r="512" spans="1:43" x14ac:dyDescent="0.3">
      <c r="A512" t="s">
        <v>4444</v>
      </c>
      <c r="D512">
        <v>7554218000137</v>
      </c>
      <c r="F512" t="s">
        <v>4445</v>
      </c>
      <c r="G512" t="s">
        <v>4446</v>
      </c>
      <c r="I512" t="s">
        <v>4447</v>
      </c>
      <c r="K512" t="s">
        <v>778</v>
      </c>
      <c r="P512" t="s">
        <v>4317</v>
      </c>
      <c r="Q512" t="s">
        <v>4437</v>
      </c>
      <c r="V512" t="s">
        <v>2119</v>
      </c>
      <c r="Y512" t="s">
        <v>782</v>
      </c>
      <c r="AA512" s="31"/>
      <c r="AB512" s="61"/>
      <c r="AD512" s="31"/>
      <c r="AE512" s="61"/>
      <c r="AQ512">
        <v>1</v>
      </c>
    </row>
    <row r="513" spans="1:43" x14ac:dyDescent="0.3">
      <c r="A513" t="s">
        <v>44</v>
      </c>
      <c r="B513">
        <v>839</v>
      </c>
      <c r="C513">
        <v>0</v>
      </c>
      <c r="D513">
        <v>3140</v>
      </c>
      <c r="G513" t="s">
        <v>4448</v>
      </c>
      <c r="H513">
        <v>7044171000161</v>
      </c>
      <c r="J513" t="s">
        <v>4449</v>
      </c>
      <c r="K513" t="s">
        <v>4450</v>
      </c>
      <c r="M513" t="s">
        <v>4451</v>
      </c>
      <c r="O513" t="s">
        <v>778</v>
      </c>
      <c r="T513" t="s">
        <v>4317</v>
      </c>
      <c r="U513" t="s">
        <v>4329</v>
      </c>
      <c r="Z513">
        <v>30</v>
      </c>
      <c r="AA513" s="31">
        <v>46042</v>
      </c>
      <c r="AB513" s="61">
        <v>0.51048611111111108</v>
      </c>
      <c r="AC513" t="s">
        <v>782</v>
      </c>
      <c r="AD513" s="31"/>
      <c r="AE513" s="61"/>
      <c r="AK513" t="s">
        <v>4407</v>
      </c>
      <c r="AQ513">
        <v>1</v>
      </c>
    </row>
    <row r="514" spans="1:43" x14ac:dyDescent="0.3">
      <c r="A514" t="s">
        <v>22</v>
      </c>
      <c r="B514">
        <v>840</v>
      </c>
      <c r="C514">
        <v>0</v>
      </c>
      <c r="D514">
        <v>3141</v>
      </c>
      <c r="G514" t="s">
        <v>4452</v>
      </c>
      <c r="H514">
        <v>6847915000202</v>
      </c>
      <c r="J514" t="s">
        <v>1804</v>
      </c>
      <c r="K514" t="s">
        <v>4453</v>
      </c>
      <c r="M514" t="s">
        <v>4242</v>
      </c>
      <c r="O514" t="s">
        <v>778</v>
      </c>
      <c r="T514" t="s">
        <v>4317</v>
      </c>
      <c r="U514" t="s">
        <v>4329</v>
      </c>
      <c r="Z514">
        <v>30</v>
      </c>
      <c r="AA514" s="31">
        <v>46042</v>
      </c>
      <c r="AB514" s="61">
        <v>0.58880787037037041</v>
      </c>
      <c r="AC514" t="s">
        <v>782</v>
      </c>
      <c r="AD514" s="31"/>
      <c r="AE514" s="61"/>
      <c r="AK514" t="s">
        <v>4407</v>
      </c>
      <c r="AQ514">
        <v>1</v>
      </c>
    </row>
    <row r="515" spans="1:43" x14ac:dyDescent="0.3">
      <c r="A515" t="s">
        <v>22</v>
      </c>
      <c r="B515">
        <v>841</v>
      </c>
      <c r="C515">
        <v>0</v>
      </c>
      <c r="D515">
        <v>3142</v>
      </c>
      <c r="G515" t="s">
        <v>4454</v>
      </c>
      <c r="H515">
        <v>8636039000101</v>
      </c>
      <c r="J515" t="s">
        <v>4455</v>
      </c>
      <c r="K515" t="s">
        <v>4456</v>
      </c>
      <c r="M515" t="s">
        <v>4163</v>
      </c>
      <c r="O515" t="s">
        <v>778</v>
      </c>
      <c r="T515" t="s">
        <v>4317</v>
      </c>
      <c r="U515" t="s">
        <v>4329</v>
      </c>
      <c r="Z515">
        <v>30</v>
      </c>
      <c r="AA515" s="31">
        <v>46042</v>
      </c>
      <c r="AB515" s="61">
        <v>0.58991898148148147</v>
      </c>
      <c r="AC515" t="s">
        <v>782</v>
      </c>
      <c r="AD515" s="31"/>
      <c r="AE515" s="61"/>
      <c r="AK515" t="s">
        <v>4407</v>
      </c>
      <c r="AQ515">
        <v>1</v>
      </c>
    </row>
    <row r="516" spans="1:43" x14ac:dyDescent="0.3">
      <c r="A516" t="s">
        <v>22</v>
      </c>
      <c r="B516">
        <v>842</v>
      </c>
      <c r="C516">
        <v>0</v>
      </c>
      <c r="D516">
        <v>3143</v>
      </c>
      <c r="G516" t="s">
        <v>4457</v>
      </c>
      <c r="H516">
        <v>7729393000118</v>
      </c>
      <c r="J516" t="s">
        <v>4458</v>
      </c>
      <c r="K516" t="s">
        <v>4459</v>
      </c>
      <c r="M516" t="s">
        <v>4460</v>
      </c>
      <c r="O516" t="s">
        <v>778</v>
      </c>
      <c r="T516" t="s">
        <v>4317</v>
      </c>
      <c r="U516" t="s">
        <v>4329</v>
      </c>
      <c r="Z516">
        <v>30</v>
      </c>
      <c r="AA516" s="31">
        <v>46042</v>
      </c>
      <c r="AB516" s="61">
        <v>0.59046296296296297</v>
      </c>
      <c r="AC516" t="s">
        <v>782</v>
      </c>
      <c r="AD516" s="31"/>
      <c r="AE516" s="61"/>
      <c r="AK516" t="s">
        <v>4407</v>
      </c>
      <c r="AQ516">
        <v>1</v>
      </c>
    </row>
    <row r="517" spans="1:43" x14ac:dyDescent="0.3">
      <c r="A517" t="s">
        <v>22</v>
      </c>
      <c r="B517">
        <v>844</v>
      </c>
      <c r="C517">
        <v>0</v>
      </c>
      <c r="D517">
        <v>3145</v>
      </c>
      <c r="G517" t="s">
        <v>4461</v>
      </c>
      <c r="H517">
        <v>27914031000104</v>
      </c>
      <c r="J517" t="s">
        <v>3496</v>
      </c>
      <c r="K517" t="s">
        <v>3497</v>
      </c>
      <c r="M517" t="s">
        <v>3498</v>
      </c>
      <c r="O517" t="s">
        <v>778</v>
      </c>
      <c r="T517" t="s">
        <v>4317</v>
      </c>
      <c r="U517" t="s">
        <v>4329</v>
      </c>
      <c r="Z517">
        <v>30</v>
      </c>
      <c r="AA517" s="31">
        <v>46042</v>
      </c>
      <c r="AB517" s="61">
        <v>0.59171296296296294</v>
      </c>
      <c r="AC517" t="s">
        <v>782</v>
      </c>
      <c r="AD517" s="31"/>
      <c r="AE517" s="61"/>
      <c r="AK517" t="s">
        <v>4407</v>
      </c>
      <c r="AQ517">
        <v>1</v>
      </c>
    </row>
    <row r="518" spans="1:43" x14ac:dyDescent="0.3">
      <c r="A518" t="s">
        <v>22</v>
      </c>
      <c r="B518">
        <v>845</v>
      </c>
      <c r="C518">
        <v>0</v>
      </c>
      <c r="D518">
        <v>3146</v>
      </c>
      <c r="E518" t="s">
        <v>4400</v>
      </c>
      <c r="AA518" s="31"/>
      <c r="AB518" s="61"/>
      <c r="AD518" s="31"/>
      <c r="AE518" s="61"/>
      <c r="AQ518">
        <v>1</v>
      </c>
    </row>
    <row r="519" spans="1:43" x14ac:dyDescent="0.3">
      <c r="A519" t="s">
        <v>4308</v>
      </c>
      <c r="AA519" s="31"/>
      <c r="AB519" s="61"/>
      <c r="AD519" s="31"/>
      <c r="AE519" s="61"/>
      <c r="AQ519">
        <v>1</v>
      </c>
    </row>
    <row r="520" spans="1:43" x14ac:dyDescent="0.3">
      <c r="A520" t="s">
        <v>4311</v>
      </c>
      <c r="E520" t="s">
        <v>4462</v>
      </c>
      <c r="G520" t="s">
        <v>990</v>
      </c>
      <c r="J520" t="s">
        <v>3614</v>
      </c>
      <c r="Q520" t="s">
        <v>4317</v>
      </c>
      <c r="R520" t="s">
        <v>4437</v>
      </c>
      <c r="W520">
        <v>30</v>
      </c>
      <c r="Y520" t="s">
        <v>4463</v>
      </c>
      <c r="AA520" s="31"/>
      <c r="AB520" s="61"/>
      <c r="AD520" s="31"/>
      <c r="AE520" s="61"/>
      <c r="AH520" t="s">
        <v>4407</v>
      </c>
      <c r="AQ520">
        <v>1</v>
      </c>
    </row>
    <row r="521" spans="1:43" x14ac:dyDescent="0.3">
      <c r="A521" t="s">
        <v>22</v>
      </c>
      <c r="B521">
        <v>846</v>
      </c>
      <c r="C521">
        <v>0</v>
      </c>
      <c r="D521">
        <v>3147</v>
      </c>
      <c r="G521" t="s">
        <v>4464</v>
      </c>
      <c r="H521">
        <v>24435880000197</v>
      </c>
      <c r="J521" t="s">
        <v>4465</v>
      </c>
      <c r="K521" t="s">
        <v>4466</v>
      </c>
      <c r="M521" t="s">
        <v>4467</v>
      </c>
      <c r="O521" t="s">
        <v>778</v>
      </c>
      <c r="T521" t="s">
        <v>4317</v>
      </c>
      <c r="U521" t="s">
        <v>4329</v>
      </c>
      <c r="Z521">
        <v>30</v>
      </c>
      <c r="AA521" s="31">
        <v>46042</v>
      </c>
      <c r="AB521" s="61">
        <v>0.59587962962962959</v>
      </c>
      <c r="AC521" t="s">
        <v>782</v>
      </c>
      <c r="AD521" s="31"/>
      <c r="AE521" s="61"/>
      <c r="AK521" t="s">
        <v>4407</v>
      </c>
      <c r="AQ521">
        <v>1</v>
      </c>
    </row>
    <row r="522" spans="1:43" x14ac:dyDescent="0.3">
      <c r="A522" t="s">
        <v>44</v>
      </c>
      <c r="B522">
        <v>852</v>
      </c>
      <c r="C522">
        <v>0</v>
      </c>
      <c r="D522">
        <v>3152</v>
      </c>
      <c r="G522" t="s">
        <v>508</v>
      </c>
      <c r="H522">
        <v>11119066000111</v>
      </c>
      <c r="J522" t="s">
        <v>4468</v>
      </c>
      <c r="K522" t="s">
        <v>4469</v>
      </c>
      <c r="M522" t="s">
        <v>4470</v>
      </c>
      <c r="O522" t="s">
        <v>778</v>
      </c>
      <c r="T522" t="s">
        <v>4317</v>
      </c>
      <c r="U522" t="s">
        <v>4437</v>
      </c>
      <c r="Z522">
        <v>29</v>
      </c>
      <c r="AA522" s="31">
        <v>46043</v>
      </c>
      <c r="AB522" s="61">
        <v>0.60939814814814819</v>
      </c>
      <c r="AC522" t="s">
        <v>782</v>
      </c>
      <c r="AD522" s="31"/>
      <c r="AE522" s="61"/>
      <c r="AK522" t="s">
        <v>4471</v>
      </c>
      <c r="AQ522">
        <v>1</v>
      </c>
    </row>
    <row r="523" spans="1:43" x14ac:dyDescent="0.3">
      <c r="A523" t="s">
        <v>31</v>
      </c>
      <c r="B523">
        <v>855</v>
      </c>
      <c r="C523">
        <v>0</v>
      </c>
      <c r="D523">
        <v>3159</v>
      </c>
      <c r="G523" t="s">
        <v>4472</v>
      </c>
      <c r="H523">
        <v>56450877000309</v>
      </c>
      <c r="J523" t="s">
        <v>4473</v>
      </c>
      <c r="K523" t="s">
        <v>4474</v>
      </c>
      <c r="M523" t="s">
        <v>4475</v>
      </c>
      <c r="O523" t="s">
        <v>778</v>
      </c>
      <c r="T523" t="s">
        <v>4317</v>
      </c>
      <c r="U523" t="s">
        <v>4329</v>
      </c>
      <c r="Z523">
        <v>28</v>
      </c>
      <c r="AA523" s="31">
        <v>46044</v>
      </c>
      <c r="AB523" s="61">
        <v>0.68799768518518523</v>
      </c>
      <c r="AC523" t="s">
        <v>782</v>
      </c>
      <c r="AD523" s="31"/>
      <c r="AE523" s="61"/>
      <c r="AK523" t="s">
        <v>4476</v>
      </c>
      <c r="AQ523">
        <v>1</v>
      </c>
    </row>
    <row r="524" spans="1:43" x14ac:dyDescent="0.3">
      <c r="A524" t="s">
        <v>31</v>
      </c>
      <c r="B524">
        <v>856</v>
      </c>
      <c r="C524">
        <v>0</v>
      </c>
      <c r="D524">
        <v>3160</v>
      </c>
      <c r="E524" t="s">
        <v>4477</v>
      </c>
      <c r="G524" t="s">
        <v>4478</v>
      </c>
      <c r="H524">
        <v>10294630000170</v>
      </c>
      <c r="J524" t="s">
        <v>4479</v>
      </c>
      <c r="K524" t="s">
        <v>4480</v>
      </c>
      <c r="M524" t="s">
        <v>4481</v>
      </c>
      <c r="O524" t="s">
        <v>778</v>
      </c>
      <c r="T524" t="s">
        <v>4317</v>
      </c>
      <c r="U524" t="s">
        <v>4437</v>
      </c>
      <c r="Z524">
        <v>28</v>
      </c>
      <c r="AA524" s="31">
        <v>46044</v>
      </c>
      <c r="AB524" s="61">
        <v>0.68909722222222225</v>
      </c>
      <c r="AC524" t="s">
        <v>782</v>
      </c>
      <c r="AD524" s="31"/>
      <c r="AE524" s="61"/>
      <c r="AK524" t="s">
        <v>2890</v>
      </c>
      <c r="AQ524">
        <v>1</v>
      </c>
    </row>
    <row r="525" spans="1:43" x14ac:dyDescent="0.3">
      <c r="A525" t="s">
        <v>31</v>
      </c>
      <c r="B525">
        <v>857</v>
      </c>
      <c r="C525">
        <v>0</v>
      </c>
      <c r="D525">
        <v>3161</v>
      </c>
      <c r="E525" t="s">
        <v>4482</v>
      </c>
      <c r="AA525" s="31"/>
      <c r="AB525" s="61"/>
      <c r="AD525" s="31"/>
      <c r="AE525" s="61"/>
      <c r="AQ525">
        <v>1</v>
      </c>
    </row>
    <row r="526" spans="1:43" x14ac:dyDescent="0.3">
      <c r="A526" t="s">
        <v>4483</v>
      </c>
      <c r="AA526" s="31"/>
      <c r="AB526" s="61"/>
      <c r="AD526" s="31"/>
      <c r="AE526" s="61"/>
      <c r="AQ526">
        <v>1</v>
      </c>
    </row>
    <row r="527" spans="1:43" x14ac:dyDescent="0.3">
      <c r="A527" t="s">
        <v>4484</v>
      </c>
      <c r="AA527" s="31"/>
      <c r="AB527" s="61"/>
      <c r="AD527" s="31"/>
      <c r="AE527" s="61"/>
      <c r="AQ527">
        <v>1</v>
      </c>
    </row>
    <row r="528" spans="1:43" x14ac:dyDescent="0.3">
      <c r="A528" t="s">
        <v>4485</v>
      </c>
      <c r="AA528" s="31"/>
      <c r="AB528" s="61"/>
      <c r="AD528" s="31"/>
      <c r="AE528" s="61"/>
      <c r="AQ528">
        <v>1</v>
      </c>
    </row>
    <row r="529" spans="1:43" x14ac:dyDescent="0.3">
      <c r="A529" t="s">
        <v>4486</v>
      </c>
      <c r="AA529" s="31"/>
      <c r="AB529" s="61"/>
      <c r="AD529" s="31"/>
      <c r="AE529" s="61"/>
      <c r="AQ529">
        <v>1</v>
      </c>
    </row>
    <row r="530" spans="1:43" x14ac:dyDescent="0.3">
      <c r="A530" t="s">
        <v>4487</v>
      </c>
      <c r="AA530" s="31"/>
      <c r="AB530" s="61"/>
      <c r="AD530" s="31"/>
      <c r="AE530" s="61"/>
      <c r="AQ530">
        <v>1</v>
      </c>
    </row>
    <row r="531" spans="1:43" x14ac:dyDescent="0.3">
      <c r="A531" t="s">
        <v>4488</v>
      </c>
      <c r="E531" t="s">
        <v>4489</v>
      </c>
      <c r="F531" t="s">
        <v>4490</v>
      </c>
      <c r="I531" t="s">
        <v>4491</v>
      </c>
      <c r="K531" t="s">
        <v>4492</v>
      </c>
      <c r="M531" t="s">
        <v>778</v>
      </c>
      <c r="R531" t="s">
        <v>4317</v>
      </c>
      <c r="S531" t="s">
        <v>4318</v>
      </c>
      <c r="X531">
        <v>28</v>
      </c>
      <c r="Y531" t="s">
        <v>4349</v>
      </c>
      <c r="AA531" s="31"/>
      <c r="AB531" s="61"/>
      <c r="AD531" s="31"/>
      <c r="AE531" s="61"/>
      <c r="AI531" t="s">
        <v>2890</v>
      </c>
      <c r="AQ531">
        <v>1</v>
      </c>
    </row>
    <row r="532" spans="1:43" x14ac:dyDescent="0.3">
      <c r="A532" t="s">
        <v>31</v>
      </c>
      <c r="B532">
        <v>858</v>
      </c>
      <c r="C532">
        <v>0</v>
      </c>
      <c r="D532">
        <v>3162</v>
      </c>
      <c r="E532" t="s">
        <v>4493</v>
      </c>
      <c r="G532" t="s">
        <v>4494</v>
      </c>
      <c r="H532">
        <v>12549273000179</v>
      </c>
      <c r="J532" t="s">
        <v>1804</v>
      </c>
      <c r="K532" t="s">
        <v>4495</v>
      </c>
      <c r="M532" t="s">
        <v>4496</v>
      </c>
      <c r="O532" t="s">
        <v>778</v>
      </c>
      <c r="T532" t="s">
        <v>4317</v>
      </c>
      <c r="U532" t="s">
        <v>4318</v>
      </c>
      <c r="Z532">
        <v>28</v>
      </c>
      <c r="AA532" s="31">
        <v>46044</v>
      </c>
      <c r="AB532" s="61">
        <v>0.69061342592592589</v>
      </c>
      <c r="AC532" t="s">
        <v>782</v>
      </c>
      <c r="AD532" s="31"/>
      <c r="AE532" s="61"/>
      <c r="AK532" t="s">
        <v>2890</v>
      </c>
      <c r="AQ532">
        <v>1</v>
      </c>
    </row>
    <row r="533" spans="1:43" x14ac:dyDescent="0.3">
      <c r="A533" t="s">
        <v>31</v>
      </c>
      <c r="B533">
        <v>859</v>
      </c>
      <c r="C533">
        <v>0</v>
      </c>
      <c r="D533">
        <v>3163</v>
      </c>
      <c r="G533" t="s">
        <v>4497</v>
      </c>
      <c r="H533">
        <v>3431924000130</v>
      </c>
      <c r="J533" t="s">
        <v>3691</v>
      </c>
      <c r="K533" t="s">
        <v>4498</v>
      </c>
      <c r="M533" t="s">
        <v>4499</v>
      </c>
      <c r="O533" t="s">
        <v>778</v>
      </c>
      <c r="T533" t="s">
        <v>4317</v>
      </c>
      <c r="U533" t="s">
        <v>4329</v>
      </c>
      <c r="Z533">
        <v>28</v>
      </c>
      <c r="AA533" s="31">
        <v>46044</v>
      </c>
      <c r="AB533" s="61">
        <v>0.69150462962962966</v>
      </c>
      <c r="AC533" t="s">
        <v>782</v>
      </c>
      <c r="AD533" s="31"/>
      <c r="AE533" s="61"/>
      <c r="AK533" t="s">
        <v>4476</v>
      </c>
      <c r="AQ533">
        <v>1</v>
      </c>
    </row>
    <row r="534" spans="1:43" x14ac:dyDescent="0.3">
      <c r="A534" t="s">
        <v>31</v>
      </c>
      <c r="B534">
        <v>863</v>
      </c>
      <c r="C534">
        <v>203</v>
      </c>
      <c r="D534">
        <v>3168</v>
      </c>
      <c r="E534" t="s">
        <v>4500</v>
      </c>
      <c r="G534" t="s">
        <v>4501</v>
      </c>
      <c r="H534">
        <v>11806036000183</v>
      </c>
      <c r="I534" t="s">
        <v>3791</v>
      </c>
      <c r="J534" t="s">
        <v>2600</v>
      </c>
      <c r="K534" t="s">
        <v>3792</v>
      </c>
      <c r="M534" t="s">
        <v>3793</v>
      </c>
      <c r="O534" t="s">
        <v>3794</v>
      </c>
      <c r="P534" t="s">
        <v>3636</v>
      </c>
      <c r="Q534" t="s">
        <v>1699</v>
      </c>
      <c r="T534" t="s">
        <v>319</v>
      </c>
      <c r="U534" t="s">
        <v>816</v>
      </c>
      <c r="W534">
        <v>8100</v>
      </c>
      <c r="X534">
        <v>1080</v>
      </c>
      <c r="Z534">
        <v>5</v>
      </c>
      <c r="AA534" s="31">
        <v>46045</v>
      </c>
      <c r="AB534" s="61">
        <v>0.67321759259259262</v>
      </c>
      <c r="AC534" t="s">
        <v>818</v>
      </c>
      <c r="AD534" s="31">
        <v>46050</v>
      </c>
      <c r="AE534" s="61">
        <v>0.60244212962962962</v>
      </c>
      <c r="AH534" t="s">
        <v>4278</v>
      </c>
      <c r="AI534" t="s">
        <v>2920</v>
      </c>
      <c r="AK534" t="s">
        <v>2920</v>
      </c>
      <c r="AQ534">
        <v>1</v>
      </c>
    </row>
    <row r="535" spans="1:43" x14ac:dyDescent="0.3">
      <c r="A535" t="s">
        <v>31</v>
      </c>
      <c r="B535">
        <v>875</v>
      </c>
      <c r="D535">
        <v>3181</v>
      </c>
      <c r="E535" t="s">
        <v>4502</v>
      </c>
      <c r="AA535" s="31"/>
      <c r="AB535" s="61"/>
      <c r="AD535" s="31"/>
      <c r="AE535" s="61"/>
      <c r="AQ535">
        <v>1</v>
      </c>
    </row>
    <row r="536" spans="1:43" x14ac:dyDescent="0.3">
      <c r="A536" t="s">
        <v>4503</v>
      </c>
      <c r="D536">
        <v>5236564000141</v>
      </c>
      <c r="F536" t="s">
        <v>4504</v>
      </c>
      <c r="G536" t="s">
        <v>4379</v>
      </c>
      <c r="I536" t="s">
        <v>4380</v>
      </c>
      <c r="K536" t="s">
        <v>778</v>
      </c>
      <c r="P536" t="s">
        <v>319</v>
      </c>
      <c r="Q536" t="s">
        <v>3417</v>
      </c>
      <c r="S536" t="s">
        <v>4505</v>
      </c>
      <c r="T536" t="s">
        <v>4506</v>
      </c>
      <c r="V536" t="s">
        <v>4507</v>
      </c>
      <c r="Y536" t="s">
        <v>795</v>
      </c>
      <c r="AA536" s="31"/>
      <c r="AB536" s="61"/>
      <c r="AD536" s="31"/>
      <c r="AE536" s="61"/>
      <c r="AQ536">
        <v>1</v>
      </c>
    </row>
    <row r="537" spans="1:43" x14ac:dyDescent="0.3">
      <c r="A537" t="s">
        <v>31</v>
      </c>
      <c r="B537">
        <v>878</v>
      </c>
      <c r="C537">
        <v>206</v>
      </c>
      <c r="D537">
        <v>3189</v>
      </c>
      <c r="G537" t="s">
        <v>4508</v>
      </c>
      <c r="H537">
        <v>37075503000136</v>
      </c>
      <c r="I537" t="s">
        <v>3826</v>
      </c>
      <c r="J537" t="s">
        <v>1474</v>
      </c>
      <c r="K537" t="s">
        <v>1475</v>
      </c>
      <c r="M537" t="s">
        <v>1476</v>
      </c>
      <c r="O537" t="s">
        <v>3827</v>
      </c>
      <c r="P537" t="s">
        <v>1477</v>
      </c>
      <c r="Q537" t="s">
        <v>932</v>
      </c>
      <c r="T537" t="s">
        <v>319</v>
      </c>
      <c r="U537" t="s">
        <v>816</v>
      </c>
      <c r="W537">
        <v>7110</v>
      </c>
      <c r="X537">
        <v>0</v>
      </c>
      <c r="Z537">
        <v>1</v>
      </c>
      <c r="AA537" s="31">
        <v>46050</v>
      </c>
      <c r="AB537" s="61">
        <v>0.72538194444444448</v>
      </c>
      <c r="AC537" t="s">
        <v>818</v>
      </c>
      <c r="AD537" s="31">
        <v>46051</v>
      </c>
      <c r="AE537" s="61">
        <v>0.38591435185185191</v>
      </c>
      <c r="AH537" t="s">
        <v>4509</v>
      </c>
      <c r="AK537" t="s">
        <v>4509</v>
      </c>
      <c r="AQ537">
        <v>1</v>
      </c>
    </row>
    <row r="538" spans="1:43" x14ac:dyDescent="0.3">
      <c r="A538" t="s">
        <v>31</v>
      </c>
      <c r="B538">
        <v>880</v>
      </c>
      <c r="D538">
        <v>3194</v>
      </c>
      <c r="E538" t="s">
        <v>4510</v>
      </c>
      <c r="G538" t="s">
        <v>4511</v>
      </c>
      <c r="H538">
        <v>55585815000171</v>
      </c>
      <c r="J538" t="s">
        <v>914</v>
      </c>
      <c r="K538" t="s">
        <v>4181</v>
      </c>
      <c r="M538" t="s">
        <v>4182</v>
      </c>
      <c r="O538" t="s">
        <v>778</v>
      </c>
      <c r="S538" t="s">
        <v>1419</v>
      </c>
      <c r="T538" t="s">
        <v>319</v>
      </c>
      <c r="U538" t="s">
        <v>3417</v>
      </c>
      <c r="W538">
        <v>8100</v>
      </c>
      <c r="X538">
        <v>1080</v>
      </c>
      <c r="Z538">
        <v>21</v>
      </c>
      <c r="AA538" s="31">
        <v>46051</v>
      </c>
      <c r="AB538" s="61">
        <v>0.41949074074074072</v>
      </c>
      <c r="AC538" t="s">
        <v>782</v>
      </c>
      <c r="AD538" s="31"/>
      <c r="AE538" s="61"/>
      <c r="AH538" t="s">
        <v>4512</v>
      </c>
      <c r="AI538" t="s">
        <v>4407</v>
      </c>
      <c r="AK538" t="s">
        <v>4512</v>
      </c>
      <c r="AL538" t="s">
        <v>1423</v>
      </c>
      <c r="AQ538">
        <v>1</v>
      </c>
    </row>
    <row r="539" spans="1:43" x14ac:dyDescent="0.3">
      <c r="A539" t="s">
        <v>31</v>
      </c>
      <c r="B539">
        <v>881</v>
      </c>
      <c r="C539">
        <v>0</v>
      </c>
      <c r="D539">
        <v>3195</v>
      </c>
      <c r="E539" t="s">
        <v>4513</v>
      </c>
      <c r="AA539" s="31"/>
      <c r="AB539" s="61"/>
      <c r="AD539" s="31"/>
      <c r="AE539" s="61"/>
      <c r="AQ539">
        <v>1</v>
      </c>
    </row>
    <row r="540" spans="1:43" x14ac:dyDescent="0.3">
      <c r="A540" t="s">
        <v>4514</v>
      </c>
      <c r="D540">
        <v>55585815000171</v>
      </c>
      <c r="F540" t="s">
        <v>914</v>
      </c>
      <c r="G540" t="s">
        <v>4181</v>
      </c>
      <c r="I540" t="s">
        <v>4182</v>
      </c>
      <c r="K540" t="s">
        <v>778</v>
      </c>
      <c r="O540" t="s">
        <v>1718</v>
      </c>
      <c r="P540" t="s">
        <v>319</v>
      </c>
      <c r="Q540" t="s">
        <v>3417</v>
      </c>
      <c r="S540" t="s">
        <v>4515</v>
      </c>
      <c r="T540" t="s">
        <v>4275</v>
      </c>
      <c r="V540" t="s">
        <v>4516</v>
      </c>
      <c r="Y540" t="s">
        <v>782</v>
      </c>
      <c r="AA540" s="31"/>
      <c r="AB540" s="61"/>
      <c r="AD540" s="31">
        <v>46064</v>
      </c>
      <c r="AE540" s="61"/>
      <c r="AF540" t="s">
        <v>4517</v>
      </c>
      <c r="AH540" t="s">
        <v>2119</v>
      </c>
      <c r="AL540" t="s">
        <v>54</v>
      </c>
      <c r="AQ540">
        <v>1</v>
      </c>
    </row>
    <row r="541" spans="1:43" x14ac:dyDescent="0.3">
      <c r="A541" t="s">
        <v>31</v>
      </c>
      <c r="B541">
        <v>896</v>
      </c>
      <c r="C541">
        <v>181</v>
      </c>
      <c r="D541">
        <v>3212</v>
      </c>
      <c r="E541" t="s">
        <v>4518</v>
      </c>
      <c r="AA541" s="31"/>
      <c r="AB541" s="61"/>
      <c r="AD541" s="31"/>
      <c r="AE541" s="61"/>
      <c r="AQ541">
        <v>1</v>
      </c>
    </row>
    <row r="542" spans="1:43" x14ac:dyDescent="0.3">
      <c r="A542" t="s">
        <v>4519</v>
      </c>
      <c r="AA542" s="31"/>
      <c r="AB542" s="61"/>
      <c r="AD542" s="31"/>
      <c r="AE542" s="61"/>
      <c r="AQ542">
        <v>1</v>
      </c>
    </row>
    <row r="543" spans="1:43" x14ac:dyDescent="0.3">
      <c r="A543" t="s">
        <v>4520</v>
      </c>
      <c r="D543">
        <v>43204189000147</v>
      </c>
      <c r="E543" t="s">
        <v>3612</v>
      </c>
      <c r="F543" t="s">
        <v>990</v>
      </c>
      <c r="G543" t="s">
        <v>3613</v>
      </c>
      <c r="I543" t="s">
        <v>3614</v>
      </c>
      <c r="K543" t="s">
        <v>3615</v>
      </c>
      <c r="M543" t="s">
        <v>790</v>
      </c>
      <c r="P543" t="s">
        <v>319</v>
      </c>
      <c r="Q543" t="s">
        <v>816</v>
      </c>
      <c r="S543" t="s">
        <v>4521</v>
      </c>
      <c r="T543" t="s">
        <v>4275</v>
      </c>
      <c r="V543" t="s">
        <v>1058</v>
      </c>
      <c r="Y543" t="s">
        <v>818</v>
      </c>
      <c r="AA543" s="31"/>
      <c r="AB543" s="61"/>
      <c r="AD543" s="31"/>
      <c r="AE543" s="61"/>
      <c r="AQ543">
        <v>1</v>
      </c>
    </row>
    <row r="544" spans="1:43" x14ac:dyDescent="0.3">
      <c r="A544" t="s">
        <v>31</v>
      </c>
      <c r="B544">
        <v>897</v>
      </c>
      <c r="C544">
        <v>133</v>
      </c>
      <c r="D544">
        <v>3213</v>
      </c>
      <c r="E544" t="s">
        <v>4522</v>
      </c>
      <c r="AA544" s="31"/>
      <c r="AB544" s="61"/>
      <c r="AD544" s="31"/>
      <c r="AE544" s="61"/>
      <c r="AQ544">
        <v>1</v>
      </c>
    </row>
    <row r="545" spans="1:43" x14ac:dyDescent="0.3">
      <c r="A545" t="s">
        <v>4523</v>
      </c>
      <c r="AA545" s="31"/>
      <c r="AB545" s="61"/>
      <c r="AD545" s="31"/>
      <c r="AE545" s="61"/>
      <c r="AQ545">
        <v>1</v>
      </c>
    </row>
    <row r="546" spans="1:43" x14ac:dyDescent="0.3">
      <c r="A546" t="s">
        <v>4524</v>
      </c>
      <c r="AA546" s="31"/>
      <c r="AB546" s="61"/>
      <c r="AD546" s="31"/>
      <c r="AE546" s="61"/>
      <c r="AQ546">
        <v>1</v>
      </c>
    </row>
    <row r="547" spans="1:43" x14ac:dyDescent="0.3">
      <c r="A547" t="s">
        <v>4525</v>
      </c>
      <c r="AA547" s="31"/>
      <c r="AB547" s="61"/>
      <c r="AD547" s="31"/>
      <c r="AE547" s="61"/>
      <c r="AQ547">
        <v>1</v>
      </c>
    </row>
    <row r="548" spans="1:43" x14ac:dyDescent="0.3">
      <c r="A548" t="s">
        <v>4526</v>
      </c>
      <c r="AA548" s="31"/>
      <c r="AB548" s="61"/>
      <c r="AD548" s="31"/>
      <c r="AE548" s="61"/>
      <c r="AQ548">
        <v>1</v>
      </c>
    </row>
    <row r="549" spans="1:43" x14ac:dyDescent="0.3">
      <c r="A549" t="s">
        <v>4525</v>
      </c>
      <c r="AA549" s="31"/>
      <c r="AB549" s="61"/>
      <c r="AD549" s="31"/>
      <c r="AE549" s="61"/>
      <c r="AQ549">
        <v>1</v>
      </c>
    </row>
    <row r="550" spans="1:43" x14ac:dyDescent="0.3">
      <c r="A550" t="s">
        <v>4527</v>
      </c>
      <c r="AA550" s="31"/>
      <c r="AB550" s="61"/>
      <c r="AD550" s="31"/>
      <c r="AE550" s="61"/>
      <c r="AQ550">
        <v>1</v>
      </c>
    </row>
    <row r="551" spans="1:43" x14ac:dyDescent="0.3">
      <c r="A551" t="s">
        <v>4528</v>
      </c>
      <c r="AA551" s="31"/>
      <c r="AB551" s="61"/>
      <c r="AD551" s="31"/>
      <c r="AE551" s="61"/>
      <c r="AQ551">
        <v>1</v>
      </c>
    </row>
    <row r="552" spans="1:43" x14ac:dyDescent="0.3">
      <c r="A552" t="s">
        <v>4529</v>
      </c>
      <c r="AA552" s="31"/>
      <c r="AB552" s="61"/>
      <c r="AD552" s="31"/>
      <c r="AE552" s="61"/>
      <c r="AQ552">
        <v>1</v>
      </c>
    </row>
    <row r="553" spans="1:43" x14ac:dyDescent="0.3">
      <c r="A553" t="s">
        <v>4530</v>
      </c>
      <c r="AA553" s="31"/>
      <c r="AB553" s="61"/>
      <c r="AD553" s="31"/>
      <c r="AE553" s="61"/>
      <c r="AQ553">
        <v>1</v>
      </c>
    </row>
    <row r="554" spans="1:43" x14ac:dyDescent="0.3">
      <c r="A554" t="s">
        <v>4531</v>
      </c>
      <c r="AA554" s="31"/>
      <c r="AB554" s="61"/>
      <c r="AD554" s="31"/>
      <c r="AE554" s="61"/>
      <c r="AQ554">
        <v>1</v>
      </c>
    </row>
    <row r="555" spans="1:43" x14ac:dyDescent="0.3">
      <c r="A555" t="s">
        <v>4532</v>
      </c>
      <c r="AA555" s="31"/>
      <c r="AB555" s="61"/>
      <c r="AD555" s="31"/>
      <c r="AE555" s="61"/>
      <c r="AQ555">
        <v>1</v>
      </c>
    </row>
    <row r="556" spans="1:43" x14ac:dyDescent="0.3">
      <c r="A556" t="s">
        <v>4533</v>
      </c>
      <c r="AA556" s="31"/>
      <c r="AB556" s="61"/>
      <c r="AD556" s="31"/>
      <c r="AE556" s="61"/>
      <c r="AQ556">
        <v>1</v>
      </c>
    </row>
    <row r="557" spans="1:43" x14ac:dyDescent="0.3">
      <c r="A557" t="s">
        <v>4534</v>
      </c>
      <c r="AA557" s="31"/>
      <c r="AB557" s="61"/>
      <c r="AD557" s="31"/>
      <c r="AE557" s="61"/>
      <c r="AQ557">
        <v>1</v>
      </c>
    </row>
    <row r="558" spans="1:43" x14ac:dyDescent="0.3">
      <c r="A558" t="s">
        <v>4535</v>
      </c>
      <c r="AA558" s="31"/>
      <c r="AB558" s="61"/>
      <c r="AD558" s="31"/>
      <c r="AE558" s="61"/>
      <c r="AQ558">
        <v>1</v>
      </c>
    </row>
    <row r="559" spans="1:43" x14ac:dyDescent="0.3">
      <c r="A559" t="s">
        <v>4536</v>
      </c>
      <c r="AA559" s="31"/>
      <c r="AB559" s="61"/>
      <c r="AD559" s="31"/>
      <c r="AE559" s="61"/>
      <c r="AQ559">
        <v>1</v>
      </c>
    </row>
    <row r="560" spans="1:43" x14ac:dyDescent="0.3">
      <c r="A560" t="s">
        <v>4537</v>
      </c>
      <c r="AA560" s="31"/>
      <c r="AB560" s="61"/>
      <c r="AD560" s="31"/>
      <c r="AE560" s="61"/>
      <c r="AQ560">
        <v>1</v>
      </c>
    </row>
    <row r="561" spans="1:43" x14ac:dyDescent="0.3">
      <c r="A561" t="s">
        <v>4538</v>
      </c>
      <c r="AA561" s="31"/>
      <c r="AB561" s="61"/>
      <c r="AD561" s="31"/>
      <c r="AE561" s="61"/>
      <c r="AQ561">
        <v>1</v>
      </c>
    </row>
    <row r="562" spans="1:43" x14ac:dyDescent="0.3">
      <c r="A562" t="s">
        <v>4539</v>
      </c>
      <c r="AA562" s="31"/>
      <c r="AB562" s="61"/>
      <c r="AD562" s="31"/>
      <c r="AE562" s="61"/>
      <c r="AQ562">
        <v>1</v>
      </c>
    </row>
    <row r="563" spans="1:43" x14ac:dyDescent="0.3">
      <c r="A563" t="s">
        <v>4540</v>
      </c>
      <c r="D563">
        <v>9517464000144</v>
      </c>
      <c r="E563" t="s">
        <v>625</v>
      </c>
      <c r="F563" t="s">
        <v>4541</v>
      </c>
      <c r="G563" t="s">
        <v>3584</v>
      </c>
      <c r="I563" t="s">
        <v>2207</v>
      </c>
      <c r="K563" t="s">
        <v>778</v>
      </c>
      <c r="O563" t="s">
        <v>1419</v>
      </c>
      <c r="P563" t="s">
        <v>319</v>
      </c>
      <c r="Q563" t="s">
        <v>3417</v>
      </c>
      <c r="S563" t="s">
        <v>4542</v>
      </c>
      <c r="T563" t="s">
        <v>4543</v>
      </c>
      <c r="V563" t="s">
        <v>4544</v>
      </c>
      <c r="Y563" t="s">
        <v>782</v>
      </c>
      <c r="AA563" s="31"/>
      <c r="AB563" s="61"/>
      <c r="AD563" s="31"/>
      <c r="AE563" s="61"/>
      <c r="AH563" t="s">
        <v>1423</v>
      </c>
      <c r="AL563" t="s">
        <v>69</v>
      </c>
      <c r="AQ563">
        <v>1</v>
      </c>
    </row>
    <row r="564" spans="1:43" x14ac:dyDescent="0.3">
      <c r="A564" t="s">
        <v>31</v>
      </c>
      <c r="B564">
        <v>898</v>
      </c>
      <c r="D564">
        <v>3214</v>
      </c>
      <c r="E564" t="s">
        <v>4545</v>
      </c>
      <c r="AA564" s="31"/>
      <c r="AB564" s="61"/>
      <c r="AD564" s="31"/>
      <c r="AE564" s="61"/>
      <c r="AQ564">
        <v>1</v>
      </c>
    </row>
    <row r="565" spans="1:43" x14ac:dyDescent="0.3">
      <c r="A565" t="s">
        <v>4546</v>
      </c>
      <c r="D565">
        <v>45028964000186</v>
      </c>
      <c r="F565" t="s">
        <v>4234</v>
      </c>
      <c r="G565" t="s">
        <v>4547</v>
      </c>
      <c r="I565" t="s">
        <v>4236</v>
      </c>
      <c r="K565" t="s">
        <v>778</v>
      </c>
      <c r="O565" t="s">
        <v>1718</v>
      </c>
      <c r="P565" t="s">
        <v>319</v>
      </c>
      <c r="Q565" t="s">
        <v>3606</v>
      </c>
      <c r="V565" t="s">
        <v>4544</v>
      </c>
      <c r="Y565" t="s">
        <v>782</v>
      </c>
      <c r="AA565" s="31"/>
      <c r="AB565" s="61"/>
      <c r="AD565" s="31"/>
      <c r="AE565" s="61"/>
      <c r="AF565" t="s">
        <v>420</v>
      </c>
      <c r="AH565" t="s">
        <v>2119</v>
      </c>
      <c r="AQ565">
        <v>1</v>
      </c>
    </row>
    <row r="566" spans="1:43" x14ac:dyDescent="0.3">
      <c r="A566" t="s">
        <v>31</v>
      </c>
      <c r="B566">
        <v>899</v>
      </c>
      <c r="C566">
        <v>210</v>
      </c>
      <c r="D566">
        <v>3215</v>
      </c>
      <c r="E566" t="s">
        <v>4548</v>
      </c>
      <c r="AA566" s="31"/>
      <c r="AB566" s="61"/>
      <c r="AD566" s="31"/>
      <c r="AE566" s="61"/>
      <c r="AQ566">
        <v>1</v>
      </c>
    </row>
    <row r="567" spans="1:43" x14ac:dyDescent="0.3">
      <c r="A567" t="s">
        <v>4549</v>
      </c>
      <c r="D567">
        <v>51781567000183</v>
      </c>
      <c r="E567" t="s">
        <v>3886</v>
      </c>
      <c r="F567" t="s">
        <v>1804</v>
      </c>
      <c r="G567" t="s">
        <v>3887</v>
      </c>
      <c r="I567" t="s">
        <v>3888</v>
      </c>
      <c r="K567" t="s">
        <v>3889</v>
      </c>
      <c r="M567" t="s">
        <v>932</v>
      </c>
      <c r="O567" t="s">
        <v>1718</v>
      </c>
      <c r="P567" t="s">
        <v>319</v>
      </c>
      <c r="Q567" t="s">
        <v>816</v>
      </c>
      <c r="S567" t="s">
        <v>4550</v>
      </c>
      <c r="T567" t="s">
        <v>4551</v>
      </c>
      <c r="V567" t="s">
        <v>4552</v>
      </c>
      <c r="Y567" t="s">
        <v>782</v>
      </c>
      <c r="AA567" s="31"/>
      <c r="AB567" s="61"/>
      <c r="AD567" s="31"/>
      <c r="AE567" s="61"/>
      <c r="AH567" t="s">
        <v>2119</v>
      </c>
      <c r="AL567" t="s">
        <v>52</v>
      </c>
      <c r="AQ567">
        <v>1</v>
      </c>
    </row>
    <row r="568" spans="1:43" x14ac:dyDescent="0.3">
      <c r="A568" t="s">
        <v>31</v>
      </c>
      <c r="B568">
        <v>904</v>
      </c>
      <c r="D568">
        <v>3221</v>
      </c>
      <c r="E568" t="s">
        <v>4553</v>
      </c>
      <c r="AA568" s="31"/>
      <c r="AB568" s="61"/>
      <c r="AD568" s="31"/>
      <c r="AE568" s="61"/>
      <c r="AQ568">
        <v>1</v>
      </c>
    </row>
    <row r="569" spans="1:43" x14ac:dyDescent="0.3">
      <c r="A569" t="s">
        <v>4554</v>
      </c>
      <c r="D569">
        <v>10303813000104</v>
      </c>
      <c r="F569" t="s">
        <v>4555</v>
      </c>
      <c r="G569" t="s">
        <v>4556</v>
      </c>
      <c r="I569" t="s">
        <v>4384</v>
      </c>
      <c r="K569" t="s">
        <v>778</v>
      </c>
      <c r="O569" t="s">
        <v>1704</v>
      </c>
      <c r="P569" t="s">
        <v>319</v>
      </c>
      <c r="Q569" t="s">
        <v>816</v>
      </c>
      <c r="S569" t="s">
        <v>4275</v>
      </c>
      <c r="T569" t="s">
        <v>4557</v>
      </c>
      <c r="V569" t="s">
        <v>4558</v>
      </c>
      <c r="Y569" t="s">
        <v>818</v>
      </c>
      <c r="AA569" s="31"/>
      <c r="AB569" s="61"/>
      <c r="AD569" s="31"/>
      <c r="AE569" s="61"/>
      <c r="AH569" t="s">
        <v>1970</v>
      </c>
      <c r="AQ569">
        <v>1</v>
      </c>
    </row>
    <row r="570" spans="1:43" x14ac:dyDescent="0.3">
      <c r="A570" t="s">
        <v>31</v>
      </c>
      <c r="B570">
        <v>905</v>
      </c>
      <c r="C570">
        <v>147</v>
      </c>
      <c r="D570">
        <v>3223</v>
      </c>
      <c r="G570" t="s">
        <v>456</v>
      </c>
      <c r="H570">
        <v>7964558000136</v>
      </c>
      <c r="I570" t="s">
        <v>3430</v>
      </c>
      <c r="J570" t="s">
        <v>3431</v>
      </c>
      <c r="K570" t="s">
        <v>3515</v>
      </c>
      <c r="M570" t="s">
        <v>3433</v>
      </c>
      <c r="O570" t="s">
        <v>778</v>
      </c>
      <c r="S570" t="s">
        <v>1718</v>
      </c>
      <c r="T570" t="s">
        <v>319</v>
      </c>
      <c r="U570" t="s">
        <v>3417</v>
      </c>
      <c r="W570">
        <v>1680</v>
      </c>
      <c r="X570">
        <v>7128</v>
      </c>
      <c r="Z570">
        <v>14</v>
      </c>
      <c r="AA570" s="31">
        <v>46058</v>
      </c>
      <c r="AB570" s="61">
        <v>0.47660879629629632</v>
      </c>
      <c r="AC570" t="s">
        <v>782</v>
      </c>
      <c r="AD570" s="31"/>
      <c r="AE570" s="61"/>
      <c r="AH570" t="s">
        <v>449</v>
      </c>
      <c r="AI570" t="s">
        <v>4559</v>
      </c>
      <c r="AK570" t="s">
        <v>449</v>
      </c>
      <c r="AL570" t="s">
        <v>2119</v>
      </c>
      <c r="AQ570">
        <v>1</v>
      </c>
    </row>
    <row r="571" spans="1:43" x14ac:dyDescent="0.3">
      <c r="A571" t="s">
        <v>31</v>
      </c>
      <c r="B571">
        <v>910</v>
      </c>
      <c r="D571">
        <v>3246</v>
      </c>
      <c r="E571" t="s">
        <v>4560</v>
      </c>
      <c r="G571" t="s">
        <v>4561</v>
      </c>
      <c r="H571">
        <v>55585815000171</v>
      </c>
      <c r="J571" t="s">
        <v>914</v>
      </c>
      <c r="K571" t="s">
        <v>4181</v>
      </c>
      <c r="M571" t="s">
        <v>4182</v>
      </c>
      <c r="O571" t="s">
        <v>778</v>
      </c>
      <c r="T571" t="s">
        <v>319</v>
      </c>
      <c r="U571" t="s">
        <v>3606</v>
      </c>
      <c r="Z571">
        <v>8</v>
      </c>
      <c r="AA571" s="31">
        <v>46064</v>
      </c>
      <c r="AB571" s="61">
        <v>0.4114814814814815</v>
      </c>
      <c r="AC571" t="s">
        <v>782</v>
      </c>
      <c r="AD571" s="31"/>
      <c r="AE571" s="61"/>
      <c r="AI571" t="s">
        <v>463</v>
      </c>
      <c r="AK571" t="s">
        <v>463</v>
      </c>
      <c r="AL571" t="s">
        <v>2119</v>
      </c>
      <c r="AP571" t="s">
        <v>2922</v>
      </c>
      <c r="AQ571">
        <v>1</v>
      </c>
    </row>
    <row r="572" spans="1:43" x14ac:dyDescent="0.3">
      <c r="A572" t="s">
        <v>31</v>
      </c>
      <c r="B572">
        <v>911</v>
      </c>
      <c r="D572">
        <v>3247</v>
      </c>
      <c r="E572" t="s">
        <v>4562</v>
      </c>
      <c r="AA572" s="31"/>
      <c r="AB572" s="61"/>
      <c r="AD572" s="31"/>
      <c r="AE572" s="61"/>
      <c r="AQ572">
        <v>1</v>
      </c>
    </row>
    <row r="573" spans="1:43" x14ac:dyDescent="0.3">
      <c r="A573" t="s">
        <v>4563</v>
      </c>
      <c r="E573" t="s">
        <v>4564</v>
      </c>
      <c r="G573" t="s">
        <v>4565</v>
      </c>
      <c r="J573" t="s">
        <v>4096</v>
      </c>
      <c r="Q573" t="s">
        <v>319</v>
      </c>
      <c r="R573" t="s">
        <v>3417</v>
      </c>
      <c r="T573" t="s">
        <v>4542</v>
      </c>
      <c r="U573" t="s">
        <v>4566</v>
      </c>
      <c r="W573">
        <v>8</v>
      </c>
      <c r="Y573" t="s">
        <v>4567</v>
      </c>
      <c r="AA573" s="31"/>
      <c r="AB573" s="61"/>
      <c r="AD573" s="31"/>
      <c r="AE573" s="61"/>
      <c r="AF573" t="s">
        <v>463</v>
      </c>
      <c r="AH573" t="s">
        <v>4568</v>
      </c>
      <c r="AI573" t="s">
        <v>2119</v>
      </c>
      <c r="AM573" t="s">
        <v>69</v>
      </c>
      <c r="AQ573">
        <v>1</v>
      </c>
    </row>
    <row r="574" spans="1:43" x14ac:dyDescent="0.3">
      <c r="A574" t="s">
        <v>31</v>
      </c>
      <c r="B574">
        <v>913</v>
      </c>
      <c r="C574">
        <v>173</v>
      </c>
      <c r="D574">
        <v>3251</v>
      </c>
      <c r="E574" t="s">
        <v>4569</v>
      </c>
      <c r="AA574" s="31"/>
      <c r="AB574" s="61"/>
      <c r="AD574" s="31"/>
      <c r="AE574" s="61"/>
      <c r="AQ574">
        <v>1</v>
      </c>
    </row>
    <row r="575" spans="1:43" x14ac:dyDescent="0.3">
      <c r="A575" t="s">
        <v>4570</v>
      </c>
      <c r="D575">
        <v>27914031000104</v>
      </c>
      <c r="E575" t="s">
        <v>3495</v>
      </c>
      <c r="F575" t="s">
        <v>3496</v>
      </c>
      <c r="G575" t="s">
        <v>3497</v>
      </c>
      <c r="I575" t="s">
        <v>3498</v>
      </c>
      <c r="K575" t="s">
        <v>3499</v>
      </c>
      <c r="M575" t="s">
        <v>790</v>
      </c>
      <c r="P575" t="s">
        <v>319</v>
      </c>
      <c r="Q575" t="s">
        <v>3606</v>
      </c>
      <c r="V575" t="s">
        <v>4294</v>
      </c>
      <c r="Y575" t="s">
        <v>782</v>
      </c>
      <c r="AA575" s="31"/>
      <c r="AB575" s="61"/>
      <c r="AD575" s="31"/>
      <c r="AE575" s="61"/>
      <c r="AH575" t="s">
        <v>2119</v>
      </c>
      <c r="AL575" t="s">
        <v>2605</v>
      </c>
      <c r="AQ575">
        <v>1</v>
      </c>
    </row>
    <row r="576" spans="1:43" x14ac:dyDescent="0.3">
      <c r="A576" t="s">
        <v>31</v>
      </c>
      <c r="B576">
        <v>914</v>
      </c>
      <c r="C576">
        <v>147</v>
      </c>
      <c r="D576">
        <v>3252</v>
      </c>
      <c r="E576" t="s">
        <v>4571</v>
      </c>
      <c r="G576" t="s">
        <v>473</v>
      </c>
      <c r="H576">
        <v>7964558000136</v>
      </c>
      <c r="I576" t="s">
        <v>3430</v>
      </c>
      <c r="J576" t="s">
        <v>3431</v>
      </c>
      <c r="K576" t="s">
        <v>3515</v>
      </c>
      <c r="M576" t="s">
        <v>3433</v>
      </c>
      <c r="O576" t="s">
        <v>778</v>
      </c>
      <c r="T576" t="s">
        <v>319</v>
      </c>
      <c r="U576" t="s">
        <v>3417</v>
      </c>
      <c r="W576">
        <v>1680</v>
      </c>
      <c r="X576">
        <v>7128</v>
      </c>
      <c r="Z576">
        <v>8</v>
      </c>
      <c r="AA576" s="31">
        <v>46064</v>
      </c>
      <c r="AB576" s="61">
        <v>0.42469907407407409</v>
      </c>
      <c r="AC576" t="s">
        <v>782</v>
      </c>
      <c r="AD576" s="31"/>
      <c r="AE576" s="61"/>
      <c r="AH576" t="s">
        <v>403</v>
      </c>
      <c r="AI576" t="s">
        <v>4572</v>
      </c>
      <c r="AK576" t="s">
        <v>463</v>
      </c>
      <c r="AL576" t="s">
        <v>2119</v>
      </c>
      <c r="AP576" t="s">
        <v>2605</v>
      </c>
      <c r="AQ576">
        <v>1</v>
      </c>
    </row>
    <row r="577" spans="1:43" x14ac:dyDescent="0.3">
      <c r="A577" t="s">
        <v>31</v>
      </c>
      <c r="B577">
        <v>916</v>
      </c>
      <c r="C577">
        <v>196</v>
      </c>
      <c r="D577">
        <v>3254</v>
      </c>
      <c r="E577" t="s">
        <v>4573</v>
      </c>
      <c r="AA577" s="31"/>
      <c r="AB577" s="61"/>
      <c r="AD577" s="31"/>
      <c r="AE577" s="61"/>
      <c r="AQ577">
        <v>1</v>
      </c>
    </row>
    <row r="578" spans="1:43" x14ac:dyDescent="0.3">
      <c r="A578" t="s">
        <v>4574</v>
      </c>
      <c r="AA578" s="31"/>
      <c r="AB578" s="61"/>
      <c r="AD578" s="31"/>
      <c r="AE578" s="61"/>
      <c r="AQ578">
        <v>1</v>
      </c>
    </row>
    <row r="579" spans="1:43" x14ac:dyDescent="0.3">
      <c r="A579" t="s">
        <v>4575</v>
      </c>
      <c r="AA579" s="31"/>
      <c r="AB579" s="61"/>
      <c r="AD579" s="31"/>
      <c r="AE579" s="61"/>
      <c r="AQ579">
        <v>1</v>
      </c>
    </row>
    <row r="580" spans="1:43" x14ac:dyDescent="0.3">
      <c r="A580" t="s">
        <v>4576</v>
      </c>
      <c r="D580">
        <v>32494222000102</v>
      </c>
      <c r="E580" t="s">
        <v>3715</v>
      </c>
      <c r="F580" t="s">
        <v>3716</v>
      </c>
      <c r="G580" t="s">
        <v>3717</v>
      </c>
      <c r="I580" t="s">
        <v>3718</v>
      </c>
      <c r="K580" t="s">
        <v>3719</v>
      </c>
      <c r="M580" t="s">
        <v>790</v>
      </c>
      <c r="P580" t="s">
        <v>319</v>
      </c>
      <c r="Q580" t="s">
        <v>3417</v>
      </c>
      <c r="S580" t="s">
        <v>4550</v>
      </c>
      <c r="T580" t="s">
        <v>4551</v>
      </c>
      <c r="V580" t="s">
        <v>4294</v>
      </c>
      <c r="Y580" t="s">
        <v>782</v>
      </c>
      <c r="AA580" s="31"/>
      <c r="AB580" s="61"/>
      <c r="AD580" s="31"/>
      <c r="AE580" s="61"/>
      <c r="AH580" t="s">
        <v>2119</v>
      </c>
      <c r="AL580" t="s">
        <v>52</v>
      </c>
      <c r="AQ580">
        <v>1</v>
      </c>
    </row>
    <row r="581" spans="1:43" x14ac:dyDescent="0.3">
      <c r="A581" t="s">
        <v>31</v>
      </c>
      <c r="B581">
        <v>917</v>
      </c>
      <c r="C581">
        <v>196</v>
      </c>
      <c r="D581">
        <v>3255</v>
      </c>
      <c r="E581" t="s">
        <v>4573</v>
      </c>
      <c r="AA581" s="31"/>
      <c r="AB581" s="61"/>
      <c r="AD581" s="31"/>
      <c r="AE581" s="61"/>
      <c r="AQ581">
        <v>1</v>
      </c>
    </row>
    <row r="582" spans="1:43" x14ac:dyDescent="0.3">
      <c r="A582" t="s">
        <v>4574</v>
      </c>
      <c r="AA582" s="31"/>
      <c r="AB582" s="61"/>
      <c r="AD582" s="31"/>
      <c r="AE582" s="61"/>
      <c r="AQ582">
        <v>1</v>
      </c>
    </row>
    <row r="583" spans="1:43" x14ac:dyDescent="0.3">
      <c r="A583" t="s">
        <v>4575</v>
      </c>
      <c r="E583" t="s">
        <v>4577</v>
      </c>
      <c r="F583" t="s">
        <v>4578</v>
      </c>
      <c r="G583" t="s">
        <v>3715</v>
      </c>
      <c r="I583" t="s">
        <v>3717</v>
      </c>
      <c r="K583" t="s">
        <v>3718</v>
      </c>
      <c r="M583" t="s">
        <v>3719</v>
      </c>
      <c r="N583" t="s">
        <v>3720</v>
      </c>
      <c r="O583" t="s">
        <v>790</v>
      </c>
      <c r="R583" t="s">
        <v>319</v>
      </c>
      <c r="S583" t="s">
        <v>816</v>
      </c>
      <c r="U583" t="s">
        <v>4579</v>
      </c>
      <c r="V583" t="s">
        <v>4275</v>
      </c>
      <c r="X583">
        <v>8</v>
      </c>
      <c r="Y583" t="s">
        <v>403</v>
      </c>
      <c r="AA583" s="31"/>
      <c r="AB583" s="61"/>
      <c r="AD583" s="31"/>
      <c r="AE583" s="61"/>
      <c r="AF583" t="s">
        <v>484</v>
      </c>
      <c r="AI583" t="s">
        <v>4568</v>
      </c>
      <c r="AJ583" t="s">
        <v>4580</v>
      </c>
      <c r="AN583" t="s">
        <v>4581</v>
      </c>
      <c r="AQ583">
        <v>1</v>
      </c>
    </row>
    <row r="584" spans="1:43" x14ac:dyDescent="0.3">
      <c r="A584" t="s">
        <v>31</v>
      </c>
      <c r="B584">
        <v>918</v>
      </c>
      <c r="C584">
        <v>196</v>
      </c>
      <c r="D584">
        <v>3256</v>
      </c>
      <c r="E584" t="s">
        <v>4573</v>
      </c>
      <c r="AA584" s="31"/>
      <c r="AB584" s="61"/>
      <c r="AD584" s="31"/>
      <c r="AE584" s="61"/>
      <c r="AQ584">
        <v>1</v>
      </c>
    </row>
    <row r="585" spans="1:43" x14ac:dyDescent="0.3">
      <c r="A585" t="s">
        <v>4574</v>
      </c>
      <c r="AA585" s="31"/>
      <c r="AB585" s="61"/>
      <c r="AD585" s="31"/>
      <c r="AE585" s="61"/>
      <c r="AQ585">
        <v>1</v>
      </c>
    </row>
    <row r="586" spans="1:43" x14ac:dyDescent="0.3">
      <c r="A586" t="s">
        <v>4575</v>
      </c>
      <c r="AA586" s="31"/>
      <c r="AB586" s="61"/>
      <c r="AD586" s="31"/>
      <c r="AE586" s="61"/>
      <c r="AQ586">
        <v>1</v>
      </c>
    </row>
    <row r="587" spans="1:43" x14ac:dyDescent="0.3">
      <c r="A587" t="s">
        <v>4582</v>
      </c>
      <c r="D587">
        <v>32494222000102</v>
      </c>
      <c r="E587" t="s">
        <v>3715</v>
      </c>
      <c r="F587" t="s">
        <v>3716</v>
      </c>
      <c r="G587" t="s">
        <v>3717</v>
      </c>
      <c r="I587" t="s">
        <v>3718</v>
      </c>
      <c r="K587" t="s">
        <v>3719</v>
      </c>
      <c r="M587" t="s">
        <v>790</v>
      </c>
      <c r="P587" t="s">
        <v>319</v>
      </c>
      <c r="Q587" t="s">
        <v>816</v>
      </c>
      <c r="S587" t="s">
        <v>4505</v>
      </c>
      <c r="T587" t="s">
        <v>4583</v>
      </c>
      <c r="V587" t="s">
        <v>4294</v>
      </c>
      <c r="Y587" t="s">
        <v>782</v>
      </c>
      <c r="AA587" s="31"/>
      <c r="AB587" s="61"/>
      <c r="AD587" s="31"/>
      <c r="AE587" s="61"/>
      <c r="AH587" t="s">
        <v>2119</v>
      </c>
      <c r="AL587" t="s">
        <v>53</v>
      </c>
      <c r="AQ587">
        <v>1</v>
      </c>
    </row>
    <row r="588" spans="1:43" x14ac:dyDescent="0.3">
      <c r="A588" t="s">
        <v>31</v>
      </c>
      <c r="B588">
        <v>939</v>
      </c>
      <c r="C588">
        <v>207</v>
      </c>
      <c r="D588">
        <v>3272</v>
      </c>
      <c r="E588" t="s">
        <v>4584</v>
      </c>
      <c r="G588" t="s">
        <v>492</v>
      </c>
      <c r="H588">
        <v>43609706000168</v>
      </c>
      <c r="I588" t="s">
        <v>3839</v>
      </c>
      <c r="J588" t="s">
        <v>1804</v>
      </c>
      <c r="K588" t="s">
        <v>3840</v>
      </c>
      <c r="M588" t="s">
        <v>3841</v>
      </c>
      <c r="O588" t="s">
        <v>3842</v>
      </c>
      <c r="P588" t="s">
        <v>3843</v>
      </c>
      <c r="Q588" t="s">
        <v>932</v>
      </c>
      <c r="T588" t="s">
        <v>319</v>
      </c>
      <c r="U588" t="s">
        <v>3417</v>
      </c>
      <c r="W588">
        <v>13100</v>
      </c>
      <c r="X588">
        <v>1700</v>
      </c>
      <c r="Z588">
        <v>2</v>
      </c>
      <c r="AA588" s="31">
        <v>46070</v>
      </c>
      <c r="AB588" s="61">
        <v>0.41354166666666659</v>
      </c>
      <c r="AC588" t="s">
        <v>782</v>
      </c>
      <c r="AD588" s="31"/>
      <c r="AE588" s="61"/>
      <c r="AH588" t="s">
        <v>493</v>
      </c>
      <c r="AK588" t="s">
        <v>493</v>
      </c>
      <c r="AL588" t="s">
        <v>2119</v>
      </c>
      <c r="AP588" t="s">
        <v>69</v>
      </c>
      <c r="AQ588">
        <v>1</v>
      </c>
    </row>
    <row r="589" spans="1:43" x14ac:dyDescent="0.3">
      <c r="A589" t="s">
        <v>31</v>
      </c>
      <c r="B589">
        <v>940</v>
      </c>
      <c r="C589">
        <v>170</v>
      </c>
      <c r="D589">
        <v>3273</v>
      </c>
      <c r="G589" t="s">
        <v>496</v>
      </c>
      <c r="H589">
        <v>4150555001304</v>
      </c>
      <c r="I589" t="s">
        <v>3477</v>
      </c>
      <c r="J589" t="s">
        <v>4585</v>
      </c>
      <c r="K589" t="s">
        <v>3569</v>
      </c>
      <c r="M589" t="s">
        <v>3480</v>
      </c>
      <c r="O589" t="s">
        <v>3481</v>
      </c>
      <c r="P589" t="s">
        <v>3482</v>
      </c>
      <c r="Q589" t="s">
        <v>1699</v>
      </c>
      <c r="T589" t="s">
        <v>319</v>
      </c>
      <c r="U589" t="s">
        <v>3417</v>
      </c>
      <c r="W589">
        <v>1680</v>
      </c>
      <c r="X589">
        <v>0</v>
      </c>
      <c r="Z589">
        <v>2</v>
      </c>
      <c r="AA589" s="31">
        <v>46070</v>
      </c>
      <c r="AB589" s="61">
        <v>0.41755787037037029</v>
      </c>
      <c r="AC589" t="s">
        <v>782</v>
      </c>
      <c r="AD589" s="31"/>
      <c r="AE589" s="61"/>
      <c r="AH589" t="s">
        <v>497</v>
      </c>
      <c r="AK589" t="s">
        <v>497</v>
      </c>
      <c r="AL589" t="s">
        <v>2119</v>
      </c>
      <c r="AP589" t="s">
        <v>318</v>
      </c>
      <c r="AQ589">
        <v>1</v>
      </c>
    </row>
    <row r="590" spans="1:43" x14ac:dyDescent="0.3">
      <c r="A590" t="s">
        <v>31</v>
      </c>
      <c r="B590">
        <v>941</v>
      </c>
      <c r="C590">
        <v>181</v>
      </c>
      <c r="D590">
        <v>3274</v>
      </c>
      <c r="G590" t="s">
        <v>499</v>
      </c>
      <c r="H590">
        <v>43204189000147</v>
      </c>
      <c r="I590" t="s">
        <v>3612</v>
      </c>
      <c r="J590" t="s">
        <v>990</v>
      </c>
      <c r="K590" t="s">
        <v>3613</v>
      </c>
      <c r="M590" t="s">
        <v>3614</v>
      </c>
      <c r="O590" t="s">
        <v>3615</v>
      </c>
      <c r="P590" t="s">
        <v>3616</v>
      </c>
      <c r="Q590" t="s">
        <v>790</v>
      </c>
      <c r="T590" t="s">
        <v>319</v>
      </c>
      <c r="U590" t="s">
        <v>3417</v>
      </c>
      <c r="W590">
        <v>1600</v>
      </c>
      <c r="X590">
        <v>384454</v>
      </c>
      <c r="Z590">
        <v>2</v>
      </c>
      <c r="AA590" s="31">
        <v>46070</v>
      </c>
      <c r="AB590" s="61">
        <v>0.42311342592592588</v>
      </c>
      <c r="AC590" t="s">
        <v>782</v>
      </c>
      <c r="AD590" s="31"/>
      <c r="AE590" s="61"/>
      <c r="AH590" t="s">
        <v>500</v>
      </c>
      <c r="AK590" t="s">
        <v>497</v>
      </c>
      <c r="AL590" t="s">
        <v>2119</v>
      </c>
      <c r="AP590" t="s">
        <v>53</v>
      </c>
      <c r="AQ590">
        <v>1</v>
      </c>
    </row>
    <row r="591" spans="1:43" x14ac:dyDescent="0.3">
      <c r="A591" t="s">
        <v>31</v>
      </c>
      <c r="B591">
        <v>942</v>
      </c>
      <c r="C591">
        <v>103</v>
      </c>
      <c r="D591">
        <v>3275</v>
      </c>
      <c r="E591" t="s">
        <v>4586</v>
      </c>
      <c r="G591" t="s">
        <v>4587</v>
      </c>
      <c r="H591">
        <v>12549273000179</v>
      </c>
      <c r="I591" t="s">
        <v>3309</v>
      </c>
      <c r="J591" t="s">
        <v>1804</v>
      </c>
      <c r="M591" t="s">
        <v>3312</v>
      </c>
      <c r="O591" t="s">
        <v>3313</v>
      </c>
      <c r="P591" t="s">
        <v>1596</v>
      </c>
      <c r="Q591" t="s">
        <v>790</v>
      </c>
      <c r="T591" t="s">
        <v>319</v>
      </c>
      <c r="U591" t="s">
        <v>3606</v>
      </c>
      <c r="Z591">
        <v>2</v>
      </c>
      <c r="AA591" s="31">
        <v>46070</v>
      </c>
      <c r="AB591" s="61">
        <v>0.43594907407407413</v>
      </c>
      <c r="AC591" t="s">
        <v>782</v>
      </c>
      <c r="AD591" s="31"/>
      <c r="AE591" s="61"/>
      <c r="AI591" t="s">
        <v>497</v>
      </c>
      <c r="AK591" t="s">
        <v>497</v>
      </c>
      <c r="AL591" t="s">
        <v>2119</v>
      </c>
      <c r="AP591" t="s">
        <v>2922</v>
      </c>
      <c r="AQ591">
        <v>1</v>
      </c>
    </row>
    <row r="592" spans="1:43" x14ac:dyDescent="0.3">
      <c r="A592" t="s">
        <v>31</v>
      </c>
      <c r="B592">
        <v>943</v>
      </c>
      <c r="C592">
        <v>149</v>
      </c>
      <c r="D592">
        <v>3276</v>
      </c>
      <c r="G592" t="s">
        <v>4588</v>
      </c>
      <c r="H592">
        <v>12418196000118</v>
      </c>
      <c r="I592" t="s">
        <v>3645</v>
      </c>
      <c r="J592" t="s">
        <v>844</v>
      </c>
      <c r="K592" t="s">
        <v>3647</v>
      </c>
      <c r="M592" t="s">
        <v>3648</v>
      </c>
      <c r="O592" t="s">
        <v>778</v>
      </c>
      <c r="T592" t="s">
        <v>319</v>
      </c>
      <c r="U592" t="s">
        <v>3417</v>
      </c>
      <c r="W592">
        <v>1680</v>
      </c>
      <c r="X592">
        <v>3564</v>
      </c>
      <c r="Z592">
        <v>2</v>
      </c>
      <c r="AA592" s="31">
        <v>46070</v>
      </c>
      <c r="AB592" s="61">
        <v>0.6010416666666667</v>
      </c>
      <c r="AC592" t="s">
        <v>782</v>
      </c>
      <c r="AD592" s="31"/>
      <c r="AE592" s="61"/>
      <c r="AH592" t="s">
        <v>497</v>
      </c>
      <c r="AK592" t="s">
        <v>497</v>
      </c>
      <c r="AL592" t="s">
        <v>2119</v>
      </c>
      <c r="AP592" t="s">
        <v>318</v>
      </c>
      <c r="AQ592">
        <v>1</v>
      </c>
    </row>
    <row r="593" spans="1:43" x14ac:dyDescent="0.3">
      <c r="A593" t="s">
        <v>31</v>
      </c>
      <c r="B593">
        <v>944</v>
      </c>
      <c r="C593">
        <v>149</v>
      </c>
      <c r="D593">
        <v>3277</v>
      </c>
      <c r="E593" t="s">
        <v>4589</v>
      </c>
      <c r="G593" t="s">
        <v>504</v>
      </c>
      <c r="H593">
        <v>12418196000118</v>
      </c>
      <c r="I593" t="s">
        <v>3645</v>
      </c>
      <c r="J593" t="s">
        <v>844</v>
      </c>
      <c r="K593" t="s">
        <v>3647</v>
      </c>
      <c r="M593" t="s">
        <v>3648</v>
      </c>
      <c r="O593" t="s">
        <v>778</v>
      </c>
      <c r="T593" t="s">
        <v>319</v>
      </c>
      <c r="U593" t="s">
        <v>3417</v>
      </c>
      <c r="W593">
        <v>1680</v>
      </c>
      <c r="X593">
        <v>0</v>
      </c>
      <c r="Z593">
        <v>2</v>
      </c>
      <c r="AA593" s="31">
        <v>46070</v>
      </c>
      <c r="AB593" s="61">
        <v>0.63858796296296294</v>
      </c>
      <c r="AC593" t="s">
        <v>782</v>
      </c>
      <c r="AD593" s="31"/>
      <c r="AE593" s="61"/>
      <c r="AH593" t="s">
        <v>497</v>
      </c>
      <c r="AK593" t="s">
        <v>497</v>
      </c>
      <c r="AL593" t="s">
        <v>2119</v>
      </c>
      <c r="AP593" t="s">
        <v>318</v>
      </c>
      <c r="AQ593">
        <v>1</v>
      </c>
    </row>
    <row r="594" spans="1:43" x14ac:dyDescent="0.3">
      <c r="A594" t="s">
        <v>31</v>
      </c>
      <c r="B594">
        <v>947</v>
      </c>
      <c r="C594">
        <v>194</v>
      </c>
      <c r="D594">
        <v>3281</v>
      </c>
      <c r="E594" t="s">
        <v>4590</v>
      </c>
      <c r="G594" t="s">
        <v>506</v>
      </c>
      <c r="H594">
        <v>44580314000186</v>
      </c>
      <c r="I594" t="s">
        <v>3682</v>
      </c>
      <c r="J594" t="s">
        <v>4411</v>
      </c>
      <c r="K594" t="s">
        <v>4591</v>
      </c>
      <c r="M594" t="s">
        <v>3685</v>
      </c>
      <c r="O594" t="s">
        <v>3686</v>
      </c>
      <c r="P594" t="s">
        <v>3687</v>
      </c>
      <c r="Q594" t="s">
        <v>790</v>
      </c>
      <c r="T594" t="s">
        <v>319</v>
      </c>
      <c r="U594" t="s">
        <v>3417</v>
      </c>
      <c r="W594">
        <v>3024</v>
      </c>
      <c r="X594">
        <v>1080</v>
      </c>
      <c r="Z594">
        <v>1</v>
      </c>
      <c r="AA594" s="31">
        <v>46071</v>
      </c>
      <c r="AB594" s="61">
        <v>0.39603009259259259</v>
      </c>
      <c r="AC594" t="s">
        <v>782</v>
      </c>
      <c r="AD594" s="31"/>
      <c r="AE594" s="61"/>
      <c r="AH594" t="s">
        <v>507</v>
      </c>
      <c r="AK594" t="s">
        <v>507</v>
      </c>
      <c r="AL594" t="s">
        <v>1423</v>
      </c>
      <c r="AP594" t="s">
        <v>52</v>
      </c>
      <c r="AQ594">
        <v>1</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491"/>
  <sheetViews>
    <sheetView workbookViewId="0">
      <selection activeCell="AK490" sqref="AK490"/>
    </sheetView>
  </sheetViews>
  <sheetFormatPr defaultRowHeight="14.4" x14ac:dyDescent="0.3"/>
  <cols>
    <col min="1" max="1" width="17.88671875" bestFit="1" customWidth="1"/>
    <col min="2" max="2" width="15.6640625" bestFit="1" customWidth="1"/>
    <col min="3" max="3" width="12.109375" bestFit="1" customWidth="1"/>
    <col min="4" max="4" width="12.6640625" bestFit="1" customWidth="1"/>
    <col min="5" max="5" width="80.88671875" bestFit="1" customWidth="1"/>
    <col min="6" max="6" width="13.88671875" bestFit="1" customWidth="1"/>
    <col min="7" max="7" width="80.88671875" bestFit="1" customWidth="1"/>
    <col min="8" max="8" width="12" bestFit="1" customWidth="1"/>
    <col min="9" max="9" width="80.88671875" bestFit="1" customWidth="1"/>
    <col min="10" max="11" width="64.88671875" bestFit="1" customWidth="1"/>
    <col min="12" max="12" width="41.6640625" bestFit="1" customWidth="1"/>
    <col min="13" max="13" width="20" bestFit="1" customWidth="1"/>
    <col min="14" max="14" width="42.88671875" bestFit="1" customWidth="1"/>
    <col min="15" max="15" width="11.33203125" bestFit="1" customWidth="1"/>
    <col min="16" max="16" width="64.5546875" bestFit="1" customWidth="1"/>
    <col min="17" max="17" width="23" bestFit="1" customWidth="1"/>
    <col min="18" max="18" width="9.109375" bestFit="1" customWidth="1"/>
    <col min="19" max="19" width="14.88671875" bestFit="1" customWidth="1"/>
    <col min="20" max="20" width="22.6640625" bestFit="1" customWidth="1"/>
    <col min="21" max="21" width="20.6640625" bestFit="1" customWidth="1"/>
    <col min="22" max="22" width="24.88671875" bestFit="1" customWidth="1"/>
    <col min="23" max="23" width="31.88671875" bestFit="1" customWidth="1"/>
    <col min="24" max="24" width="12.33203125" bestFit="1" customWidth="1"/>
    <col min="25" max="25" width="14.44140625" bestFit="1" customWidth="1"/>
    <col min="26" max="26" width="14" bestFit="1" customWidth="1"/>
    <col min="27" max="27" width="24.109375" bestFit="1" customWidth="1"/>
    <col min="28" max="28" width="17.109375" bestFit="1" customWidth="1"/>
    <col min="29" max="29" width="17.33203125" bestFit="1" customWidth="1"/>
    <col min="30" max="30" width="8.6640625" bestFit="1" customWidth="1"/>
    <col min="31" max="31" width="21.88671875" bestFit="1" customWidth="1"/>
    <col min="32" max="32" width="22.109375" bestFit="1" customWidth="1"/>
    <col min="33" max="33" width="29.5546875" bestFit="1" customWidth="1"/>
    <col min="34" max="34" width="16.5546875" bestFit="1" customWidth="1"/>
    <col min="35" max="35" width="15.5546875" bestFit="1" customWidth="1"/>
    <col min="36" max="37" width="20.44140625" bestFit="1" customWidth="1"/>
    <col min="38" max="38" width="17.33203125" bestFit="1" customWidth="1"/>
    <col min="39" max="39" width="14.33203125" bestFit="1" customWidth="1"/>
    <col min="40" max="40" width="8.33203125" bestFit="1" customWidth="1"/>
    <col min="41" max="41" width="12.33203125" bestFit="1" customWidth="1"/>
    <col min="42" max="42" width="17.33203125" bestFit="1" customWidth="1"/>
    <col min="43" max="43" width="24.88671875" bestFit="1" customWidth="1"/>
    <col min="44" max="44" width="7.33203125" bestFit="1" customWidth="1"/>
  </cols>
  <sheetData>
    <row r="1" spans="1:44" x14ac:dyDescent="0.3">
      <c r="A1" t="s">
        <v>212</v>
      </c>
      <c r="B1" t="s">
        <v>3214</v>
      </c>
      <c r="C1" t="s">
        <v>732</v>
      </c>
      <c r="D1" t="s">
        <v>733</v>
      </c>
      <c r="E1" t="s">
        <v>734</v>
      </c>
      <c r="F1" t="s">
        <v>735</v>
      </c>
      <c r="G1" t="s">
        <v>736</v>
      </c>
      <c r="H1" t="s">
        <v>40</v>
      </c>
      <c r="I1" t="s">
        <v>737</v>
      </c>
      <c r="J1" t="s">
        <v>738</v>
      </c>
      <c r="K1" t="s">
        <v>4592</v>
      </c>
      <c r="L1" t="s">
        <v>739</v>
      </c>
      <c r="M1" t="s">
        <v>740</v>
      </c>
      <c r="N1" t="s">
        <v>3215</v>
      </c>
      <c r="O1" t="s">
        <v>743</v>
      </c>
      <c r="P1" t="s">
        <v>744</v>
      </c>
      <c r="Q1" t="s">
        <v>745</v>
      </c>
      <c r="R1" t="s">
        <v>746</v>
      </c>
      <c r="S1" t="s">
        <v>747</v>
      </c>
      <c r="T1" t="s">
        <v>750</v>
      </c>
      <c r="U1" t="s">
        <v>751</v>
      </c>
      <c r="V1" t="s">
        <v>752</v>
      </c>
      <c r="W1" t="s">
        <v>753</v>
      </c>
      <c r="X1" t="s">
        <v>755</v>
      </c>
      <c r="Y1" t="s">
        <v>756</v>
      </c>
      <c r="Z1" t="s">
        <v>758</v>
      </c>
      <c r="AA1" t="s">
        <v>3216</v>
      </c>
      <c r="AB1" t="s">
        <v>759</v>
      </c>
      <c r="AC1" t="s">
        <v>760</v>
      </c>
      <c r="AD1" t="s">
        <v>762</v>
      </c>
      <c r="AE1" t="s">
        <v>763</v>
      </c>
      <c r="AF1" t="s">
        <v>764</v>
      </c>
      <c r="AG1" t="s">
        <v>765</v>
      </c>
      <c r="AH1" t="s">
        <v>766</v>
      </c>
      <c r="AI1" t="s">
        <v>249</v>
      </c>
      <c r="AJ1" t="s">
        <v>214</v>
      </c>
      <c r="AK1" t="s">
        <v>769</v>
      </c>
      <c r="AL1" t="s">
        <v>770</v>
      </c>
      <c r="AM1" t="s">
        <v>260</v>
      </c>
      <c r="AN1" t="s">
        <v>258</v>
      </c>
      <c r="AO1" t="s">
        <v>257</v>
      </c>
      <c r="AP1" t="s">
        <v>772</v>
      </c>
      <c r="AQ1" t="s">
        <v>771</v>
      </c>
      <c r="AR1" t="s">
        <v>4593</v>
      </c>
    </row>
    <row r="2" spans="1:44" x14ac:dyDescent="0.3">
      <c r="A2" t="s">
        <v>3217</v>
      </c>
      <c r="B2">
        <v>1</v>
      </c>
      <c r="C2">
        <v>73</v>
      </c>
      <c r="D2">
        <v>39</v>
      </c>
      <c r="G2" t="s">
        <v>3218</v>
      </c>
      <c r="I2" t="s">
        <v>3218</v>
      </c>
      <c r="J2" t="s">
        <v>3218</v>
      </c>
      <c r="K2" t="s">
        <v>3218</v>
      </c>
      <c r="L2">
        <v>67992092648</v>
      </c>
      <c r="N2" t="s">
        <v>3220</v>
      </c>
      <c r="P2" t="s">
        <v>778</v>
      </c>
      <c r="S2" t="s">
        <v>3221</v>
      </c>
      <c r="T2" t="s">
        <v>3222</v>
      </c>
      <c r="U2" t="s">
        <v>3223</v>
      </c>
      <c r="V2" t="s">
        <v>2692</v>
      </c>
      <c r="Z2" t="s">
        <v>3217</v>
      </c>
      <c r="AA2">
        <v>325</v>
      </c>
      <c r="AB2" s="31">
        <v>45604</v>
      </c>
      <c r="AC2" s="61">
        <v>0.72946759259259264</v>
      </c>
      <c r="AD2" t="s">
        <v>795</v>
      </c>
      <c r="AE2" s="31">
        <v>45929</v>
      </c>
      <c r="AF2" s="61">
        <v>0.70248842592592597</v>
      </c>
      <c r="AG2" t="s">
        <v>796</v>
      </c>
      <c r="AR2">
        <v>1</v>
      </c>
    </row>
    <row r="3" spans="1:44" x14ac:dyDescent="0.3">
      <c r="A3" t="s">
        <v>3217</v>
      </c>
      <c r="B3">
        <v>2</v>
      </c>
      <c r="C3">
        <v>74</v>
      </c>
      <c r="D3">
        <v>41</v>
      </c>
      <c r="G3" t="s">
        <v>3224</v>
      </c>
      <c r="I3" t="s">
        <v>3225</v>
      </c>
      <c r="J3" t="s">
        <v>3225</v>
      </c>
      <c r="K3" t="s">
        <v>3225</v>
      </c>
      <c r="L3">
        <v>55991832727</v>
      </c>
      <c r="N3" t="s">
        <v>3227</v>
      </c>
      <c r="P3" t="s">
        <v>778</v>
      </c>
      <c r="Q3" t="s">
        <v>3228</v>
      </c>
      <c r="S3" t="s">
        <v>3221</v>
      </c>
      <c r="T3" t="s">
        <v>3222</v>
      </c>
      <c r="U3" t="s">
        <v>3223</v>
      </c>
      <c r="V3" t="s">
        <v>2692</v>
      </c>
      <c r="Z3" t="s">
        <v>3217</v>
      </c>
      <c r="AA3">
        <v>325</v>
      </c>
      <c r="AB3" s="31">
        <v>45604</v>
      </c>
      <c r="AC3" s="61">
        <v>0.72946759259259264</v>
      </c>
      <c r="AD3" t="s">
        <v>795</v>
      </c>
      <c r="AE3" s="31">
        <v>45929</v>
      </c>
      <c r="AF3" s="61">
        <v>0.70251157407407405</v>
      </c>
      <c r="AG3" t="s">
        <v>796</v>
      </c>
      <c r="AR3">
        <v>1</v>
      </c>
    </row>
    <row r="4" spans="1:44" x14ac:dyDescent="0.3">
      <c r="A4" t="s">
        <v>3217</v>
      </c>
      <c r="B4">
        <v>3</v>
      </c>
      <c r="C4">
        <v>75</v>
      </c>
      <c r="D4">
        <v>43</v>
      </c>
      <c r="G4" t="s">
        <v>3229</v>
      </c>
      <c r="I4" t="s">
        <v>3229</v>
      </c>
      <c r="J4" t="s">
        <v>3229</v>
      </c>
      <c r="K4" t="s">
        <v>3229</v>
      </c>
      <c r="L4">
        <v>1532678844</v>
      </c>
      <c r="N4" t="s">
        <v>3231</v>
      </c>
      <c r="P4" t="s">
        <v>778</v>
      </c>
      <c r="S4" t="s">
        <v>3221</v>
      </c>
      <c r="T4" t="s">
        <v>3222</v>
      </c>
      <c r="U4" t="s">
        <v>3223</v>
      </c>
      <c r="V4" t="s">
        <v>2692</v>
      </c>
      <c r="Z4" t="s">
        <v>3217</v>
      </c>
      <c r="AA4">
        <v>325</v>
      </c>
      <c r="AB4" s="31">
        <v>45604</v>
      </c>
      <c r="AC4" s="61">
        <v>0.72946759259259264</v>
      </c>
      <c r="AD4" t="s">
        <v>795</v>
      </c>
      <c r="AE4" s="31">
        <v>45929</v>
      </c>
      <c r="AF4" s="61">
        <v>0.70253472222222224</v>
      </c>
      <c r="AG4" t="s">
        <v>796</v>
      </c>
      <c r="AR4">
        <v>1</v>
      </c>
    </row>
    <row r="5" spans="1:44" x14ac:dyDescent="0.3">
      <c r="A5" t="s">
        <v>3217</v>
      </c>
      <c r="B5">
        <v>4</v>
      </c>
      <c r="C5">
        <v>76</v>
      </c>
      <c r="D5">
        <v>45</v>
      </c>
      <c r="G5" t="s">
        <v>225</v>
      </c>
      <c r="I5" t="s">
        <v>225</v>
      </c>
      <c r="J5" t="s">
        <v>225</v>
      </c>
      <c r="K5" t="s">
        <v>225</v>
      </c>
      <c r="L5">
        <v>4688229800</v>
      </c>
      <c r="N5" t="s">
        <v>3233</v>
      </c>
      <c r="P5" t="s">
        <v>778</v>
      </c>
      <c r="Q5" t="s">
        <v>3234</v>
      </c>
      <c r="R5" t="s">
        <v>1699</v>
      </c>
      <c r="S5" t="s">
        <v>3221</v>
      </c>
      <c r="T5" t="s">
        <v>3222</v>
      </c>
      <c r="U5" t="s">
        <v>3223</v>
      </c>
      <c r="V5" t="s">
        <v>2692</v>
      </c>
      <c r="Z5" t="s">
        <v>3217</v>
      </c>
      <c r="AA5">
        <v>325</v>
      </c>
      <c r="AB5" s="31">
        <v>45604</v>
      </c>
      <c r="AC5" s="61">
        <v>0.72946759259259264</v>
      </c>
      <c r="AD5" t="s">
        <v>795</v>
      </c>
      <c r="AE5" s="31">
        <v>45929</v>
      </c>
      <c r="AF5" s="61">
        <v>0.70255787037037032</v>
      </c>
      <c r="AG5" t="s">
        <v>796</v>
      </c>
      <c r="AR5">
        <v>1</v>
      </c>
    </row>
    <row r="6" spans="1:44" x14ac:dyDescent="0.3">
      <c r="A6" t="s">
        <v>3217</v>
      </c>
      <c r="B6">
        <v>5</v>
      </c>
      <c r="C6">
        <v>77</v>
      </c>
      <c r="D6">
        <v>47</v>
      </c>
      <c r="G6" t="s">
        <v>3235</v>
      </c>
      <c r="I6" t="s">
        <v>3235</v>
      </c>
      <c r="J6" t="s">
        <v>3235</v>
      </c>
      <c r="K6" t="s">
        <v>3235</v>
      </c>
      <c r="L6">
        <v>1535515213</v>
      </c>
      <c r="N6" t="s">
        <v>3237</v>
      </c>
      <c r="P6" t="s">
        <v>778</v>
      </c>
      <c r="S6" t="s">
        <v>3221</v>
      </c>
      <c r="T6" t="s">
        <v>3222</v>
      </c>
      <c r="U6" t="s">
        <v>3223</v>
      </c>
      <c r="V6" t="s">
        <v>2692</v>
      </c>
      <c r="Z6" t="s">
        <v>3217</v>
      </c>
      <c r="AA6">
        <v>325</v>
      </c>
      <c r="AB6" s="31">
        <v>45604</v>
      </c>
      <c r="AC6" s="61">
        <v>0.72946759259259264</v>
      </c>
      <c r="AD6" t="s">
        <v>795</v>
      </c>
      <c r="AE6" s="31">
        <v>45929</v>
      </c>
      <c r="AF6" s="61">
        <v>0.70258101851851851</v>
      </c>
      <c r="AG6" t="s">
        <v>796</v>
      </c>
      <c r="AR6">
        <v>1</v>
      </c>
    </row>
    <row r="7" spans="1:44" x14ac:dyDescent="0.3">
      <c r="A7" t="s">
        <v>3217</v>
      </c>
      <c r="B7">
        <v>6</v>
      </c>
      <c r="C7">
        <v>78</v>
      </c>
      <c r="D7">
        <v>49</v>
      </c>
      <c r="G7" t="s">
        <v>3238</v>
      </c>
      <c r="I7" t="s">
        <v>3239</v>
      </c>
      <c r="J7" t="s">
        <v>3239</v>
      </c>
      <c r="K7" t="s">
        <v>3239</v>
      </c>
      <c r="L7">
        <v>199740785011</v>
      </c>
      <c r="N7" t="s">
        <v>3241</v>
      </c>
      <c r="P7" t="s">
        <v>778</v>
      </c>
      <c r="S7" t="s">
        <v>3221</v>
      </c>
      <c r="T7" t="s">
        <v>3222</v>
      </c>
      <c r="U7" t="s">
        <v>3223</v>
      </c>
      <c r="V7" t="s">
        <v>2692</v>
      </c>
      <c r="Z7" t="s">
        <v>3217</v>
      </c>
      <c r="AA7">
        <v>325</v>
      </c>
      <c r="AB7" s="31">
        <v>45604</v>
      </c>
      <c r="AC7" s="61">
        <v>0.72946759259259264</v>
      </c>
      <c r="AD7" t="s">
        <v>795</v>
      </c>
      <c r="AE7" s="31">
        <v>45929</v>
      </c>
      <c r="AF7" s="61">
        <v>0.70261574074074074</v>
      </c>
      <c r="AG7" t="s">
        <v>796</v>
      </c>
      <c r="AR7">
        <v>1</v>
      </c>
    </row>
    <row r="8" spans="1:44" x14ac:dyDescent="0.3">
      <c r="A8" t="s">
        <v>3217</v>
      </c>
      <c r="B8">
        <v>7</v>
      </c>
      <c r="C8">
        <v>79</v>
      </c>
      <c r="D8">
        <v>51</v>
      </c>
      <c r="G8" t="s">
        <v>3242</v>
      </c>
      <c r="I8" t="s">
        <v>3243</v>
      </c>
      <c r="J8" t="s">
        <v>3243</v>
      </c>
      <c r="K8" t="s">
        <v>3243</v>
      </c>
      <c r="L8">
        <v>11982243773</v>
      </c>
      <c r="N8" t="s">
        <v>2602</v>
      </c>
      <c r="P8" t="s">
        <v>778</v>
      </c>
      <c r="Q8" t="s">
        <v>3244</v>
      </c>
      <c r="S8" t="s">
        <v>3221</v>
      </c>
      <c r="T8" t="s">
        <v>3222</v>
      </c>
      <c r="U8" t="s">
        <v>3223</v>
      </c>
      <c r="V8" t="s">
        <v>2692</v>
      </c>
      <c r="Z8" t="s">
        <v>3217</v>
      </c>
      <c r="AA8">
        <v>325</v>
      </c>
      <c r="AB8" s="31">
        <v>45604</v>
      </c>
      <c r="AC8" s="61">
        <v>0.72946759259259264</v>
      </c>
      <c r="AD8" t="s">
        <v>795</v>
      </c>
      <c r="AE8" s="31">
        <v>45929</v>
      </c>
      <c r="AF8" s="61">
        <v>0.70262731481481477</v>
      </c>
      <c r="AG8" t="s">
        <v>796</v>
      </c>
      <c r="AR8">
        <v>1</v>
      </c>
    </row>
    <row r="9" spans="1:44" x14ac:dyDescent="0.3">
      <c r="A9" t="s">
        <v>3217</v>
      </c>
      <c r="B9">
        <v>8</v>
      </c>
      <c r="C9">
        <v>80</v>
      </c>
      <c r="D9">
        <v>53</v>
      </c>
      <c r="G9" t="s">
        <v>3245</v>
      </c>
      <c r="I9" t="s">
        <v>3245</v>
      </c>
      <c r="J9" t="s">
        <v>3245</v>
      </c>
      <c r="K9" t="s">
        <v>3245</v>
      </c>
      <c r="L9">
        <v>16992089024</v>
      </c>
      <c r="N9" t="s">
        <v>3247</v>
      </c>
      <c r="P9" t="s">
        <v>778</v>
      </c>
      <c r="S9" t="s">
        <v>3221</v>
      </c>
      <c r="T9" t="s">
        <v>3222</v>
      </c>
      <c r="U9" t="s">
        <v>3223</v>
      </c>
      <c r="V9" t="s">
        <v>2692</v>
      </c>
      <c r="Z9" t="s">
        <v>3217</v>
      </c>
      <c r="AA9">
        <v>325</v>
      </c>
      <c r="AB9" s="31">
        <v>45604</v>
      </c>
      <c r="AC9" s="61">
        <v>0.72946759259259264</v>
      </c>
      <c r="AD9" t="s">
        <v>795</v>
      </c>
      <c r="AE9" s="31">
        <v>45929</v>
      </c>
      <c r="AF9" s="61">
        <v>0.70267361111111115</v>
      </c>
      <c r="AG9" t="s">
        <v>796</v>
      </c>
      <c r="AR9">
        <v>1</v>
      </c>
    </row>
    <row r="10" spans="1:44" x14ac:dyDescent="0.3">
      <c r="A10" t="s">
        <v>3217</v>
      </c>
      <c r="B10">
        <v>9</v>
      </c>
      <c r="C10">
        <v>81</v>
      </c>
      <c r="D10">
        <v>55</v>
      </c>
      <c r="G10" t="s">
        <v>3248</v>
      </c>
      <c r="I10" t="s">
        <v>3248</v>
      </c>
      <c r="J10" t="s">
        <v>3248</v>
      </c>
      <c r="K10" t="s">
        <v>3248</v>
      </c>
      <c r="L10">
        <v>16988215110</v>
      </c>
      <c r="N10" t="s">
        <v>3250</v>
      </c>
      <c r="P10" t="s">
        <v>778</v>
      </c>
      <c r="S10" t="s">
        <v>3221</v>
      </c>
      <c r="T10" t="s">
        <v>3222</v>
      </c>
      <c r="U10" t="s">
        <v>3223</v>
      </c>
      <c r="V10" t="s">
        <v>2692</v>
      </c>
      <c r="Z10" t="s">
        <v>3217</v>
      </c>
      <c r="AA10">
        <v>325</v>
      </c>
      <c r="AB10" s="31">
        <v>45604</v>
      </c>
      <c r="AC10" s="61">
        <v>0.72947916666666668</v>
      </c>
      <c r="AD10" t="s">
        <v>795</v>
      </c>
      <c r="AE10" s="31">
        <v>45929</v>
      </c>
      <c r="AF10" s="61">
        <v>0.70270833333333338</v>
      </c>
      <c r="AG10" t="s">
        <v>796</v>
      </c>
      <c r="AR10">
        <v>1</v>
      </c>
    </row>
    <row r="11" spans="1:44" x14ac:dyDescent="0.3">
      <c r="A11" t="s">
        <v>3217</v>
      </c>
      <c r="B11">
        <v>10</v>
      </c>
      <c r="C11">
        <v>82</v>
      </c>
      <c r="D11">
        <v>57</v>
      </c>
      <c r="G11" t="s">
        <v>3251</v>
      </c>
      <c r="I11" t="s">
        <v>3251</v>
      </c>
      <c r="J11" t="s">
        <v>3251</v>
      </c>
      <c r="K11" t="s">
        <v>3251</v>
      </c>
      <c r="L11">
        <v>11998061058</v>
      </c>
      <c r="N11" t="s">
        <v>3253</v>
      </c>
      <c r="P11" t="s">
        <v>778</v>
      </c>
      <c r="Q11" t="s">
        <v>923</v>
      </c>
      <c r="S11" t="s">
        <v>3221</v>
      </c>
      <c r="T11" t="s">
        <v>3222</v>
      </c>
      <c r="U11" t="s">
        <v>3223</v>
      </c>
      <c r="V11" t="s">
        <v>2692</v>
      </c>
      <c r="Z11" t="s">
        <v>3217</v>
      </c>
      <c r="AA11">
        <v>325</v>
      </c>
      <c r="AB11" s="31">
        <v>45604</v>
      </c>
      <c r="AC11" s="61">
        <v>0.72947916666666668</v>
      </c>
      <c r="AD11" t="s">
        <v>795</v>
      </c>
      <c r="AE11" s="31">
        <v>45929</v>
      </c>
      <c r="AF11" s="61">
        <v>0.70271990740740742</v>
      </c>
      <c r="AG11" t="s">
        <v>796</v>
      </c>
      <c r="AR11">
        <v>1</v>
      </c>
    </row>
    <row r="12" spans="1:44" x14ac:dyDescent="0.3">
      <c r="A12" t="s">
        <v>3217</v>
      </c>
      <c r="B12">
        <v>11</v>
      </c>
      <c r="C12">
        <v>83</v>
      </c>
      <c r="D12">
        <v>59</v>
      </c>
      <c r="G12" t="s">
        <v>3254</v>
      </c>
      <c r="I12" t="s">
        <v>3255</v>
      </c>
      <c r="J12" t="s">
        <v>3255</v>
      </c>
      <c r="K12" t="s">
        <v>3255</v>
      </c>
      <c r="N12" t="s">
        <v>3256</v>
      </c>
      <c r="P12" t="s">
        <v>778</v>
      </c>
      <c r="Q12" t="s">
        <v>3257</v>
      </c>
      <c r="S12" t="s">
        <v>3221</v>
      </c>
      <c r="T12" t="s">
        <v>3222</v>
      </c>
      <c r="U12" t="s">
        <v>3223</v>
      </c>
      <c r="V12" t="s">
        <v>2692</v>
      </c>
      <c r="Z12" t="s">
        <v>3217</v>
      </c>
      <c r="AA12">
        <v>325</v>
      </c>
      <c r="AB12" s="31">
        <v>45604</v>
      </c>
      <c r="AC12" s="61">
        <v>0.72947916666666668</v>
      </c>
      <c r="AD12" t="s">
        <v>795</v>
      </c>
      <c r="AE12" s="31">
        <v>45929</v>
      </c>
      <c r="AF12" s="61">
        <v>0.70274305555555561</v>
      </c>
      <c r="AG12" t="s">
        <v>796</v>
      </c>
      <c r="AR12">
        <v>1</v>
      </c>
    </row>
    <row r="13" spans="1:44" x14ac:dyDescent="0.3">
      <c r="A13" t="s">
        <v>3217</v>
      </c>
      <c r="B13">
        <v>12</v>
      </c>
      <c r="C13">
        <v>84</v>
      </c>
      <c r="D13">
        <v>61</v>
      </c>
      <c r="G13" t="s">
        <v>3258</v>
      </c>
      <c r="I13" t="s">
        <v>3258</v>
      </c>
      <c r="J13" t="s">
        <v>3258</v>
      </c>
      <c r="K13" t="s">
        <v>3258</v>
      </c>
      <c r="L13">
        <v>6296642202</v>
      </c>
      <c r="N13" t="s">
        <v>3260</v>
      </c>
      <c r="P13" t="s">
        <v>778</v>
      </c>
      <c r="S13" t="s">
        <v>3221</v>
      </c>
      <c r="T13" t="s">
        <v>3222</v>
      </c>
      <c r="U13" t="s">
        <v>3223</v>
      </c>
      <c r="V13" t="s">
        <v>2692</v>
      </c>
      <c r="Z13" t="s">
        <v>3217</v>
      </c>
      <c r="AA13">
        <v>325</v>
      </c>
      <c r="AB13" s="31">
        <v>45604</v>
      </c>
      <c r="AC13" s="61">
        <v>0.72947916666666668</v>
      </c>
      <c r="AD13" t="s">
        <v>795</v>
      </c>
      <c r="AE13" s="31">
        <v>45929</v>
      </c>
      <c r="AF13" s="61">
        <v>0.70277777777777772</v>
      </c>
      <c r="AG13" t="s">
        <v>796</v>
      </c>
      <c r="AR13">
        <v>1</v>
      </c>
    </row>
    <row r="14" spans="1:44" x14ac:dyDescent="0.3">
      <c r="A14" t="s">
        <v>3217</v>
      </c>
      <c r="B14">
        <v>13</v>
      </c>
      <c r="C14">
        <v>85</v>
      </c>
      <c r="D14">
        <v>63</v>
      </c>
      <c r="G14" t="s">
        <v>605</v>
      </c>
      <c r="I14" t="s">
        <v>3261</v>
      </c>
      <c r="J14" t="s">
        <v>3261</v>
      </c>
      <c r="K14" t="s">
        <v>3261</v>
      </c>
      <c r="L14">
        <v>31988605879</v>
      </c>
      <c r="N14" t="s">
        <v>3263</v>
      </c>
      <c r="P14" t="s">
        <v>778</v>
      </c>
      <c r="Q14" t="s">
        <v>3264</v>
      </c>
      <c r="S14" t="s">
        <v>3221</v>
      </c>
      <c r="T14" t="s">
        <v>3222</v>
      </c>
      <c r="U14" t="s">
        <v>3223</v>
      </c>
      <c r="V14" t="s">
        <v>2692</v>
      </c>
      <c r="Z14" t="s">
        <v>3217</v>
      </c>
      <c r="AA14">
        <v>325</v>
      </c>
      <c r="AB14" s="31">
        <v>45604</v>
      </c>
      <c r="AC14" s="61">
        <v>0.72947916666666668</v>
      </c>
      <c r="AD14" t="s">
        <v>795</v>
      </c>
      <c r="AE14" s="31">
        <v>45929</v>
      </c>
      <c r="AF14" s="61">
        <v>0.70281249999999995</v>
      </c>
      <c r="AG14" t="s">
        <v>796</v>
      </c>
      <c r="AR14">
        <v>1</v>
      </c>
    </row>
    <row r="15" spans="1:44" x14ac:dyDescent="0.3">
      <c r="A15" t="s">
        <v>3217</v>
      </c>
      <c r="B15">
        <v>14</v>
      </c>
      <c r="C15">
        <v>86</v>
      </c>
      <c r="D15">
        <v>65</v>
      </c>
      <c r="G15" t="s">
        <v>3265</v>
      </c>
      <c r="I15" t="s">
        <v>3265</v>
      </c>
      <c r="J15" t="s">
        <v>3265</v>
      </c>
      <c r="K15" t="s">
        <v>3265</v>
      </c>
      <c r="L15">
        <v>21985528888</v>
      </c>
      <c r="N15" t="s">
        <v>3267</v>
      </c>
      <c r="P15" t="s">
        <v>778</v>
      </c>
      <c r="Q15" t="s">
        <v>3268</v>
      </c>
      <c r="S15" t="s">
        <v>3221</v>
      </c>
      <c r="T15" t="s">
        <v>3222</v>
      </c>
      <c r="U15" t="s">
        <v>3223</v>
      </c>
      <c r="V15" t="s">
        <v>2692</v>
      </c>
      <c r="Z15" t="s">
        <v>3217</v>
      </c>
      <c r="AA15">
        <v>325</v>
      </c>
      <c r="AB15" s="31">
        <v>45604</v>
      </c>
      <c r="AC15" s="61">
        <v>0.72947916666666668</v>
      </c>
      <c r="AD15" t="s">
        <v>795</v>
      </c>
      <c r="AE15" s="31">
        <v>45929</v>
      </c>
      <c r="AF15" s="61">
        <v>0.70285879629629633</v>
      </c>
      <c r="AG15" t="s">
        <v>796</v>
      </c>
      <c r="AR15">
        <v>1</v>
      </c>
    </row>
    <row r="16" spans="1:44" x14ac:dyDescent="0.3">
      <c r="A16" t="s">
        <v>3217</v>
      </c>
      <c r="B16">
        <v>15</v>
      </c>
      <c r="C16">
        <v>87</v>
      </c>
      <c r="D16">
        <v>67</v>
      </c>
      <c r="G16" t="s">
        <v>3269</v>
      </c>
      <c r="I16" t="s">
        <v>3269</v>
      </c>
      <c r="J16" t="s">
        <v>3269</v>
      </c>
      <c r="K16" t="s">
        <v>3269</v>
      </c>
      <c r="L16">
        <v>13996207010</v>
      </c>
      <c r="N16" t="s">
        <v>3271</v>
      </c>
      <c r="P16" t="s">
        <v>778</v>
      </c>
      <c r="S16" t="s">
        <v>3221</v>
      </c>
      <c r="T16" t="s">
        <v>3222</v>
      </c>
      <c r="U16" t="s">
        <v>3223</v>
      </c>
      <c r="V16" t="s">
        <v>2692</v>
      </c>
      <c r="Z16" t="s">
        <v>3217</v>
      </c>
      <c r="AA16">
        <v>325</v>
      </c>
      <c r="AB16" s="31">
        <v>45604</v>
      </c>
      <c r="AC16" s="61">
        <v>0.72947916666666668</v>
      </c>
      <c r="AD16" t="s">
        <v>795</v>
      </c>
      <c r="AE16" s="31">
        <v>45929</v>
      </c>
      <c r="AF16" s="61">
        <v>0.70288194444444441</v>
      </c>
      <c r="AG16" t="s">
        <v>796</v>
      </c>
      <c r="AR16">
        <v>1</v>
      </c>
    </row>
    <row r="17" spans="1:44" x14ac:dyDescent="0.3">
      <c r="A17" t="s">
        <v>3217</v>
      </c>
      <c r="B17">
        <v>16</v>
      </c>
      <c r="C17">
        <v>88</v>
      </c>
      <c r="D17">
        <v>69</v>
      </c>
      <c r="G17" t="s">
        <v>660</v>
      </c>
      <c r="I17" t="s">
        <v>660</v>
      </c>
      <c r="J17" t="s">
        <v>660</v>
      </c>
      <c r="K17" t="s">
        <v>660</v>
      </c>
      <c r="L17">
        <v>48984552099</v>
      </c>
      <c r="N17" t="s">
        <v>3273</v>
      </c>
      <c r="P17" t="s">
        <v>778</v>
      </c>
      <c r="Q17" t="s">
        <v>3274</v>
      </c>
      <c r="R17" t="s">
        <v>932</v>
      </c>
      <c r="S17" t="s">
        <v>3221</v>
      </c>
      <c r="T17" t="s">
        <v>3222</v>
      </c>
      <c r="U17" t="s">
        <v>3223</v>
      </c>
      <c r="V17" t="s">
        <v>2692</v>
      </c>
      <c r="X17">
        <v>0</v>
      </c>
      <c r="Y17">
        <v>0</v>
      </c>
      <c r="Z17" t="s">
        <v>3217</v>
      </c>
      <c r="AA17">
        <v>325</v>
      </c>
      <c r="AB17" s="31">
        <v>45604</v>
      </c>
      <c r="AC17" s="61">
        <v>0.72947916666666668</v>
      </c>
      <c r="AD17" t="s">
        <v>795</v>
      </c>
      <c r="AE17" s="31">
        <v>45929</v>
      </c>
      <c r="AF17" s="61">
        <v>0.70248842592592597</v>
      </c>
      <c r="AG17" t="s">
        <v>796</v>
      </c>
      <c r="AR17">
        <v>1</v>
      </c>
    </row>
    <row r="18" spans="1:44" x14ac:dyDescent="0.3">
      <c r="A18" t="s">
        <v>3217</v>
      </c>
      <c r="B18">
        <v>17</v>
      </c>
      <c r="C18">
        <v>89</v>
      </c>
      <c r="D18">
        <v>71</v>
      </c>
      <c r="G18" t="s">
        <v>3275</v>
      </c>
      <c r="I18" t="s">
        <v>3275</v>
      </c>
      <c r="J18" t="s">
        <v>3275</v>
      </c>
      <c r="K18" t="s">
        <v>3275</v>
      </c>
      <c r="L18">
        <v>3599613586</v>
      </c>
      <c r="N18" t="s">
        <v>3277</v>
      </c>
      <c r="P18" t="s">
        <v>778</v>
      </c>
      <c r="S18" t="s">
        <v>3221</v>
      </c>
      <c r="T18" t="s">
        <v>3222</v>
      </c>
      <c r="U18" t="s">
        <v>3223</v>
      </c>
      <c r="V18" t="s">
        <v>2692</v>
      </c>
      <c r="Z18" t="s">
        <v>3217</v>
      </c>
      <c r="AA18">
        <v>325</v>
      </c>
      <c r="AB18" s="31">
        <v>45604</v>
      </c>
      <c r="AC18" s="61">
        <v>0.72947916666666668</v>
      </c>
      <c r="AD18" t="s">
        <v>795</v>
      </c>
      <c r="AE18" s="31">
        <v>45929</v>
      </c>
      <c r="AF18" s="61">
        <v>0.70251157407407405</v>
      </c>
      <c r="AG18" t="s">
        <v>796</v>
      </c>
      <c r="AR18">
        <v>1</v>
      </c>
    </row>
    <row r="19" spans="1:44" x14ac:dyDescent="0.3">
      <c r="A19" t="s">
        <v>3217</v>
      </c>
      <c r="B19">
        <v>18</v>
      </c>
      <c r="C19">
        <v>90</v>
      </c>
      <c r="D19">
        <v>73</v>
      </c>
      <c r="G19" t="s">
        <v>3278</v>
      </c>
      <c r="I19" t="s">
        <v>3278</v>
      </c>
      <c r="J19" t="s">
        <v>3278</v>
      </c>
      <c r="K19" t="s">
        <v>3278</v>
      </c>
      <c r="N19" t="s">
        <v>3279</v>
      </c>
      <c r="P19" t="s">
        <v>778</v>
      </c>
      <c r="S19" t="s">
        <v>3221</v>
      </c>
      <c r="T19" t="s">
        <v>3222</v>
      </c>
      <c r="U19" t="s">
        <v>3223</v>
      </c>
      <c r="V19" t="s">
        <v>2692</v>
      </c>
      <c r="Z19" t="s">
        <v>3217</v>
      </c>
      <c r="AA19">
        <v>325</v>
      </c>
      <c r="AB19" s="31">
        <v>45604</v>
      </c>
      <c r="AC19" s="61">
        <v>0.72947916666666668</v>
      </c>
      <c r="AD19" t="s">
        <v>795</v>
      </c>
      <c r="AE19" s="31">
        <v>45929</v>
      </c>
      <c r="AF19" s="61">
        <v>0.70254629629629628</v>
      </c>
      <c r="AG19" t="s">
        <v>796</v>
      </c>
      <c r="AR19">
        <v>1</v>
      </c>
    </row>
    <row r="20" spans="1:44" x14ac:dyDescent="0.3">
      <c r="A20" t="s">
        <v>3217</v>
      </c>
      <c r="B20">
        <v>19</v>
      </c>
      <c r="C20">
        <v>91</v>
      </c>
      <c r="D20">
        <v>75</v>
      </c>
      <c r="G20" t="s">
        <v>3280</v>
      </c>
      <c r="I20" t="s">
        <v>3280</v>
      </c>
      <c r="J20" t="s">
        <v>3280</v>
      </c>
      <c r="K20" t="s">
        <v>3280</v>
      </c>
      <c r="N20" t="s">
        <v>3281</v>
      </c>
      <c r="P20" t="s">
        <v>778</v>
      </c>
      <c r="S20" t="s">
        <v>3221</v>
      </c>
      <c r="T20" t="s">
        <v>3222</v>
      </c>
      <c r="U20" t="s">
        <v>3223</v>
      </c>
      <c r="V20" t="s">
        <v>2692</v>
      </c>
      <c r="Z20" t="s">
        <v>3217</v>
      </c>
      <c r="AA20">
        <v>325</v>
      </c>
      <c r="AB20" s="31">
        <v>45604</v>
      </c>
      <c r="AC20" s="61">
        <v>0.72947916666666668</v>
      </c>
      <c r="AD20" t="s">
        <v>795</v>
      </c>
      <c r="AE20" s="31">
        <v>45929</v>
      </c>
      <c r="AF20" s="61">
        <v>0.70256944444444447</v>
      </c>
      <c r="AG20" t="s">
        <v>796</v>
      </c>
      <c r="AR20">
        <v>1</v>
      </c>
    </row>
    <row r="21" spans="1:44" x14ac:dyDescent="0.3">
      <c r="A21" t="s">
        <v>3217</v>
      </c>
      <c r="B21">
        <v>20</v>
      </c>
      <c r="C21">
        <v>92</v>
      </c>
      <c r="D21">
        <v>77</v>
      </c>
      <c r="G21" t="s">
        <v>3282</v>
      </c>
      <c r="I21" t="s">
        <v>3282</v>
      </c>
      <c r="J21" t="s">
        <v>3282</v>
      </c>
      <c r="K21" t="s">
        <v>3282</v>
      </c>
      <c r="L21">
        <v>3732436300</v>
      </c>
      <c r="N21" t="s">
        <v>3284</v>
      </c>
      <c r="P21" t="s">
        <v>778</v>
      </c>
      <c r="S21" t="s">
        <v>3221</v>
      </c>
      <c r="T21" t="s">
        <v>3222</v>
      </c>
      <c r="U21" t="s">
        <v>3223</v>
      </c>
      <c r="V21" t="s">
        <v>2692</v>
      </c>
      <c r="Z21" t="s">
        <v>3217</v>
      </c>
      <c r="AA21">
        <v>325</v>
      </c>
      <c r="AB21" s="31">
        <v>45604</v>
      </c>
      <c r="AC21" s="61">
        <v>0.72947916666666668</v>
      </c>
      <c r="AD21" t="s">
        <v>795</v>
      </c>
      <c r="AE21" s="31">
        <v>45929</v>
      </c>
      <c r="AF21" s="61">
        <v>0.70259259259259255</v>
      </c>
      <c r="AG21" t="s">
        <v>796</v>
      </c>
      <c r="AR21">
        <v>1</v>
      </c>
    </row>
    <row r="22" spans="1:44" x14ac:dyDescent="0.3">
      <c r="A22" t="s">
        <v>3217</v>
      </c>
      <c r="B22">
        <v>21</v>
      </c>
      <c r="C22">
        <v>93</v>
      </c>
      <c r="D22">
        <v>79</v>
      </c>
      <c r="G22" t="s">
        <v>3285</v>
      </c>
      <c r="I22" t="s">
        <v>3285</v>
      </c>
      <c r="J22" t="s">
        <v>3285</v>
      </c>
      <c r="K22" t="s">
        <v>3285</v>
      </c>
      <c r="N22" t="s">
        <v>3286</v>
      </c>
      <c r="P22" t="s">
        <v>778</v>
      </c>
      <c r="S22" t="s">
        <v>3221</v>
      </c>
      <c r="T22" t="s">
        <v>3222</v>
      </c>
      <c r="U22" t="s">
        <v>3223</v>
      </c>
      <c r="V22" t="s">
        <v>2692</v>
      </c>
      <c r="Z22" t="s">
        <v>3217</v>
      </c>
      <c r="AA22">
        <v>325</v>
      </c>
      <c r="AB22" s="31">
        <v>45604</v>
      </c>
      <c r="AC22" s="61">
        <v>0.72947916666666668</v>
      </c>
      <c r="AD22" t="s">
        <v>795</v>
      </c>
      <c r="AE22" s="31">
        <v>45929</v>
      </c>
      <c r="AF22" s="61">
        <v>0.70261574074074074</v>
      </c>
      <c r="AG22" t="s">
        <v>796</v>
      </c>
      <c r="AR22">
        <v>1</v>
      </c>
    </row>
    <row r="23" spans="1:44" x14ac:dyDescent="0.3">
      <c r="A23" t="s">
        <v>3217</v>
      </c>
      <c r="B23">
        <v>22</v>
      </c>
      <c r="C23">
        <v>94</v>
      </c>
      <c r="D23">
        <v>81</v>
      </c>
      <c r="G23" t="s">
        <v>1233</v>
      </c>
      <c r="I23" t="s">
        <v>1233</v>
      </c>
      <c r="J23" t="s">
        <v>1233</v>
      </c>
      <c r="K23" t="s">
        <v>1233</v>
      </c>
      <c r="L23">
        <v>11975479476</v>
      </c>
      <c r="N23" t="s">
        <v>3288</v>
      </c>
      <c r="P23" t="s">
        <v>778</v>
      </c>
      <c r="S23" t="s">
        <v>3221</v>
      </c>
      <c r="T23" t="s">
        <v>3222</v>
      </c>
      <c r="U23" t="s">
        <v>3223</v>
      </c>
      <c r="V23" t="s">
        <v>2692</v>
      </c>
      <c r="Z23" t="s">
        <v>3217</v>
      </c>
      <c r="AA23">
        <v>325</v>
      </c>
      <c r="AB23" s="31">
        <v>45604</v>
      </c>
      <c r="AC23" s="61">
        <v>0.72947916666666668</v>
      </c>
      <c r="AD23" t="s">
        <v>795</v>
      </c>
      <c r="AE23" s="31">
        <v>45929</v>
      </c>
      <c r="AF23" s="61">
        <v>0.70265046296296296</v>
      </c>
      <c r="AG23" t="s">
        <v>796</v>
      </c>
      <c r="AR23">
        <v>1</v>
      </c>
    </row>
    <row r="24" spans="1:44" x14ac:dyDescent="0.3">
      <c r="A24" t="s">
        <v>3217</v>
      </c>
      <c r="B24">
        <v>23</v>
      </c>
      <c r="C24">
        <v>95</v>
      </c>
      <c r="D24">
        <v>83</v>
      </c>
      <c r="G24" t="s">
        <v>3289</v>
      </c>
      <c r="I24" t="s">
        <v>3289</v>
      </c>
      <c r="J24" t="s">
        <v>3289</v>
      </c>
      <c r="K24" t="s">
        <v>3289</v>
      </c>
      <c r="N24" t="s">
        <v>3290</v>
      </c>
      <c r="P24" t="s">
        <v>778</v>
      </c>
      <c r="S24" t="s">
        <v>3221</v>
      </c>
      <c r="T24" t="s">
        <v>3222</v>
      </c>
      <c r="U24" t="s">
        <v>3223</v>
      </c>
      <c r="V24" t="s">
        <v>2692</v>
      </c>
      <c r="Z24" t="s">
        <v>3217</v>
      </c>
      <c r="AA24">
        <v>325</v>
      </c>
      <c r="AB24" s="31">
        <v>45604</v>
      </c>
      <c r="AC24" s="61">
        <v>0.72947916666666668</v>
      </c>
      <c r="AD24" t="s">
        <v>795</v>
      </c>
      <c r="AE24" s="31">
        <v>45929</v>
      </c>
      <c r="AF24" s="61">
        <v>0.702662037037037</v>
      </c>
      <c r="AG24" t="s">
        <v>796</v>
      </c>
      <c r="AR24">
        <v>1</v>
      </c>
    </row>
    <row r="25" spans="1:44" x14ac:dyDescent="0.3">
      <c r="A25" t="s">
        <v>3217</v>
      </c>
      <c r="B25">
        <v>24</v>
      </c>
      <c r="C25">
        <v>96</v>
      </c>
      <c r="D25">
        <v>85</v>
      </c>
      <c r="G25" t="s">
        <v>3291</v>
      </c>
      <c r="I25" t="s">
        <v>3291</v>
      </c>
      <c r="J25" t="s">
        <v>3291</v>
      </c>
      <c r="K25" t="s">
        <v>3291</v>
      </c>
      <c r="L25">
        <v>1934662525</v>
      </c>
      <c r="N25" t="s">
        <v>3293</v>
      </c>
      <c r="P25" t="s">
        <v>778</v>
      </c>
      <c r="S25" t="s">
        <v>3221</v>
      </c>
      <c r="T25" t="s">
        <v>3222</v>
      </c>
      <c r="U25" t="s">
        <v>3223</v>
      </c>
      <c r="V25" t="s">
        <v>2692</v>
      </c>
      <c r="Z25" t="s">
        <v>3217</v>
      </c>
      <c r="AA25">
        <v>325</v>
      </c>
      <c r="AB25" s="31">
        <v>45604</v>
      </c>
      <c r="AC25" s="61">
        <v>0.72947916666666668</v>
      </c>
      <c r="AD25" t="s">
        <v>795</v>
      </c>
      <c r="AE25" s="31">
        <v>45929</v>
      </c>
      <c r="AF25" s="61">
        <v>0.70269675925925923</v>
      </c>
      <c r="AG25" t="s">
        <v>796</v>
      </c>
      <c r="AR25">
        <v>1</v>
      </c>
    </row>
    <row r="26" spans="1:44" x14ac:dyDescent="0.3">
      <c r="A26" t="s">
        <v>3217</v>
      </c>
      <c r="B26">
        <v>25</v>
      </c>
      <c r="C26">
        <v>97</v>
      </c>
      <c r="D26">
        <v>87</v>
      </c>
      <c r="G26" t="s">
        <v>669</v>
      </c>
      <c r="H26">
        <v>22500484000170</v>
      </c>
      <c r="I26" t="s">
        <v>669</v>
      </c>
      <c r="J26" t="s">
        <v>669</v>
      </c>
      <c r="K26" t="s">
        <v>669</v>
      </c>
      <c r="N26" t="s">
        <v>3294</v>
      </c>
      <c r="P26" t="s">
        <v>778</v>
      </c>
      <c r="S26" t="s">
        <v>3221</v>
      </c>
      <c r="T26" t="s">
        <v>3222</v>
      </c>
      <c r="U26" t="s">
        <v>3223</v>
      </c>
      <c r="V26" t="s">
        <v>2692</v>
      </c>
      <c r="Z26" t="s">
        <v>3217</v>
      </c>
      <c r="AA26">
        <v>325</v>
      </c>
      <c r="AB26" s="31">
        <v>45604</v>
      </c>
      <c r="AC26" s="61">
        <v>0.72947916666666668</v>
      </c>
      <c r="AD26" t="s">
        <v>795</v>
      </c>
      <c r="AE26" s="31">
        <v>45929</v>
      </c>
      <c r="AF26" s="61">
        <v>0.70271990740740742</v>
      </c>
      <c r="AG26" t="s">
        <v>796</v>
      </c>
      <c r="AR26">
        <v>1</v>
      </c>
    </row>
    <row r="27" spans="1:44" x14ac:dyDescent="0.3">
      <c r="A27" t="s">
        <v>3217</v>
      </c>
      <c r="B27">
        <v>26</v>
      </c>
      <c r="C27">
        <v>98</v>
      </c>
      <c r="D27">
        <v>89</v>
      </c>
      <c r="G27" t="s">
        <v>604</v>
      </c>
      <c r="I27" t="s">
        <v>604</v>
      </c>
      <c r="J27" t="s">
        <v>604</v>
      </c>
      <c r="K27" t="s">
        <v>604</v>
      </c>
      <c r="N27" t="s">
        <v>3295</v>
      </c>
      <c r="P27" t="s">
        <v>778</v>
      </c>
      <c r="S27" t="s">
        <v>3221</v>
      </c>
      <c r="T27" t="s">
        <v>3222</v>
      </c>
      <c r="U27" t="s">
        <v>3223</v>
      </c>
      <c r="V27" t="s">
        <v>2692</v>
      </c>
      <c r="Z27" t="s">
        <v>3217</v>
      </c>
      <c r="AA27">
        <v>325</v>
      </c>
      <c r="AB27" s="31">
        <v>45604</v>
      </c>
      <c r="AC27" s="61">
        <v>0.72949074074074072</v>
      </c>
      <c r="AD27" t="s">
        <v>795</v>
      </c>
      <c r="AE27" s="31">
        <v>45929</v>
      </c>
      <c r="AF27" s="61">
        <v>0.70274305555555561</v>
      </c>
      <c r="AG27" t="s">
        <v>796</v>
      </c>
      <c r="AR27">
        <v>1</v>
      </c>
    </row>
    <row r="28" spans="1:44" x14ac:dyDescent="0.3">
      <c r="A28" t="s">
        <v>3217</v>
      </c>
      <c r="B28">
        <v>27</v>
      </c>
      <c r="C28">
        <v>99</v>
      </c>
      <c r="D28">
        <v>91</v>
      </c>
      <c r="G28" t="s">
        <v>3296</v>
      </c>
      <c r="I28" t="s">
        <v>3296</v>
      </c>
      <c r="J28" t="s">
        <v>3296</v>
      </c>
      <c r="K28" t="s">
        <v>3296</v>
      </c>
      <c r="L28">
        <v>43999742053</v>
      </c>
      <c r="N28" t="s">
        <v>3298</v>
      </c>
      <c r="P28" t="s">
        <v>778</v>
      </c>
      <c r="Q28" t="s">
        <v>3299</v>
      </c>
      <c r="R28" t="s">
        <v>1699</v>
      </c>
      <c r="S28" t="s">
        <v>3221</v>
      </c>
      <c r="T28" t="s">
        <v>3222</v>
      </c>
      <c r="U28" t="s">
        <v>3223</v>
      </c>
      <c r="V28" t="s">
        <v>2692</v>
      </c>
      <c r="Z28" t="s">
        <v>3217</v>
      </c>
      <c r="AA28">
        <v>325</v>
      </c>
      <c r="AB28" s="31">
        <v>45604</v>
      </c>
      <c r="AC28" s="61">
        <v>0.72949074074074072</v>
      </c>
      <c r="AD28" t="s">
        <v>795</v>
      </c>
      <c r="AE28" s="31">
        <v>45929</v>
      </c>
      <c r="AF28" s="61">
        <v>0.70277777777777772</v>
      </c>
      <c r="AG28" t="s">
        <v>796</v>
      </c>
      <c r="AR28">
        <v>1</v>
      </c>
    </row>
    <row r="29" spans="1:44" x14ac:dyDescent="0.3">
      <c r="A29" t="s">
        <v>3217</v>
      </c>
      <c r="B29">
        <v>28</v>
      </c>
      <c r="C29">
        <v>100</v>
      </c>
      <c r="D29">
        <v>93</v>
      </c>
      <c r="G29" t="s">
        <v>3300</v>
      </c>
      <c r="I29" t="s">
        <v>3300</v>
      </c>
      <c r="J29" t="s">
        <v>3300</v>
      </c>
      <c r="K29" t="s">
        <v>3300</v>
      </c>
      <c r="L29">
        <v>11971830079</v>
      </c>
      <c r="N29" t="s">
        <v>3302</v>
      </c>
      <c r="P29" t="s">
        <v>778</v>
      </c>
      <c r="Q29" t="s">
        <v>923</v>
      </c>
      <c r="R29" t="s">
        <v>790</v>
      </c>
      <c r="S29" t="s">
        <v>3221</v>
      </c>
      <c r="T29" t="s">
        <v>3222</v>
      </c>
      <c r="U29" t="s">
        <v>3223</v>
      </c>
      <c r="V29" t="s">
        <v>2692</v>
      </c>
      <c r="Z29" t="s">
        <v>3217</v>
      </c>
      <c r="AA29">
        <v>325</v>
      </c>
      <c r="AB29" s="31">
        <v>45604</v>
      </c>
      <c r="AC29" s="61">
        <v>0.72949074074074072</v>
      </c>
      <c r="AD29" t="s">
        <v>795</v>
      </c>
      <c r="AE29" s="31">
        <v>45929</v>
      </c>
      <c r="AF29" s="61">
        <v>0.70280092592592591</v>
      </c>
      <c r="AG29" t="s">
        <v>796</v>
      </c>
      <c r="AR29">
        <v>1</v>
      </c>
    </row>
    <row r="30" spans="1:44" x14ac:dyDescent="0.3">
      <c r="A30" t="s">
        <v>3217</v>
      </c>
      <c r="B30">
        <v>29</v>
      </c>
      <c r="C30">
        <v>101</v>
      </c>
      <c r="D30">
        <v>95</v>
      </c>
      <c r="G30" t="s">
        <v>3303</v>
      </c>
      <c r="I30" t="s">
        <v>3303</v>
      </c>
      <c r="J30" t="s">
        <v>3303</v>
      </c>
      <c r="K30" t="s">
        <v>3303</v>
      </c>
      <c r="L30">
        <v>42988209554</v>
      </c>
      <c r="N30" t="s">
        <v>3305</v>
      </c>
      <c r="P30" t="s">
        <v>778</v>
      </c>
      <c r="S30" t="s">
        <v>3221</v>
      </c>
      <c r="T30" t="s">
        <v>3222</v>
      </c>
      <c r="U30" t="s">
        <v>3223</v>
      </c>
      <c r="V30" t="s">
        <v>2692</v>
      </c>
      <c r="Z30" t="s">
        <v>3217</v>
      </c>
      <c r="AA30">
        <v>325</v>
      </c>
      <c r="AB30" s="31">
        <v>45604</v>
      </c>
      <c r="AC30" s="61">
        <v>0.72949074074074072</v>
      </c>
      <c r="AD30" t="s">
        <v>795</v>
      </c>
      <c r="AE30" s="31">
        <v>45929</v>
      </c>
      <c r="AF30" s="61">
        <v>0.7028240740740741</v>
      </c>
      <c r="AG30" t="s">
        <v>796</v>
      </c>
      <c r="AR30">
        <v>1</v>
      </c>
    </row>
    <row r="31" spans="1:44" x14ac:dyDescent="0.3">
      <c r="A31" t="s">
        <v>3217</v>
      </c>
      <c r="B31">
        <v>30</v>
      </c>
      <c r="C31">
        <v>102</v>
      </c>
      <c r="D31">
        <v>97</v>
      </c>
      <c r="G31" t="s">
        <v>3306</v>
      </c>
      <c r="I31" t="s">
        <v>3306</v>
      </c>
      <c r="J31" t="s">
        <v>3306</v>
      </c>
      <c r="K31" t="s">
        <v>3306</v>
      </c>
      <c r="L31">
        <v>19991884278</v>
      </c>
      <c r="N31" t="s">
        <v>3308</v>
      </c>
      <c r="P31" t="s">
        <v>778</v>
      </c>
      <c r="S31" t="s">
        <v>3221</v>
      </c>
      <c r="T31" t="s">
        <v>3222</v>
      </c>
      <c r="U31" t="s">
        <v>3223</v>
      </c>
      <c r="V31" t="s">
        <v>2692</v>
      </c>
      <c r="Z31" t="s">
        <v>3217</v>
      </c>
      <c r="AA31">
        <v>325</v>
      </c>
      <c r="AB31" s="31">
        <v>45604</v>
      </c>
      <c r="AC31" s="61">
        <v>0.72949074074074072</v>
      </c>
      <c r="AD31" t="s">
        <v>795</v>
      </c>
      <c r="AE31" s="31">
        <v>45929</v>
      </c>
      <c r="AF31" s="61">
        <v>0.70284722222222218</v>
      </c>
      <c r="AG31" t="s">
        <v>796</v>
      </c>
      <c r="AR31">
        <v>1</v>
      </c>
    </row>
    <row r="32" spans="1:44" x14ac:dyDescent="0.3">
      <c r="A32" t="s">
        <v>3217</v>
      </c>
      <c r="B32">
        <v>31</v>
      </c>
      <c r="C32">
        <v>103</v>
      </c>
      <c r="D32">
        <v>99</v>
      </c>
      <c r="G32" t="s">
        <v>77</v>
      </c>
      <c r="H32">
        <v>12549273000179</v>
      </c>
      <c r="I32" t="s">
        <v>3309</v>
      </c>
      <c r="J32" t="s">
        <v>3310</v>
      </c>
      <c r="K32" t="s">
        <v>3310</v>
      </c>
      <c r="L32">
        <v>11964460733</v>
      </c>
      <c r="N32" t="s">
        <v>3312</v>
      </c>
      <c r="P32" t="s">
        <v>3313</v>
      </c>
      <c r="Q32" t="s">
        <v>1596</v>
      </c>
      <c r="R32" t="s">
        <v>790</v>
      </c>
      <c r="S32" t="s">
        <v>3221</v>
      </c>
      <c r="T32" t="s">
        <v>3222</v>
      </c>
      <c r="U32" t="s">
        <v>3223</v>
      </c>
      <c r="V32" t="s">
        <v>2692</v>
      </c>
      <c r="Z32" t="s">
        <v>3217</v>
      </c>
      <c r="AA32">
        <v>325</v>
      </c>
      <c r="AB32" s="31">
        <v>45604</v>
      </c>
      <c r="AC32" s="61">
        <v>0.72949074074074072</v>
      </c>
      <c r="AD32" t="s">
        <v>795</v>
      </c>
      <c r="AE32" s="31">
        <v>45929</v>
      </c>
      <c r="AF32" s="61">
        <v>0.70248842592592597</v>
      </c>
      <c r="AG32" t="s">
        <v>796</v>
      </c>
      <c r="AR32">
        <v>1</v>
      </c>
    </row>
    <row r="33" spans="1:44" x14ac:dyDescent="0.3">
      <c r="A33" t="s">
        <v>3217</v>
      </c>
      <c r="B33">
        <v>32</v>
      </c>
      <c r="C33">
        <v>104</v>
      </c>
      <c r="D33">
        <v>101</v>
      </c>
      <c r="G33" t="s">
        <v>3314</v>
      </c>
      <c r="I33" t="s">
        <v>3314</v>
      </c>
      <c r="J33" t="s">
        <v>3314</v>
      </c>
      <c r="K33" t="s">
        <v>3314</v>
      </c>
      <c r="N33" t="s">
        <v>3315</v>
      </c>
      <c r="P33" t="s">
        <v>778</v>
      </c>
      <c r="S33" t="s">
        <v>3221</v>
      </c>
      <c r="T33" t="s">
        <v>3222</v>
      </c>
      <c r="U33" t="s">
        <v>3223</v>
      </c>
      <c r="V33" t="s">
        <v>2692</v>
      </c>
      <c r="Z33" t="s">
        <v>3217</v>
      </c>
      <c r="AA33">
        <v>325</v>
      </c>
      <c r="AB33" s="31">
        <v>45604</v>
      </c>
      <c r="AC33" s="61">
        <v>0.72949074074074072</v>
      </c>
      <c r="AD33" t="s">
        <v>795</v>
      </c>
      <c r="AE33" s="31">
        <v>45929</v>
      </c>
      <c r="AF33" s="61">
        <v>0.7025231481481482</v>
      </c>
      <c r="AG33" t="s">
        <v>796</v>
      </c>
      <c r="AR33">
        <v>1</v>
      </c>
    </row>
    <row r="34" spans="1:44" x14ac:dyDescent="0.3">
      <c r="A34" t="s">
        <v>3217</v>
      </c>
      <c r="B34">
        <v>33</v>
      </c>
      <c r="C34">
        <v>105</v>
      </c>
      <c r="D34">
        <v>103</v>
      </c>
      <c r="G34" t="s">
        <v>3316</v>
      </c>
      <c r="I34" t="s">
        <v>3316</v>
      </c>
      <c r="J34" t="s">
        <v>3316</v>
      </c>
      <c r="K34" t="s">
        <v>3316</v>
      </c>
      <c r="N34" t="s">
        <v>3317</v>
      </c>
      <c r="P34" t="s">
        <v>778</v>
      </c>
      <c r="S34" t="s">
        <v>3221</v>
      </c>
      <c r="T34" t="s">
        <v>3222</v>
      </c>
      <c r="U34" t="s">
        <v>3223</v>
      </c>
      <c r="V34" t="s">
        <v>2692</v>
      </c>
      <c r="Z34" t="s">
        <v>3217</v>
      </c>
      <c r="AA34">
        <v>325</v>
      </c>
      <c r="AB34" s="31">
        <v>45604</v>
      </c>
      <c r="AC34" s="61">
        <v>0.72949074074074072</v>
      </c>
      <c r="AD34" t="s">
        <v>795</v>
      </c>
      <c r="AE34" s="31">
        <v>45929</v>
      </c>
      <c r="AF34" s="61">
        <v>0.70254629629629628</v>
      </c>
      <c r="AG34" t="s">
        <v>796</v>
      </c>
      <c r="AR34">
        <v>1</v>
      </c>
    </row>
    <row r="35" spans="1:44" x14ac:dyDescent="0.3">
      <c r="A35" t="s">
        <v>3217</v>
      </c>
      <c r="B35">
        <v>34</v>
      </c>
      <c r="C35">
        <v>106</v>
      </c>
      <c r="D35">
        <v>105</v>
      </c>
      <c r="G35" t="s">
        <v>3318</v>
      </c>
      <c r="I35" t="s">
        <v>3318</v>
      </c>
      <c r="J35" t="s">
        <v>3318</v>
      </c>
      <c r="K35" t="s">
        <v>3318</v>
      </c>
      <c r="N35" t="s">
        <v>3319</v>
      </c>
      <c r="P35" t="s">
        <v>778</v>
      </c>
      <c r="S35" t="s">
        <v>3221</v>
      </c>
      <c r="T35" t="s">
        <v>3222</v>
      </c>
      <c r="U35" t="s">
        <v>3223</v>
      </c>
      <c r="V35" t="s">
        <v>2692</v>
      </c>
      <c r="Z35" t="s">
        <v>3217</v>
      </c>
      <c r="AA35">
        <v>325</v>
      </c>
      <c r="AB35" s="31">
        <v>45604</v>
      </c>
      <c r="AC35" s="61">
        <v>0.72949074074074072</v>
      </c>
      <c r="AD35" t="s">
        <v>795</v>
      </c>
      <c r="AE35" s="31">
        <v>45929</v>
      </c>
      <c r="AF35" s="61">
        <v>0.70258101851851851</v>
      </c>
      <c r="AG35" t="s">
        <v>796</v>
      </c>
      <c r="AR35">
        <v>1</v>
      </c>
    </row>
    <row r="36" spans="1:44" x14ac:dyDescent="0.3">
      <c r="A36" t="s">
        <v>3217</v>
      </c>
      <c r="B36">
        <v>35</v>
      </c>
      <c r="C36">
        <v>107</v>
      </c>
      <c r="D36">
        <v>107</v>
      </c>
      <c r="G36" t="s">
        <v>427</v>
      </c>
      <c r="H36">
        <v>7527737000297</v>
      </c>
      <c r="I36" t="s">
        <v>427</v>
      </c>
      <c r="J36" t="s">
        <v>427</v>
      </c>
      <c r="K36" t="s">
        <v>427</v>
      </c>
      <c r="N36" t="s">
        <v>3320</v>
      </c>
      <c r="P36" t="s">
        <v>778</v>
      </c>
      <c r="S36" t="s">
        <v>3221</v>
      </c>
      <c r="T36" t="s">
        <v>3222</v>
      </c>
      <c r="U36" t="s">
        <v>3223</v>
      </c>
      <c r="V36" t="s">
        <v>2692</v>
      </c>
      <c r="Z36" t="s">
        <v>3217</v>
      </c>
      <c r="AA36">
        <v>325</v>
      </c>
      <c r="AB36" s="31">
        <v>45604</v>
      </c>
      <c r="AC36" s="61">
        <v>0.72949074074074072</v>
      </c>
      <c r="AD36" t="s">
        <v>795</v>
      </c>
      <c r="AE36" s="31">
        <v>45929</v>
      </c>
      <c r="AF36" s="61">
        <v>0.7026041666666667</v>
      </c>
      <c r="AG36" t="s">
        <v>796</v>
      </c>
      <c r="AR36">
        <v>1</v>
      </c>
    </row>
    <row r="37" spans="1:44" x14ac:dyDescent="0.3">
      <c r="A37" t="s">
        <v>3217</v>
      </c>
      <c r="B37">
        <v>36</v>
      </c>
      <c r="C37">
        <v>108</v>
      </c>
      <c r="D37">
        <v>109</v>
      </c>
      <c r="G37" t="s">
        <v>3321</v>
      </c>
      <c r="I37" t="s">
        <v>3321</v>
      </c>
      <c r="J37" t="s">
        <v>3321</v>
      </c>
      <c r="K37" t="s">
        <v>3321</v>
      </c>
      <c r="N37" t="s">
        <v>3322</v>
      </c>
      <c r="P37" t="s">
        <v>778</v>
      </c>
      <c r="S37" t="s">
        <v>3221</v>
      </c>
      <c r="T37" t="s">
        <v>3222</v>
      </c>
      <c r="U37" t="s">
        <v>3223</v>
      </c>
      <c r="V37" t="s">
        <v>2692</v>
      </c>
      <c r="Z37" t="s">
        <v>3217</v>
      </c>
      <c r="AA37">
        <v>325</v>
      </c>
      <c r="AB37" s="31">
        <v>45604</v>
      </c>
      <c r="AC37" s="61">
        <v>0.72949074074074072</v>
      </c>
      <c r="AD37" t="s">
        <v>795</v>
      </c>
      <c r="AE37" s="31">
        <v>45929</v>
      </c>
      <c r="AF37" s="61">
        <v>0.70263888888888892</v>
      </c>
      <c r="AG37" t="s">
        <v>796</v>
      </c>
      <c r="AR37">
        <v>1</v>
      </c>
    </row>
    <row r="38" spans="1:44" x14ac:dyDescent="0.3">
      <c r="A38" t="s">
        <v>3217</v>
      </c>
      <c r="B38">
        <v>37</v>
      </c>
      <c r="C38">
        <v>109</v>
      </c>
      <c r="D38">
        <v>111</v>
      </c>
      <c r="G38" t="s">
        <v>3323</v>
      </c>
      <c r="I38" t="s">
        <v>3323</v>
      </c>
      <c r="J38" t="s">
        <v>3323</v>
      </c>
      <c r="K38" t="s">
        <v>3323</v>
      </c>
      <c r="N38" t="s">
        <v>3324</v>
      </c>
      <c r="P38" t="s">
        <v>778</v>
      </c>
      <c r="S38" t="s">
        <v>3221</v>
      </c>
      <c r="T38" t="s">
        <v>3222</v>
      </c>
      <c r="U38" t="s">
        <v>3223</v>
      </c>
      <c r="V38" t="s">
        <v>2692</v>
      </c>
      <c r="Z38" t="s">
        <v>3217</v>
      </c>
      <c r="AA38">
        <v>325</v>
      </c>
      <c r="AB38" s="31">
        <v>45604</v>
      </c>
      <c r="AC38" s="61">
        <v>0.72949074074074072</v>
      </c>
      <c r="AD38" t="s">
        <v>795</v>
      </c>
      <c r="AE38" s="31">
        <v>45929</v>
      </c>
      <c r="AF38" s="61">
        <v>0.70267361111111115</v>
      </c>
      <c r="AG38" t="s">
        <v>796</v>
      </c>
      <c r="AR38">
        <v>1</v>
      </c>
    </row>
    <row r="39" spans="1:44" x14ac:dyDescent="0.3">
      <c r="A39" t="s">
        <v>3217</v>
      </c>
      <c r="B39">
        <v>38</v>
      </c>
      <c r="C39">
        <v>110</v>
      </c>
      <c r="D39">
        <v>113</v>
      </c>
      <c r="G39" t="s">
        <v>629</v>
      </c>
      <c r="I39" t="s">
        <v>629</v>
      </c>
      <c r="J39" t="s">
        <v>629</v>
      </c>
      <c r="K39" t="s">
        <v>629</v>
      </c>
      <c r="N39" t="s">
        <v>3325</v>
      </c>
      <c r="P39" t="s">
        <v>778</v>
      </c>
      <c r="S39" t="s">
        <v>3221</v>
      </c>
      <c r="T39" t="s">
        <v>3222</v>
      </c>
      <c r="U39" t="s">
        <v>3223</v>
      </c>
      <c r="V39" t="s">
        <v>2692</v>
      </c>
      <c r="Z39" t="s">
        <v>3217</v>
      </c>
      <c r="AA39">
        <v>325</v>
      </c>
      <c r="AB39" s="31">
        <v>45604</v>
      </c>
      <c r="AC39" s="61">
        <v>0.72949074074074072</v>
      </c>
      <c r="AD39" t="s">
        <v>795</v>
      </c>
      <c r="AE39" s="31">
        <v>45929</v>
      </c>
      <c r="AF39" s="61">
        <v>0.70269675925925923</v>
      </c>
      <c r="AG39" t="s">
        <v>796</v>
      </c>
      <c r="AR39">
        <v>1</v>
      </c>
    </row>
    <row r="40" spans="1:44" x14ac:dyDescent="0.3">
      <c r="A40" t="s">
        <v>3217</v>
      </c>
      <c r="B40">
        <v>39</v>
      </c>
      <c r="C40">
        <v>111</v>
      </c>
      <c r="D40">
        <v>115</v>
      </c>
      <c r="G40" t="s">
        <v>603</v>
      </c>
      <c r="I40" t="s">
        <v>603</v>
      </c>
      <c r="J40" t="s">
        <v>603</v>
      </c>
      <c r="K40" t="s">
        <v>603</v>
      </c>
      <c r="N40" t="s">
        <v>3326</v>
      </c>
      <c r="P40" t="s">
        <v>778</v>
      </c>
      <c r="S40" t="s">
        <v>3221</v>
      </c>
      <c r="T40" t="s">
        <v>3222</v>
      </c>
      <c r="U40" t="s">
        <v>3223</v>
      </c>
      <c r="V40" t="s">
        <v>2692</v>
      </c>
      <c r="Z40" t="s">
        <v>3217</v>
      </c>
      <c r="AA40">
        <v>325</v>
      </c>
      <c r="AB40" s="31">
        <v>45604</v>
      </c>
      <c r="AC40" s="61">
        <v>0.72949074074074072</v>
      </c>
      <c r="AD40" t="s">
        <v>795</v>
      </c>
      <c r="AE40" s="31">
        <v>45929</v>
      </c>
      <c r="AF40" s="61">
        <v>0.70274305555555561</v>
      </c>
      <c r="AG40" t="s">
        <v>796</v>
      </c>
      <c r="AR40">
        <v>1</v>
      </c>
    </row>
    <row r="41" spans="1:44" x14ac:dyDescent="0.3">
      <c r="A41" t="s">
        <v>3217</v>
      </c>
      <c r="B41">
        <v>40</v>
      </c>
      <c r="C41">
        <v>112</v>
      </c>
      <c r="D41">
        <v>117</v>
      </c>
      <c r="G41" t="s">
        <v>3327</v>
      </c>
      <c r="I41" t="s">
        <v>3327</v>
      </c>
      <c r="J41" t="s">
        <v>3327</v>
      </c>
      <c r="K41" t="s">
        <v>3327</v>
      </c>
      <c r="N41" t="s">
        <v>3328</v>
      </c>
      <c r="P41" t="s">
        <v>778</v>
      </c>
      <c r="S41" t="s">
        <v>3221</v>
      </c>
      <c r="T41" t="s">
        <v>3222</v>
      </c>
      <c r="U41" t="s">
        <v>3223</v>
      </c>
      <c r="V41" t="s">
        <v>2692</v>
      </c>
      <c r="Z41" t="s">
        <v>3217</v>
      </c>
      <c r="AA41">
        <v>325</v>
      </c>
      <c r="AB41" s="31">
        <v>45604</v>
      </c>
      <c r="AC41" s="61">
        <v>0.72949074074074072</v>
      </c>
      <c r="AD41" t="s">
        <v>795</v>
      </c>
      <c r="AE41" s="31">
        <v>45929</v>
      </c>
      <c r="AF41" s="61">
        <v>0.70276620370370368</v>
      </c>
      <c r="AG41" t="s">
        <v>796</v>
      </c>
      <c r="AR41">
        <v>1</v>
      </c>
    </row>
    <row r="42" spans="1:44" x14ac:dyDescent="0.3">
      <c r="A42" t="s">
        <v>3217</v>
      </c>
      <c r="B42">
        <v>41</v>
      </c>
      <c r="C42">
        <v>113</v>
      </c>
      <c r="D42">
        <v>119</v>
      </c>
      <c r="G42" t="s">
        <v>65</v>
      </c>
      <c r="I42" t="s">
        <v>65</v>
      </c>
      <c r="J42" t="s">
        <v>65</v>
      </c>
      <c r="K42" t="s">
        <v>65</v>
      </c>
      <c r="N42" t="s">
        <v>3329</v>
      </c>
      <c r="P42" t="s">
        <v>778</v>
      </c>
      <c r="S42" t="s">
        <v>3221</v>
      </c>
      <c r="T42" t="s">
        <v>3222</v>
      </c>
      <c r="U42" t="s">
        <v>3223</v>
      </c>
      <c r="V42" t="s">
        <v>2692</v>
      </c>
      <c r="Z42" t="s">
        <v>3217</v>
      </c>
      <c r="AA42">
        <v>325</v>
      </c>
      <c r="AB42" s="31">
        <v>45604</v>
      </c>
      <c r="AC42" s="61">
        <v>0.72949074074074072</v>
      </c>
      <c r="AD42" t="s">
        <v>795</v>
      </c>
      <c r="AE42" s="31">
        <v>45929</v>
      </c>
      <c r="AF42" s="61">
        <v>0.70278935185185187</v>
      </c>
      <c r="AG42" t="s">
        <v>796</v>
      </c>
      <c r="AR42">
        <v>1</v>
      </c>
    </row>
    <row r="43" spans="1:44" x14ac:dyDescent="0.3">
      <c r="A43" t="s">
        <v>3217</v>
      </c>
      <c r="B43">
        <v>42</v>
      </c>
      <c r="C43">
        <v>114</v>
      </c>
      <c r="D43">
        <v>121</v>
      </c>
      <c r="G43" t="s">
        <v>3330</v>
      </c>
      <c r="I43" t="s">
        <v>3330</v>
      </c>
      <c r="J43" t="s">
        <v>3330</v>
      </c>
      <c r="K43" t="s">
        <v>3330</v>
      </c>
      <c r="L43">
        <v>1532619261</v>
      </c>
      <c r="N43" t="s">
        <v>3332</v>
      </c>
      <c r="P43" t="s">
        <v>778</v>
      </c>
      <c r="S43" t="s">
        <v>3221</v>
      </c>
      <c r="T43" t="s">
        <v>3222</v>
      </c>
      <c r="U43" t="s">
        <v>3223</v>
      </c>
      <c r="V43" t="s">
        <v>2692</v>
      </c>
      <c r="Z43" t="s">
        <v>3217</v>
      </c>
      <c r="AA43">
        <v>325</v>
      </c>
      <c r="AB43" s="31">
        <v>45604</v>
      </c>
      <c r="AC43" s="61">
        <v>0.72949074074074072</v>
      </c>
      <c r="AD43" t="s">
        <v>795</v>
      </c>
      <c r="AE43" s="31">
        <v>45929</v>
      </c>
      <c r="AF43" s="61">
        <v>0.70285879629629633</v>
      </c>
      <c r="AG43" t="s">
        <v>796</v>
      </c>
      <c r="AR43">
        <v>1</v>
      </c>
    </row>
    <row r="44" spans="1:44" x14ac:dyDescent="0.3">
      <c r="A44" t="s">
        <v>3217</v>
      </c>
      <c r="B44">
        <v>43</v>
      </c>
      <c r="C44">
        <v>115</v>
      </c>
      <c r="D44">
        <v>123</v>
      </c>
      <c r="G44" t="s">
        <v>3333</v>
      </c>
      <c r="I44" t="s">
        <v>3333</v>
      </c>
      <c r="J44" t="s">
        <v>3333</v>
      </c>
      <c r="K44" t="s">
        <v>3333</v>
      </c>
      <c r="N44" t="s">
        <v>3334</v>
      </c>
      <c r="P44" t="s">
        <v>778</v>
      </c>
      <c r="S44" t="s">
        <v>3221</v>
      </c>
      <c r="T44" t="s">
        <v>3222</v>
      </c>
      <c r="U44" t="s">
        <v>3223</v>
      </c>
      <c r="V44" t="s">
        <v>2692</v>
      </c>
      <c r="Z44" t="s">
        <v>3217</v>
      </c>
      <c r="AA44">
        <v>325</v>
      </c>
      <c r="AB44" s="31">
        <v>45604</v>
      </c>
      <c r="AC44" s="61">
        <v>0.72949074074074072</v>
      </c>
      <c r="AD44" t="s">
        <v>795</v>
      </c>
      <c r="AE44" s="31">
        <v>45929</v>
      </c>
      <c r="AF44" s="61">
        <v>0.70288194444444441</v>
      </c>
      <c r="AG44" t="s">
        <v>796</v>
      </c>
      <c r="AR44">
        <v>1</v>
      </c>
    </row>
    <row r="45" spans="1:44" x14ac:dyDescent="0.3">
      <c r="A45" t="s">
        <v>3217</v>
      </c>
      <c r="B45">
        <v>44</v>
      </c>
      <c r="C45">
        <v>116</v>
      </c>
      <c r="D45">
        <v>125</v>
      </c>
      <c r="G45" t="s">
        <v>3335</v>
      </c>
      <c r="I45" t="s">
        <v>3335</v>
      </c>
      <c r="J45" t="s">
        <v>3335</v>
      </c>
      <c r="K45" t="s">
        <v>3335</v>
      </c>
      <c r="L45">
        <v>6536612571</v>
      </c>
      <c r="N45" t="s">
        <v>3337</v>
      </c>
      <c r="P45" t="s">
        <v>778</v>
      </c>
      <c r="Q45" t="s">
        <v>3338</v>
      </c>
      <c r="R45" t="s">
        <v>3339</v>
      </c>
      <c r="S45" t="s">
        <v>3221</v>
      </c>
      <c r="T45" t="s">
        <v>3222</v>
      </c>
      <c r="U45" t="s">
        <v>3223</v>
      </c>
      <c r="V45" t="s">
        <v>2692</v>
      </c>
      <c r="Z45" t="s">
        <v>3217</v>
      </c>
      <c r="AA45">
        <v>325</v>
      </c>
      <c r="AB45" s="31">
        <v>45604</v>
      </c>
      <c r="AC45" s="61">
        <v>0.72950231481481487</v>
      </c>
      <c r="AD45" t="s">
        <v>795</v>
      </c>
      <c r="AE45" s="31">
        <v>45929</v>
      </c>
      <c r="AF45" s="61">
        <v>0.70289351851851856</v>
      </c>
      <c r="AG45" t="s">
        <v>796</v>
      </c>
      <c r="AR45">
        <v>1</v>
      </c>
    </row>
    <row r="46" spans="1:44" x14ac:dyDescent="0.3">
      <c r="A46" t="s">
        <v>3217</v>
      </c>
      <c r="B46">
        <v>45</v>
      </c>
      <c r="C46">
        <v>117</v>
      </c>
      <c r="D46">
        <v>127</v>
      </c>
      <c r="G46" t="s">
        <v>3340</v>
      </c>
      <c r="I46" t="s">
        <v>3340</v>
      </c>
      <c r="J46" t="s">
        <v>3340</v>
      </c>
      <c r="K46" t="s">
        <v>3340</v>
      </c>
      <c r="N46" t="s">
        <v>3341</v>
      </c>
      <c r="P46" t="s">
        <v>778</v>
      </c>
      <c r="S46" t="s">
        <v>3221</v>
      </c>
      <c r="T46" t="s">
        <v>3222</v>
      </c>
      <c r="U46" t="s">
        <v>3223</v>
      </c>
      <c r="V46" t="s">
        <v>2692</v>
      </c>
      <c r="Z46" t="s">
        <v>3217</v>
      </c>
      <c r="AA46">
        <v>325</v>
      </c>
      <c r="AB46" s="31">
        <v>45604</v>
      </c>
      <c r="AC46" s="61">
        <v>0.72950231481481487</v>
      </c>
      <c r="AD46" t="s">
        <v>795</v>
      </c>
      <c r="AE46" s="31">
        <v>45929</v>
      </c>
      <c r="AF46" s="61">
        <v>0.70292824074074078</v>
      </c>
      <c r="AG46" t="s">
        <v>796</v>
      </c>
      <c r="AR46">
        <v>1</v>
      </c>
    </row>
    <row r="47" spans="1:44" x14ac:dyDescent="0.3">
      <c r="A47" t="s">
        <v>3217</v>
      </c>
      <c r="B47">
        <v>46</v>
      </c>
      <c r="C47">
        <v>118</v>
      </c>
      <c r="D47">
        <v>129</v>
      </c>
      <c r="G47" t="s">
        <v>686</v>
      </c>
      <c r="I47" t="s">
        <v>686</v>
      </c>
      <c r="J47" t="s">
        <v>686</v>
      </c>
      <c r="K47" t="s">
        <v>686</v>
      </c>
      <c r="L47">
        <v>4133735432</v>
      </c>
      <c r="N47" t="s">
        <v>3343</v>
      </c>
      <c r="P47" t="s">
        <v>778</v>
      </c>
      <c r="S47" t="s">
        <v>3221</v>
      </c>
      <c r="T47" t="s">
        <v>3222</v>
      </c>
      <c r="U47" t="s">
        <v>3223</v>
      </c>
      <c r="V47" t="s">
        <v>2692</v>
      </c>
      <c r="Z47" t="s">
        <v>3217</v>
      </c>
      <c r="AA47">
        <v>325</v>
      </c>
      <c r="AB47" s="31">
        <v>45604</v>
      </c>
      <c r="AC47" s="61">
        <v>0.72950231481481487</v>
      </c>
      <c r="AD47" t="s">
        <v>795</v>
      </c>
      <c r="AE47" s="31">
        <v>45929</v>
      </c>
      <c r="AF47" s="61">
        <v>0.70248842592592597</v>
      </c>
      <c r="AG47" t="s">
        <v>796</v>
      </c>
      <c r="AR47">
        <v>1</v>
      </c>
    </row>
    <row r="48" spans="1:44" x14ac:dyDescent="0.3">
      <c r="A48" t="s">
        <v>3217</v>
      </c>
      <c r="B48">
        <v>47</v>
      </c>
      <c r="C48">
        <v>119</v>
      </c>
      <c r="D48">
        <v>131</v>
      </c>
      <c r="G48" t="s">
        <v>608</v>
      </c>
      <c r="I48" t="s">
        <v>608</v>
      </c>
      <c r="J48" t="s">
        <v>608</v>
      </c>
      <c r="K48" t="s">
        <v>608</v>
      </c>
      <c r="L48">
        <v>1135770555</v>
      </c>
      <c r="N48" t="s">
        <v>3345</v>
      </c>
      <c r="P48" t="s">
        <v>778</v>
      </c>
      <c r="S48" t="s">
        <v>3221</v>
      </c>
      <c r="T48" t="s">
        <v>3222</v>
      </c>
      <c r="U48" t="s">
        <v>3223</v>
      </c>
      <c r="V48" t="s">
        <v>2692</v>
      </c>
      <c r="Z48" t="s">
        <v>3217</v>
      </c>
      <c r="AA48">
        <v>325</v>
      </c>
      <c r="AB48" s="31">
        <v>45604</v>
      </c>
      <c r="AC48" s="61">
        <v>0.72950231481481487</v>
      </c>
      <c r="AD48" t="s">
        <v>795</v>
      </c>
      <c r="AE48" s="31">
        <v>45929</v>
      </c>
      <c r="AF48" s="61">
        <v>0.70251157407407405</v>
      </c>
      <c r="AG48" t="s">
        <v>796</v>
      </c>
      <c r="AR48">
        <v>1</v>
      </c>
    </row>
    <row r="49" spans="1:44" x14ac:dyDescent="0.3">
      <c r="A49" t="s">
        <v>3217</v>
      </c>
      <c r="B49">
        <v>48</v>
      </c>
      <c r="C49">
        <v>120</v>
      </c>
      <c r="D49">
        <v>133</v>
      </c>
      <c r="G49" t="s">
        <v>3346</v>
      </c>
      <c r="I49" t="s">
        <v>3346</v>
      </c>
      <c r="J49" t="s">
        <v>3346</v>
      </c>
      <c r="K49" t="s">
        <v>3346</v>
      </c>
      <c r="N49" t="s">
        <v>3347</v>
      </c>
      <c r="P49" t="s">
        <v>778</v>
      </c>
      <c r="S49" t="s">
        <v>3221</v>
      </c>
      <c r="T49" t="s">
        <v>3222</v>
      </c>
      <c r="U49" t="s">
        <v>3223</v>
      </c>
      <c r="V49" t="s">
        <v>2692</v>
      </c>
      <c r="Z49" t="s">
        <v>3217</v>
      </c>
      <c r="AA49">
        <v>325</v>
      </c>
      <c r="AB49" s="31">
        <v>45604</v>
      </c>
      <c r="AC49" s="61">
        <v>0.72950231481481487</v>
      </c>
      <c r="AD49" t="s">
        <v>795</v>
      </c>
      <c r="AE49" s="31">
        <v>45929</v>
      </c>
      <c r="AF49" s="61">
        <v>0.70253472222222224</v>
      </c>
      <c r="AG49" t="s">
        <v>796</v>
      </c>
      <c r="AR49">
        <v>1</v>
      </c>
    </row>
    <row r="50" spans="1:44" x14ac:dyDescent="0.3">
      <c r="A50" t="s">
        <v>3217</v>
      </c>
      <c r="B50">
        <v>49</v>
      </c>
      <c r="C50">
        <v>121</v>
      </c>
      <c r="D50">
        <v>135</v>
      </c>
      <c r="G50" t="s">
        <v>3348</v>
      </c>
      <c r="I50" t="s">
        <v>3348</v>
      </c>
      <c r="J50" t="s">
        <v>3348</v>
      </c>
      <c r="K50" t="s">
        <v>3348</v>
      </c>
      <c r="N50" t="s">
        <v>3349</v>
      </c>
      <c r="P50" t="s">
        <v>778</v>
      </c>
      <c r="S50" t="s">
        <v>3221</v>
      </c>
      <c r="T50" t="s">
        <v>3222</v>
      </c>
      <c r="U50" t="s">
        <v>3223</v>
      </c>
      <c r="V50" t="s">
        <v>2692</v>
      </c>
      <c r="Z50" t="s">
        <v>3217</v>
      </c>
      <c r="AA50">
        <v>325</v>
      </c>
      <c r="AB50" s="31">
        <v>45604</v>
      </c>
      <c r="AC50" s="61">
        <v>0.72950231481481487</v>
      </c>
      <c r="AD50" t="s">
        <v>795</v>
      </c>
      <c r="AE50" s="31">
        <v>45929</v>
      </c>
      <c r="AF50" s="61">
        <v>0.70255787037037032</v>
      </c>
      <c r="AG50" t="s">
        <v>796</v>
      </c>
      <c r="AR50">
        <v>1</v>
      </c>
    </row>
    <row r="51" spans="1:44" x14ac:dyDescent="0.3">
      <c r="A51" t="s">
        <v>3217</v>
      </c>
      <c r="B51">
        <v>50</v>
      </c>
      <c r="C51">
        <v>122</v>
      </c>
      <c r="D51">
        <v>137</v>
      </c>
      <c r="G51" t="s">
        <v>680</v>
      </c>
      <c r="I51" t="s">
        <v>680</v>
      </c>
      <c r="J51" t="s">
        <v>680</v>
      </c>
      <c r="K51" t="s">
        <v>680</v>
      </c>
      <c r="L51">
        <v>1126751375</v>
      </c>
      <c r="N51" t="s">
        <v>3351</v>
      </c>
      <c r="P51" t="s">
        <v>778</v>
      </c>
      <c r="S51" t="s">
        <v>3221</v>
      </c>
      <c r="T51" t="s">
        <v>3222</v>
      </c>
      <c r="U51" t="s">
        <v>3223</v>
      </c>
      <c r="V51" t="s">
        <v>2692</v>
      </c>
      <c r="Z51" t="s">
        <v>3217</v>
      </c>
      <c r="AA51">
        <v>325</v>
      </c>
      <c r="AB51" s="31">
        <v>45604</v>
      </c>
      <c r="AC51" s="61">
        <v>0.72950231481481487</v>
      </c>
      <c r="AD51" t="s">
        <v>795</v>
      </c>
      <c r="AE51" s="31">
        <v>45929</v>
      </c>
      <c r="AF51" s="61">
        <v>0.70258101851851851</v>
      </c>
      <c r="AG51" t="s">
        <v>796</v>
      </c>
      <c r="AR51">
        <v>1</v>
      </c>
    </row>
    <row r="52" spans="1:44" x14ac:dyDescent="0.3">
      <c r="A52" t="s">
        <v>3217</v>
      </c>
      <c r="B52">
        <v>51</v>
      </c>
      <c r="C52">
        <v>123</v>
      </c>
      <c r="D52">
        <v>139</v>
      </c>
      <c r="G52" t="s">
        <v>647</v>
      </c>
      <c r="I52" t="s">
        <v>647</v>
      </c>
      <c r="J52" t="s">
        <v>647</v>
      </c>
      <c r="K52" t="s">
        <v>647</v>
      </c>
      <c r="L52">
        <v>1147433053</v>
      </c>
      <c r="N52" t="s">
        <v>3353</v>
      </c>
      <c r="P52" t="s">
        <v>778</v>
      </c>
      <c r="S52" t="s">
        <v>3221</v>
      </c>
      <c r="T52" t="s">
        <v>3222</v>
      </c>
      <c r="U52" t="s">
        <v>3223</v>
      </c>
      <c r="V52" t="s">
        <v>2692</v>
      </c>
      <c r="Z52" t="s">
        <v>3217</v>
      </c>
      <c r="AA52">
        <v>325</v>
      </c>
      <c r="AB52" s="31">
        <v>45604</v>
      </c>
      <c r="AC52" s="61">
        <v>0.72950231481481487</v>
      </c>
      <c r="AD52" t="s">
        <v>795</v>
      </c>
      <c r="AE52" s="31">
        <v>45929</v>
      </c>
      <c r="AF52" s="61">
        <v>0.7026041666666667</v>
      </c>
      <c r="AG52" t="s">
        <v>796</v>
      </c>
      <c r="AR52">
        <v>1</v>
      </c>
    </row>
    <row r="53" spans="1:44" x14ac:dyDescent="0.3">
      <c r="A53" t="s">
        <v>3217</v>
      </c>
      <c r="B53">
        <v>52</v>
      </c>
      <c r="C53">
        <v>124</v>
      </c>
      <c r="D53">
        <v>141</v>
      </c>
      <c r="G53" t="s">
        <v>3354</v>
      </c>
      <c r="I53" t="s">
        <v>3354</v>
      </c>
      <c r="J53" t="s">
        <v>3354</v>
      </c>
      <c r="K53" t="s">
        <v>3354</v>
      </c>
      <c r="N53" t="s">
        <v>3355</v>
      </c>
      <c r="P53" t="s">
        <v>778</v>
      </c>
      <c r="S53" t="s">
        <v>3221</v>
      </c>
      <c r="T53" t="s">
        <v>3222</v>
      </c>
      <c r="U53" t="s">
        <v>3223</v>
      </c>
      <c r="V53" t="s">
        <v>2692</v>
      </c>
      <c r="Z53" t="s">
        <v>3217</v>
      </c>
      <c r="AA53">
        <v>325</v>
      </c>
      <c r="AB53" s="31">
        <v>45604</v>
      </c>
      <c r="AC53" s="61">
        <v>0.72950231481481487</v>
      </c>
      <c r="AD53" t="s">
        <v>795</v>
      </c>
      <c r="AE53" s="31">
        <v>45929</v>
      </c>
      <c r="AF53" s="61">
        <v>0.70262731481481477</v>
      </c>
      <c r="AG53" t="s">
        <v>796</v>
      </c>
      <c r="AR53">
        <v>1</v>
      </c>
    </row>
    <row r="54" spans="1:44" x14ac:dyDescent="0.3">
      <c r="A54" t="s">
        <v>3217</v>
      </c>
      <c r="B54">
        <v>53</v>
      </c>
      <c r="C54">
        <v>125</v>
      </c>
      <c r="D54">
        <v>143</v>
      </c>
      <c r="G54" t="s">
        <v>3356</v>
      </c>
      <c r="I54" t="s">
        <v>3356</v>
      </c>
      <c r="J54" t="s">
        <v>3356</v>
      </c>
      <c r="K54" t="s">
        <v>3356</v>
      </c>
      <c r="N54" t="s">
        <v>3357</v>
      </c>
      <c r="P54" t="s">
        <v>778</v>
      </c>
      <c r="S54" t="s">
        <v>3221</v>
      </c>
      <c r="T54" t="s">
        <v>3222</v>
      </c>
      <c r="U54" t="s">
        <v>3223</v>
      </c>
      <c r="V54" t="s">
        <v>2692</v>
      </c>
      <c r="Z54" t="s">
        <v>3217</v>
      </c>
      <c r="AA54">
        <v>325</v>
      </c>
      <c r="AB54" s="31">
        <v>45604</v>
      </c>
      <c r="AC54" s="61">
        <v>0.72950231481481487</v>
      </c>
      <c r="AD54" t="s">
        <v>795</v>
      </c>
      <c r="AE54" s="31">
        <v>45929</v>
      </c>
      <c r="AF54" s="61">
        <v>0.702662037037037</v>
      </c>
      <c r="AG54" t="s">
        <v>796</v>
      </c>
      <c r="AR54">
        <v>1</v>
      </c>
    </row>
    <row r="55" spans="1:44" x14ac:dyDescent="0.3">
      <c r="A55" t="s">
        <v>3217</v>
      </c>
      <c r="B55">
        <v>54</v>
      </c>
      <c r="C55">
        <v>126</v>
      </c>
      <c r="D55">
        <v>145</v>
      </c>
      <c r="G55" t="s">
        <v>3358</v>
      </c>
      <c r="I55" t="s">
        <v>3358</v>
      </c>
      <c r="J55" t="s">
        <v>3358</v>
      </c>
      <c r="K55" t="s">
        <v>3358</v>
      </c>
      <c r="N55" t="s">
        <v>3359</v>
      </c>
      <c r="P55" t="s">
        <v>778</v>
      </c>
      <c r="S55" t="s">
        <v>3221</v>
      </c>
      <c r="T55" t="s">
        <v>3222</v>
      </c>
      <c r="U55" t="s">
        <v>3223</v>
      </c>
      <c r="V55" t="s">
        <v>2692</v>
      </c>
      <c r="Z55" t="s">
        <v>3217</v>
      </c>
      <c r="AA55">
        <v>325</v>
      </c>
      <c r="AB55" s="31">
        <v>45604</v>
      </c>
      <c r="AC55" s="61">
        <v>0.72950231481481487</v>
      </c>
      <c r="AD55" t="s">
        <v>795</v>
      </c>
      <c r="AE55" s="31">
        <v>45929</v>
      </c>
      <c r="AF55" s="61">
        <v>0.70270833333333338</v>
      </c>
      <c r="AG55" t="s">
        <v>796</v>
      </c>
      <c r="AR55">
        <v>1</v>
      </c>
    </row>
    <row r="56" spans="1:44" x14ac:dyDescent="0.3">
      <c r="A56" t="s">
        <v>3217</v>
      </c>
      <c r="B56">
        <v>55</v>
      </c>
      <c r="C56">
        <v>127</v>
      </c>
      <c r="D56">
        <v>147</v>
      </c>
      <c r="G56" t="s">
        <v>3360</v>
      </c>
      <c r="I56" t="s">
        <v>3360</v>
      </c>
      <c r="J56" t="s">
        <v>3360</v>
      </c>
      <c r="K56" t="s">
        <v>3360</v>
      </c>
      <c r="L56">
        <v>1239073000</v>
      </c>
      <c r="N56" t="s">
        <v>3362</v>
      </c>
      <c r="P56" t="s">
        <v>778</v>
      </c>
      <c r="S56" t="s">
        <v>3221</v>
      </c>
      <c r="T56" t="s">
        <v>3222</v>
      </c>
      <c r="U56" t="s">
        <v>3223</v>
      </c>
      <c r="V56" t="s">
        <v>2692</v>
      </c>
      <c r="Z56" t="s">
        <v>3217</v>
      </c>
      <c r="AA56">
        <v>325</v>
      </c>
      <c r="AB56" s="31">
        <v>45604</v>
      </c>
      <c r="AC56" s="61">
        <v>0.72950231481481487</v>
      </c>
      <c r="AD56" t="s">
        <v>795</v>
      </c>
      <c r="AE56" s="31">
        <v>45929</v>
      </c>
      <c r="AF56" s="61">
        <v>0.70274305555555561</v>
      </c>
      <c r="AG56" t="s">
        <v>796</v>
      </c>
      <c r="AR56">
        <v>1</v>
      </c>
    </row>
    <row r="57" spans="1:44" x14ac:dyDescent="0.3">
      <c r="A57" t="s">
        <v>3217</v>
      </c>
      <c r="B57">
        <v>56</v>
      </c>
      <c r="C57">
        <v>128</v>
      </c>
      <c r="D57">
        <v>149</v>
      </c>
      <c r="G57" t="s">
        <v>3363</v>
      </c>
      <c r="I57" t="s">
        <v>3363</v>
      </c>
      <c r="J57" t="s">
        <v>3363</v>
      </c>
      <c r="K57" t="s">
        <v>3363</v>
      </c>
      <c r="N57" t="s">
        <v>3364</v>
      </c>
      <c r="P57" t="s">
        <v>778</v>
      </c>
      <c r="S57" t="s">
        <v>3221</v>
      </c>
      <c r="T57" t="s">
        <v>3222</v>
      </c>
      <c r="U57" t="s">
        <v>3223</v>
      </c>
      <c r="V57" t="s">
        <v>2692</v>
      </c>
      <c r="Z57" t="s">
        <v>3217</v>
      </c>
      <c r="AA57">
        <v>325</v>
      </c>
      <c r="AB57" s="31">
        <v>45604</v>
      </c>
      <c r="AC57" s="61">
        <v>0.72950231481481487</v>
      </c>
      <c r="AD57" t="s">
        <v>795</v>
      </c>
      <c r="AE57" s="31">
        <v>45929</v>
      </c>
      <c r="AF57" s="61">
        <v>0.70277777777777772</v>
      </c>
      <c r="AG57" t="s">
        <v>796</v>
      </c>
      <c r="AR57">
        <v>1</v>
      </c>
    </row>
    <row r="58" spans="1:44" x14ac:dyDescent="0.3">
      <c r="A58" t="s">
        <v>3217</v>
      </c>
      <c r="B58">
        <v>57</v>
      </c>
      <c r="C58">
        <v>129</v>
      </c>
      <c r="D58">
        <v>151</v>
      </c>
      <c r="G58" t="s">
        <v>679</v>
      </c>
      <c r="I58" t="s">
        <v>679</v>
      </c>
      <c r="J58" t="s">
        <v>679</v>
      </c>
      <c r="K58" t="s">
        <v>679</v>
      </c>
      <c r="L58">
        <v>1532634682</v>
      </c>
      <c r="N58" t="s">
        <v>3366</v>
      </c>
      <c r="P58" t="s">
        <v>778</v>
      </c>
      <c r="S58" t="s">
        <v>3221</v>
      </c>
      <c r="T58" t="s">
        <v>3222</v>
      </c>
      <c r="U58" t="s">
        <v>3223</v>
      </c>
      <c r="V58" t="s">
        <v>2692</v>
      </c>
      <c r="Z58" t="s">
        <v>3217</v>
      </c>
      <c r="AA58">
        <v>325</v>
      </c>
      <c r="AB58" s="31">
        <v>45604</v>
      </c>
      <c r="AC58" s="61">
        <v>0.72950231481481487</v>
      </c>
      <c r="AD58" t="s">
        <v>795</v>
      </c>
      <c r="AE58" s="31">
        <v>45929</v>
      </c>
      <c r="AF58" s="61">
        <v>0.70280092592592591</v>
      </c>
      <c r="AG58" t="s">
        <v>796</v>
      </c>
      <c r="AR58">
        <v>1</v>
      </c>
    </row>
    <row r="59" spans="1:44" x14ac:dyDescent="0.3">
      <c r="A59" t="s">
        <v>3217</v>
      </c>
      <c r="B59">
        <v>58</v>
      </c>
      <c r="C59">
        <v>130</v>
      </c>
      <c r="D59">
        <v>153</v>
      </c>
      <c r="G59" t="s">
        <v>141</v>
      </c>
      <c r="I59" t="s">
        <v>141</v>
      </c>
      <c r="J59" t="s">
        <v>141</v>
      </c>
      <c r="K59" t="s">
        <v>141</v>
      </c>
      <c r="L59">
        <v>11981928552</v>
      </c>
      <c r="N59" t="s">
        <v>3368</v>
      </c>
      <c r="P59" t="s">
        <v>778</v>
      </c>
      <c r="Q59" t="s">
        <v>923</v>
      </c>
      <c r="R59" t="s">
        <v>790</v>
      </c>
      <c r="S59" t="s">
        <v>3221</v>
      </c>
      <c r="T59" t="s">
        <v>3222</v>
      </c>
      <c r="U59" t="s">
        <v>3223</v>
      </c>
      <c r="V59" t="s">
        <v>2692</v>
      </c>
      <c r="Z59" t="s">
        <v>3217</v>
      </c>
      <c r="AA59">
        <v>325</v>
      </c>
      <c r="AB59" s="31">
        <v>45604</v>
      </c>
      <c r="AC59" s="61">
        <v>0.72950231481481487</v>
      </c>
      <c r="AD59" t="s">
        <v>795</v>
      </c>
      <c r="AE59" s="31">
        <v>45929</v>
      </c>
      <c r="AF59" s="61">
        <v>0.7028240740740741</v>
      </c>
      <c r="AG59" t="s">
        <v>796</v>
      </c>
      <c r="AR59">
        <v>1</v>
      </c>
    </row>
    <row r="60" spans="1:44" x14ac:dyDescent="0.3">
      <c r="A60" t="s">
        <v>3217</v>
      </c>
      <c r="B60">
        <v>59</v>
      </c>
      <c r="C60">
        <v>131</v>
      </c>
      <c r="D60">
        <v>155</v>
      </c>
      <c r="G60" t="s">
        <v>3369</v>
      </c>
      <c r="I60" t="s">
        <v>3369</v>
      </c>
      <c r="J60" t="s">
        <v>3369</v>
      </c>
      <c r="K60" t="s">
        <v>3369</v>
      </c>
      <c r="L60">
        <v>54996116346</v>
      </c>
      <c r="N60" t="s">
        <v>3371</v>
      </c>
      <c r="P60" t="s">
        <v>778</v>
      </c>
      <c r="Q60" t="s">
        <v>3372</v>
      </c>
      <c r="R60" t="s">
        <v>1027</v>
      </c>
      <c r="S60" t="s">
        <v>3221</v>
      </c>
      <c r="T60" t="s">
        <v>3222</v>
      </c>
      <c r="U60" t="s">
        <v>3223</v>
      </c>
      <c r="V60" t="s">
        <v>2692</v>
      </c>
      <c r="Z60" t="s">
        <v>3217</v>
      </c>
      <c r="AA60">
        <v>325</v>
      </c>
      <c r="AB60" s="31">
        <v>45604</v>
      </c>
      <c r="AC60" s="61">
        <v>0.72950231481481487</v>
      </c>
      <c r="AD60" t="s">
        <v>795</v>
      </c>
      <c r="AE60" s="31">
        <v>45929</v>
      </c>
      <c r="AF60" s="61">
        <v>0.70284722222222218</v>
      </c>
      <c r="AG60" t="s">
        <v>796</v>
      </c>
      <c r="AR60">
        <v>1</v>
      </c>
    </row>
    <row r="61" spans="1:44" x14ac:dyDescent="0.3">
      <c r="A61" t="s">
        <v>3217</v>
      </c>
      <c r="B61">
        <v>60</v>
      </c>
      <c r="C61">
        <v>132</v>
      </c>
      <c r="D61">
        <v>157</v>
      </c>
      <c r="G61" t="s">
        <v>3373</v>
      </c>
      <c r="I61" t="s">
        <v>3373</v>
      </c>
      <c r="J61" t="s">
        <v>3373</v>
      </c>
      <c r="K61" t="s">
        <v>3373</v>
      </c>
      <c r="L61">
        <v>11947096696</v>
      </c>
      <c r="N61" t="s">
        <v>3375</v>
      </c>
      <c r="P61" t="s">
        <v>778</v>
      </c>
      <c r="S61" t="s">
        <v>3221</v>
      </c>
      <c r="T61" t="s">
        <v>3222</v>
      </c>
      <c r="U61" t="s">
        <v>3223</v>
      </c>
      <c r="V61" t="s">
        <v>2692</v>
      </c>
      <c r="Z61" t="s">
        <v>3217</v>
      </c>
      <c r="AA61">
        <v>325</v>
      </c>
      <c r="AB61" s="31">
        <v>45604</v>
      </c>
      <c r="AC61" s="61">
        <v>0.72950231481481487</v>
      </c>
      <c r="AD61" t="s">
        <v>795</v>
      </c>
      <c r="AE61" s="31">
        <v>45929</v>
      </c>
      <c r="AF61" s="61">
        <v>0.70288194444444441</v>
      </c>
      <c r="AG61" t="s">
        <v>796</v>
      </c>
      <c r="AR61">
        <v>1</v>
      </c>
    </row>
    <row r="62" spans="1:44" x14ac:dyDescent="0.3">
      <c r="A62" t="s">
        <v>3217</v>
      </c>
      <c r="B62">
        <v>61</v>
      </c>
      <c r="C62">
        <v>133</v>
      </c>
      <c r="D62">
        <v>159</v>
      </c>
      <c r="G62" t="s">
        <v>625</v>
      </c>
      <c r="I62" t="s">
        <v>625</v>
      </c>
      <c r="J62" t="s">
        <v>625</v>
      </c>
      <c r="K62" t="s">
        <v>625</v>
      </c>
      <c r="L62">
        <v>1166117236</v>
      </c>
      <c r="N62" t="s">
        <v>2207</v>
      </c>
      <c r="P62" t="s">
        <v>778</v>
      </c>
      <c r="S62" t="s">
        <v>3221</v>
      </c>
      <c r="T62" t="s">
        <v>3222</v>
      </c>
      <c r="U62" t="s">
        <v>3223</v>
      </c>
      <c r="V62" t="s">
        <v>2692</v>
      </c>
      <c r="Z62" t="s">
        <v>3217</v>
      </c>
      <c r="AA62">
        <v>325</v>
      </c>
      <c r="AB62" s="31">
        <v>45604</v>
      </c>
      <c r="AC62" s="61">
        <v>0.72951388888888891</v>
      </c>
      <c r="AD62" t="s">
        <v>795</v>
      </c>
      <c r="AE62" s="31">
        <v>45929</v>
      </c>
      <c r="AF62" s="61">
        <v>0.70248842592592597</v>
      </c>
      <c r="AG62" t="s">
        <v>796</v>
      </c>
      <c r="AR62">
        <v>1</v>
      </c>
    </row>
    <row r="63" spans="1:44" x14ac:dyDescent="0.3">
      <c r="A63" t="s">
        <v>3217</v>
      </c>
      <c r="B63">
        <v>62</v>
      </c>
      <c r="C63">
        <v>134</v>
      </c>
      <c r="D63">
        <v>161</v>
      </c>
      <c r="G63" t="s">
        <v>3377</v>
      </c>
      <c r="I63" t="s">
        <v>3377</v>
      </c>
      <c r="J63" t="s">
        <v>3377</v>
      </c>
      <c r="K63" t="s">
        <v>3377</v>
      </c>
      <c r="L63">
        <v>11992475223</v>
      </c>
      <c r="N63" t="s">
        <v>3379</v>
      </c>
      <c r="P63" t="s">
        <v>778</v>
      </c>
      <c r="S63" t="s">
        <v>3221</v>
      </c>
      <c r="T63" t="s">
        <v>3222</v>
      </c>
      <c r="U63" t="s">
        <v>3223</v>
      </c>
      <c r="V63" t="s">
        <v>2692</v>
      </c>
      <c r="Z63" t="s">
        <v>3217</v>
      </c>
      <c r="AA63">
        <v>325</v>
      </c>
      <c r="AB63" s="31">
        <v>45604</v>
      </c>
      <c r="AC63" s="61">
        <v>0.72951388888888891</v>
      </c>
      <c r="AD63" t="s">
        <v>795</v>
      </c>
      <c r="AE63" s="31">
        <v>45929</v>
      </c>
      <c r="AF63" s="61">
        <v>0.7025231481481482</v>
      </c>
      <c r="AG63" t="s">
        <v>796</v>
      </c>
      <c r="AR63">
        <v>1</v>
      </c>
    </row>
    <row r="64" spans="1:44" x14ac:dyDescent="0.3">
      <c r="A64" t="s">
        <v>3217</v>
      </c>
      <c r="B64">
        <v>63</v>
      </c>
      <c r="C64">
        <v>135</v>
      </c>
      <c r="D64">
        <v>163</v>
      </c>
      <c r="G64" t="s">
        <v>229</v>
      </c>
      <c r="I64" t="s">
        <v>229</v>
      </c>
      <c r="J64" t="s">
        <v>229</v>
      </c>
      <c r="K64" t="s">
        <v>229</v>
      </c>
      <c r="L64">
        <v>43991563004</v>
      </c>
      <c r="N64" t="s">
        <v>3381</v>
      </c>
      <c r="P64" t="s">
        <v>778</v>
      </c>
      <c r="S64" t="s">
        <v>3221</v>
      </c>
      <c r="T64" t="s">
        <v>3222</v>
      </c>
      <c r="U64" t="s">
        <v>3223</v>
      </c>
      <c r="V64" t="s">
        <v>2692</v>
      </c>
      <c r="Z64" t="s">
        <v>3217</v>
      </c>
      <c r="AA64">
        <v>325</v>
      </c>
      <c r="AB64" s="31">
        <v>45604</v>
      </c>
      <c r="AC64" s="61">
        <v>0.72951388888888891</v>
      </c>
      <c r="AD64" t="s">
        <v>795</v>
      </c>
      <c r="AE64" s="31">
        <v>45929</v>
      </c>
      <c r="AF64" s="61">
        <v>0.70254629629629628</v>
      </c>
      <c r="AG64" t="s">
        <v>796</v>
      </c>
      <c r="AR64">
        <v>1</v>
      </c>
    </row>
    <row r="65" spans="1:44" x14ac:dyDescent="0.3">
      <c r="A65" t="s">
        <v>3217</v>
      </c>
      <c r="B65">
        <v>64</v>
      </c>
      <c r="C65">
        <v>136</v>
      </c>
      <c r="D65">
        <v>165</v>
      </c>
      <c r="G65" t="s">
        <v>3382</v>
      </c>
      <c r="I65" t="s">
        <v>3382</v>
      </c>
      <c r="J65" t="s">
        <v>3382</v>
      </c>
      <c r="K65" t="s">
        <v>3382</v>
      </c>
      <c r="L65">
        <v>19996232473</v>
      </c>
      <c r="N65" t="s">
        <v>3384</v>
      </c>
      <c r="P65" t="s">
        <v>778</v>
      </c>
      <c r="S65" t="s">
        <v>3221</v>
      </c>
      <c r="T65" t="s">
        <v>3222</v>
      </c>
      <c r="U65" t="s">
        <v>3223</v>
      </c>
      <c r="V65" t="s">
        <v>2692</v>
      </c>
      <c r="Z65" t="s">
        <v>3217</v>
      </c>
      <c r="AA65">
        <v>325</v>
      </c>
      <c r="AB65" s="31">
        <v>45604</v>
      </c>
      <c r="AC65" s="61">
        <v>0.72951388888888891</v>
      </c>
      <c r="AD65" t="s">
        <v>795</v>
      </c>
      <c r="AE65" s="31">
        <v>45929</v>
      </c>
      <c r="AF65" s="61">
        <v>0.70256944444444447</v>
      </c>
      <c r="AG65" t="s">
        <v>796</v>
      </c>
      <c r="AR65">
        <v>1</v>
      </c>
    </row>
    <row r="66" spans="1:44" x14ac:dyDescent="0.3">
      <c r="A66" t="s">
        <v>3217</v>
      </c>
      <c r="B66">
        <v>65</v>
      </c>
      <c r="C66">
        <v>137</v>
      </c>
      <c r="D66">
        <v>167</v>
      </c>
      <c r="G66" t="s">
        <v>116</v>
      </c>
      <c r="I66" t="s">
        <v>116</v>
      </c>
      <c r="J66" t="s">
        <v>116</v>
      </c>
      <c r="K66" t="s">
        <v>116</v>
      </c>
      <c r="L66">
        <v>2122247616</v>
      </c>
      <c r="N66" t="s">
        <v>3386</v>
      </c>
      <c r="P66" t="s">
        <v>778</v>
      </c>
      <c r="S66" t="s">
        <v>3221</v>
      </c>
      <c r="T66" t="s">
        <v>3222</v>
      </c>
      <c r="U66" t="s">
        <v>3223</v>
      </c>
      <c r="V66" t="s">
        <v>2692</v>
      </c>
      <c r="Z66" t="s">
        <v>3217</v>
      </c>
      <c r="AA66">
        <v>325</v>
      </c>
      <c r="AB66" s="31">
        <v>45604</v>
      </c>
      <c r="AC66" s="61">
        <v>0.72951388888888891</v>
      </c>
      <c r="AD66" t="s">
        <v>795</v>
      </c>
      <c r="AE66" s="31">
        <v>45929</v>
      </c>
      <c r="AF66" s="61">
        <v>0.70259259259259255</v>
      </c>
      <c r="AG66" t="s">
        <v>796</v>
      </c>
      <c r="AR66">
        <v>1</v>
      </c>
    </row>
    <row r="67" spans="1:44" x14ac:dyDescent="0.3">
      <c r="A67" t="s">
        <v>3217</v>
      </c>
      <c r="B67">
        <v>66</v>
      </c>
      <c r="C67">
        <v>138</v>
      </c>
      <c r="D67">
        <v>169</v>
      </c>
      <c r="G67" t="s">
        <v>3387</v>
      </c>
      <c r="I67" t="s">
        <v>3387</v>
      </c>
      <c r="J67" t="s">
        <v>3387</v>
      </c>
      <c r="K67" t="s">
        <v>3387</v>
      </c>
      <c r="L67">
        <v>11992794515</v>
      </c>
      <c r="N67" t="s">
        <v>3389</v>
      </c>
      <c r="P67" t="s">
        <v>778</v>
      </c>
      <c r="S67" t="s">
        <v>3221</v>
      </c>
      <c r="T67" t="s">
        <v>3222</v>
      </c>
      <c r="U67" t="s">
        <v>3223</v>
      </c>
      <c r="V67" t="s">
        <v>2692</v>
      </c>
      <c r="Z67" t="s">
        <v>3217</v>
      </c>
      <c r="AA67">
        <v>325</v>
      </c>
      <c r="AB67" s="31">
        <v>45604</v>
      </c>
      <c r="AC67" s="61">
        <v>0.72951388888888891</v>
      </c>
      <c r="AD67" t="s">
        <v>795</v>
      </c>
      <c r="AE67" s="31">
        <v>45929</v>
      </c>
      <c r="AF67" s="61">
        <v>0.70262731481481477</v>
      </c>
      <c r="AG67" t="s">
        <v>796</v>
      </c>
      <c r="AR67">
        <v>1</v>
      </c>
    </row>
    <row r="68" spans="1:44" x14ac:dyDescent="0.3">
      <c r="A68" t="s">
        <v>3217</v>
      </c>
      <c r="B68">
        <v>67</v>
      </c>
      <c r="C68">
        <v>139</v>
      </c>
      <c r="D68">
        <v>171</v>
      </c>
      <c r="G68" t="s">
        <v>3390</v>
      </c>
      <c r="I68" t="s">
        <v>3390</v>
      </c>
      <c r="J68" t="s">
        <v>3390</v>
      </c>
      <c r="K68" t="s">
        <v>3390</v>
      </c>
      <c r="L68">
        <v>1633347333</v>
      </c>
      <c r="N68" t="s">
        <v>2047</v>
      </c>
      <c r="P68" t="s">
        <v>778</v>
      </c>
      <c r="Q68" t="s">
        <v>3391</v>
      </c>
      <c r="S68" t="s">
        <v>3221</v>
      </c>
      <c r="T68" t="s">
        <v>3222</v>
      </c>
      <c r="U68" t="s">
        <v>3223</v>
      </c>
      <c r="V68" t="s">
        <v>2692</v>
      </c>
      <c r="Z68" t="s">
        <v>3217</v>
      </c>
      <c r="AA68">
        <v>325</v>
      </c>
      <c r="AB68" s="31">
        <v>45604</v>
      </c>
      <c r="AC68" s="61">
        <v>0.72951388888888891</v>
      </c>
      <c r="AD68" t="s">
        <v>795</v>
      </c>
      <c r="AE68" s="31">
        <v>45929</v>
      </c>
      <c r="AF68" s="61">
        <v>0.70265046296296296</v>
      </c>
      <c r="AG68" t="s">
        <v>796</v>
      </c>
      <c r="AR68">
        <v>1</v>
      </c>
    </row>
    <row r="69" spans="1:44" x14ac:dyDescent="0.3">
      <c r="A69" t="s">
        <v>3217</v>
      </c>
      <c r="B69">
        <v>68</v>
      </c>
      <c r="C69">
        <v>140</v>
      </c>
      <c r="D69">
        <v>173</v>
      </c>
      <c r="G69" t="s">
        <v>3392</v>
      </c>
      <c r="I69" t="s">
        <v>3392</v>
      </c>
      <c r="J69" t="s">
        <v>3392</v>
      </c>
      <c r="K69" t="s">
        <v>3392</v>
      </c>
      <c r="L69">
        <v>3591916927</v>
      </c>
      <c r="N69" t="s">
        <v>3394</v>
      </c>
      <c r="P69" t="s">
        <v>778</v>
      </c>
      <c r="S69" t="s">
        <v>3221</v>
      </c>
      <c r="T69" t="s">
        <v>3222</v>
      </c>
      <c r="U69" t="s">
        <v>3223</v>
      </c>
      <c r="V69" t="s">
        <v>2692</v>
      </c>
      <c r="Z69" t="s">
        <v>3217</v>
      </c>
      <c r="AA69">
        <v>325</v>
      </c>
      <c r="AB69" s="31">
        <v>45604</v>
      </c>
      <c r="AC69" s="61">
        <v>0.72951388888888891</v>
      </c>
      <c r="AD69" t="s">
        <v>795</v>
      </c>
      <c r="AE69" s="31">
        <v>45929</v>
      </c>
      <c r="AF69" s="61">
        <v>0.70267361111111115</v>
      </c>
      <c r="AG69" t="s">
        <v>796</v>
      </c>
      <c r="AR69">
        <v>1</v>
      </c>
    </row>
    <row r="70" spans="1:44" x14ac:dyDescent="0.3">
      <c r="A70" t="s">
        <v>3217</v>
      </c>
      <c r="B70">
        <v>69</v>
      </c>
      <c r="C70">
        <v>141</v>
      </c>
      <c r="D70">
        <v>175</v>
      </c>
      <c r="G70" t="s">
        <v>434</v>
      </c>
      <c r="I70" t="s">
        <v>434</v>
      </c>
      <c r="J70" t="s">
        <v>434</v>
      </c>
      <c r="K70" t="s">
        <v>434</v>
      </c>
      <c r="L70">
        <v>16997217323</v>
      </c>
      <c r="N70" t="s">
        <v>3396</v>
      </c>
      <c r="P70" t="s">
        <v>778</v>
      </c>
      <c r="S70" t="s">
        <v>3221</v>
      </c>
      <c r="T70" t="s">
        <v>3222</v>
      </c>
      <c r="U70" t="s">
        <v>3223</v>
      </c>
      <c r="V70" t="s">
        <v>2692</v>
      </c>
      <c r="Z70" t="s">
        <v>3217</v>
      </c>
      <c r="AA70">
        <v>325</v>
      </c>
      <c r="AB70" s="31">
        <v>45604</v>
      </c>
      <c r="AC70" s="61">
        <v>0.72951388888888891</v>
      </c>
      <c r="AD70" t="s">
        <v>795</v>
      </c>
      <c r="AE70" s="31">
        <v>45929</v>
      </c>
      <c r="AF70" s="61">
        <v>0.70270833333333338</v>
      </c>
      <c r="AG70" t="s">
        <v>796</v>
      </c>
      <c r="AR70">
        <v>1</v>
      </c>
    </row>
    <row r="71" spans="1:44" x14ac:dyDescent="0.3">
      <c r="A71" t="s">
        <v>3217</v>
      </c>
      <c r="B71">
        <v>70</v>
      </c>
      <c r="C71">
        <v>142</v>
      </c>
      <c r="D71">
        <v>177</v>
      </c>
      <c r="G71" t="s">
        <v>3397</v>
      </c>
      <c r="I71" t="s">
        <v>3397</v>
      </c>
      <c r="J71" t="s">
        <v>3397</v>
      </c>
      <c r="K71" t="s">
        <v>3397</v>
      </c>
      <c r="L71">
        <v>4138880050</v>
      </c>
      <c r="N71" t="s">
        <v>3399</v>
      </c>
      <c r="P71" t="s">
        <v>778</v>
      </c>
      <c r="Q71" t="s">
        <v>3400</v>
      </c>
      <c r="R71" t="s">
        <v>1699</v>
      </c>
      <c r="S71" t="s">
        <v>3221</v>
      </c>
      <c r="T71" t="s">
        <v>3222</v>
      </c>
      <c r="U71" t="s">
        <v>3223</v>
      </c>
      <c r="V71" t="s">
        <v>2692</v>
      </c>
      <c r="Z71" t="s">
        <v>3217</v>
      </c>
      <c r="AA71">
        <v>325</v>
      </c>
      <c r="AB71" s="31">
        <v>45604</v>
      </c>
      <c r="AC71" s="61">
        <v>0.72951388888888891</v>
      </c>
      <c r="AD71" t="s">
        <v>795</v>
      </c>
      <c r="AE71" s="31">
        <v>45929</v>
      </c>
      <c r="AF71" s="61">
        <v>0.70271990740740742</v>
      </c>
      <c r="AG71" t="s">
        <v>796</v>
      </c>
      <c r="AR71">
        <v>1</v>
      </c>
    </row>
    <row r="72" spans="1:44" x14ac:dyDescent="0.3">
      <c r="A72" t="s">
        <v>3217</v>
      </c>
      <c r="B72">
        <v>71</v>
      </c>
      <c r="C72">
        <v>143</v>
      </c>
      <c r="D72">
        <v>179</v>
      </c>
      <c r="G72" t="s">
        <v>689</v>
      </c>
      <c r="I72" t="s">
        <v>689</v>
      </c>
      <c r="J72" t="s">
        <v>689</v>
      </c>
      <c r="K72" t="s">
        <v>689</v>
      </c>
      <c r="L72">
        <v>119040304501</v>
      </c>
      <c r="N72" t="s">
        <v>3402</v>
      </c>
      <c r="P72" t="s">
        <v>778</v>
      </c>
      <c r="S72" t="s">
        <v>3221</v>
      </c>
      <c r="T72" t="s">
        <v>3222</v>
      </c>
      <c r="U72" t="s">
        <v>3223</v>
      </c>
      <c r="V72" t="s">
        <v>2692</v>
      </c>
      <c r="Z72" t="s">
        <v>3217</v>
      </c>
      <c r="AA72">
        <v>325</v>
      </c>
      <c r="AB72" s="31">
        <v>45604</v>
      </c>
      <c r="AC72" s="61">
        <v>0.72951388888888891</v>
      </c>
      <c r="AD72" t="s">
        <v>795</v>
      </c>
      <c r="AE72" s="31">
        <v>45929</v>
      </c>
      <c r="AF72" s="61">
        <v>0.70274305555555561</v>
      </c>
      <c r="AG72" t="s">
        <v>796</v>
      </c>
      <c r="AR72">
        <v>1</v>
      </c>
    </row>
    <row r="73" spans="1:44" x14ac:dyDescent="0.3">
      <c r="A73" t="s">
        <v>31</v>
      </c>
      <c r="B73">
        <v>72</v>
      </c>
      <c r="C73">
        <v>144</v>
      </c>
      <c r="D73">
        <v>521</v>
      </c>
      <c r="G73" t="s">
        <v>3403</v>
      </c>
      <c r="I73" t="s">
        <v>3404</v>
      </c>
      <c r="J73" t="s">
        <v>3405</v>
      </c>
      <c r="K73" t="s">
        <v>3405</v>
      </c>
      <c r="L73">
        <v>45991112008</v>
      </c>
      <c r="N73" t="s">
        <v>3407</v>
      </c>
      <c r="P73" t="s">
        <v>778</v>
      </c>
      <c r="T73" t="s">
        <v>3408</v>
      </c>
      <c r="U73" t="s">
        <v>319</v>
      </c>
      <c r="V73" t="s">
        <v>3409</v>
      </c>
      <c r="Z73" t="s">
        <v>22</v>
      </c>
      <c r="AA73">
        <v>142</v>
      </c>
      <c r="AB73" s="31">
        <v>45622</v>
      </c>
      <c r="AC73" s="61">
        <v>0.68312499999999998</v>
      </c>
      <c r="AD73" t="s">
        <v>795</v>
      </c>
      <c r="AE73" s="31">
        <v>45764</v>
      </c>
      <c r="AF73" s="61">
        <v>0.50594907407407408</v>
      </c>
      <c r="AG73" t="s">
        <v>934</v>
      </c>
      <c r="AI73" t="s">
        <v>3410</v>
      </c>
      <c r="AR73">
        <v>1</v>
      </c>
    </row>
    <row r="74" spans="1:44" x14ac:dyDescent="0.3">
      <c r="A74" t="s">
        <v>31</v>
      </c>
      <c r="B74">
        <v>73</v>
      </c>
      <c r="C74">
        <v>144</v>
      </c>
      <c r="D74">
        <v>521</v>
      </c>
      <c r="G74" t="s">
        <v>3411</v>
      </c>
      <c r="I74" t="s">
        <v>3404</v>
      </c>
      <c r="J74" t="s">
        <v>3405</v>
      </c>
      <c r="K74" t="s">
        <v>3405</v>
      </c>
      <c r="L74">
        <v>45991112008</v>
      </c>
      <c r="N74" t="s">
        <v>3407</v>
      </c>
      <c r="P74" t="s">
        <v>778</v>
      </c>
      <c r="T74" t="s">
        <v>3412</v>
      </c>
      <c r="U74" t="s">
        <v>319</v>
      </c>
      <c r="V74" t="s">
        <v>3409</v>
      </c>
      <c r="Z74" t="s">
        <v>22</v>
      </c>
      <c r="AA74">
        <v>142</v>
      </c>
      <c r="AB74" s="31">
        <v>45622</v>
      </c>
      <c r="AC74" s="61">
        <v>0.68312499999999998</v>
      </c>
      <c r="AD74" t="s">
        <v>795</v>
      </c>
      <c r="AE74" s="31">
        <v>45764</v>
      </c>
      <c r="AF74" s="61">
        <v>0.50575231481481486</v>
      </c>
      <c r="AG74" t="s">
        <v>934</v>
      </c>
      <c r="AI74" t="s">
        <v>945</v>
      </c>
      <c r="AR74">
        <v>1</v>
      </c>
    </row>
    <row r="75" spans="1:44" x14ac:dyDescent="0.3">
      <c r="A75" t="s">
        <v>31</v>
      </c>
      <c r="B75">
        <v>74</v>
      </c>
      <c r="C75">
        <v>97</v>
      </c>
      <c r="D75">
        <v>88</v>
      </c>
      <c r="G75" t="s">
        <v>3413</v>
      </c>
      <c r="H75">
        <v>22500484000170</v>
      </c>
      <c r="I75" t="s">
        <v>669</v>
      </c>
      <c r="J75" t="s">
        <v>3414</v>
      </c>
      <c r="K75" t="s">
        <v>3414</v>
      </c>
      <c r="L75">
        <v>11999765402</v>
      </c>
      <c r="N75" t="s">
        <v>3294</v>
      </c>
      <c r="P75" t="s">
        <v>778</v>
      </c>
      <c r="T75" t="s">
        <v>3416</v>
      </c>
      <c r="U75" t="s">
        <v>319</v>
      </c>
      <c r="V75" t="s">
        <v>3417</v>
      </c>
      <c r="Z75" t="s">
        <v>22</v>
      </c>
      <c r="AA75">
        <v>84</v>
      </c>
      <c r="AB75" s="31">
        <v>45622</v>
      </c>
      <c r="AC75" s="61">
        <v>0.68312499999999998</v>
      </c>
      <c r="AD75" t="s">
        <v>795</v>
      </c>
      <c r="AE75" s="31">
        <v>45706</v>
      </c>
      <c r="AF75" s="61">
        <v>0.72165509259259264</v>
      </c>
      <c r="AG75" t="s">
        <v>796</v>
      </c>
      <c r="AI75" t="s">
        <v>3418</v>
      </c>
      <c r="AR75">
        <v>1</v>
      </c>
    </row>
    <row r="76" spans="1:44" x14ac:dyDescent="0.3">
      <c r="A76" t="s">
        <v>31</v>
      </c>
      <c r="B76">
        <v>75</v>
      </c>
      <c r="C76">
        <v>145</v>
      </c>
      <c r="D76">
        <v>525</v>
      </c>
      <c r="G76" t="s">
        <v>3419</v>
      </c>
      <c r="H76">
        <v>774215000160</v>
      </c>
      <c r="I76" t="s">
        <v>3420</v>
      </c>
      <c r="J76" t="s">
        <v>2927</v>
      </c>
      <c r="K76" t="s">
        <v>2927</v>
      </c>
      <c r="L76">
        <v>54981182828</v>
      </c>
      <c r="N76" t="s">
        <v>3422</v>
      </c>
      <c r="P76" t="s">
        <v>778</v>
      </c>
      <c r="T76" t="s">
        <v>3423</v>
      </c>
      <c r="U76" t="s">
        <v>319</v>
      </c>
      <c r="V76" t="s">
        <v>3417</v>
      </c>
      <c r="Z76" t="s">
        <v>22</v>
      </c>
      <c r="AA76">
        <v>15</v>
      </c>
      <c r="AB76" s="31">
        <v>45622</v>
      </c>
      <c r="AC76" s="61">
        <v>0.68312499999999998</v>
      </c>
      <c r="AD76" t="s">
        <v>795</v>
      </c>
      <c r="AE76" s="31">
        <v>45637</v>
      </c>
      <c r="AF76" s="61">
        <v>0.41211805555555547</v>
      </c>
      <c r="AG76" t="s">
        <v>974</v>
      </c>
      <c r="AI76" t="s">
        <v>947</v>
      </c>
      <c r="AR76">
        <v>1</v>
      </c>
    </row>
    <row r="77" spans="1:44" x14ac:dyDescent="0.3">
      <c r="A77" t="s">
        <v>31</v>
      </c>
      <c r="B77">
        <v>76</v>
      </c>
      <c r="C77">
        <v>146</v>
      </c>
      <c r="D77">
        <v>527</v>
      </c>
      <c r="G77" t="s">
        <v>3424</v>
      </c>
      <c r="I77" t="s">
        <v>3425</v>
      </c>
      <c r="J77" t="s">
        <v>3426</v>
      </c>
      <c r="K77" t="s">
        <v>3426</v>
      </c>
      <c r="L77">
        <v>19997080357</v>
      </c>
      <c r="N77" t="s">
        <v>3428</v>
      </c>
      <c r="P77" t="s">
        <v>778</v>
      </c>
      <c r="T77" t="s">
        <v>3408</v>
      </c>
      <c r="U77" t="s">
        <v>319</v>
      </c>
      <c r="V77" t="s">
        <v>3409</v>
      </c>
      <c r="Z77" t="s">
        <v>22</v>
      </c>
      <c r="AA77">
        <v>182</v>
      </c>
      <c r="AB77" s="31">
        <v>45622</v>
      </c>
      <c r="AC77" s="61">
        <v>0.68312499999999998</v>
      </c>
      <c r="AD77" t="s">
        <v>795</v>
      </c>
      <c r="AE77" s="31">
        <v>45804</v>
      </c>
      <c r="AF77" s="61">
        <v>0.79173611111111108</v>
      </c>
      <c r="AG77" t="s">
        <v>796</v>
      </c>
      <c r="AI77" t="s">
        <v>946</v>
      </c>
      <c r="AR77">
        <v>1</v>
      </c>
    </row>
    <row r="78" spans="1:44" x14ac:dyDescent="0.3">
      <c r="A78" t="s">
        <v>31</v>
      </c>
      <c r="B78">
        <v>77</v>
      </c>
      <c r="C78">
        <v>147</v>
      </c>
      <c r="D78">
        <v>848</v>
      </c>
      <c r="G78" t="s">
        <v>3429</v>
      </c>
      <c r="H78">
        <v>7964558000136</v>
      </c>
      <c r="I78" t="s">
        <v>3430</v>
      </c>
      <c r="J78" t="s">
        <v>3431</v>
      </c>
      <c r="K78" t="s">
        <v>3431</v>
      </c>
      <c r="L78" t="s">
        <v>3432</v>
      </c>
      <c r="N78" t="s">
        <v>3433</v>
      </c>
      <c r="P78" t="s">
        <v>778</v>
      </c>
      <c r="T78" t="s">
        <v>984</v>
      </c>
      <c r="U78" t="s">
        <v>319</v>
      </c>
      <c r="V78" t="s">
        <v>816</v>
      </c>
      <c r="X78">
        <v>4240</v>
      </c>
      <c r="Z78" t="s">
        <v>22</v>
      </c>
      <c r="AA78">
        <v>41</v>
      </c>
      <c r="AB78" s="31">
        <v>45622</v>
      </c>
      <c r="AC78" s="61">
        <v>0.68313657407407402</v>
      </c>
      <c r="AD78" t="s">
        <v>818</v>
      </c>
      <c r="AE78" s="31">
        <v>45663</v>
      </c>
      <c r="AF78" s="61">
        <v>0.61962962962962964</v>
      </c>
      <c r="AI78" t="s">
        <v>888</v>
      </c>
      <c r="AR78">
        <v>1</v>
      </c>
    </row>
    <row r="79" spans="1:44" x14ac:dyDescent="0.3">
      <c r="A79" t="s">
        <v>31</v>
      </c>
      <c r="B79">
        <v>80</v>
      </c>
      <c r="C79">
        <v>150</v>
      </c>
      <c r="D79">
        <v>535</v>
      </c>
      <c r="G79" t="s">
        <v>3434</v>
      </c>
      <c r="H79">
        <v>32258848000101</v>
      </c>
      <c r="I79" t="s">
        <v>3435</v>
      </c>
      <c r="J79" t="s">
        <v>1540</v>
      </c>
      <c r="K79" t="s">
        <v>1540</v>
      </c>
      <c r="L79">
        <v>16997672684</v>
      </c>
      <c r="N79" t="s">
        <v>3437</v>
      </c>
      <c r="P79" t="s">
        <v>778</v>
      </c>
      <c r="T79" t="s">
        <v>3408</v>
      </c>
      <c r="U79" t="s">
        <v>319</v>
      </c>
      <c r="V79" t="s">
        <v>3417</v>
      </c>
      <c r="Z79" t="s">
        <v>22</v>
      </c>
      <c r="AA79">
        <v>121</v>
      </c>
      <c r="AB79" s="31">
        <v>45622</v>
      </c>
      <c r="AC79" s="61">
        <v>0.68313657407407402</v>
      </c>
      <c r="AD79" t="s">
        <v>795</v>
      </c>
      <c r="AE79" s="31">
        <v>45743</v>
      </c>
      <c r="AF79" s="61">
        <v>0.35857638888888888</v>
      </c>
      <c r="AG79" t="s">
        <v>796</v>
      </c>
      <c r="AI79" t="s">
        <v>957</v>
      </c>
      <c r="AJ79" t="s">
        <v>1364</v>
      </c>
      <c r="AR79">
        <v>1</v>
      </c>
    </row>
    <row r="80" spans="1:44" x14ac:dyDescent="0.3">
      <c r="A80" t="s">
        <v>31</v>
      </c>
      <c r="B80">
        <v>81</v>
      </c>
      <c r="C80">
        <v>151</v>
      </c>
      <c r="D80">
        <v>537</v>
      </c>
      <c r="G80" t="s">
        <v>3438</v>
      </c>
      <c r="I80" t="s">
        <v>3439</v>
      </c>
      <c r="J80" t="s">
        <v>3440</v>
      </c>
      <c r="K80" t="s">
        <v>3440</v>
      </c>
      <c r="L80">
        <v>16997217323</v>
      </c>
      <c r="N80" t="s">
        <v>3441</v>
      </c>
      <c r="P80" t="s">
        <v>778</v>
      </c>
      <c r="T80" t="s">
        <v>3442</v>
      </c>
      <c r="U80" t="s">
        <v>319</v>
      </c>
      <c r="V80" t="s">
        <v>816</v>
      </c>
      <c r="Z80" t="s">
        <v>22</v>
      </c>
      <c r="AA80">
        <v>73</v>
      </c>
      <c r="AB80" s="31">
        <v>45622</v>
      </c>
      <c r="AC80" s="61">
        <v>0.68313657407407402</v>
      </c>
      <c r="AD80" t="s">
        <v>795</v>
      </c>
      <c r="AE80" s="31">
        <v>45695</v>
      </c>
      <c r="AF80" s="61">
        <v>0.65645833333333337</v>
      </c>
      <c r="AG80" t="s">
        <v>796</v>
      </c>
      <c r="AI80" t="s">
        <v>3443</v>
      </c>
      <c r="AR80">
        <v>1</v>
      </c>
    </row>
    <row r="81" spans="1:44" x14ac:dyDescent="0.3">
      <c r="A81" t="s">
        <v>31</v>
      </c>
      <c r="B81">
        <v>82</v>
      </c>
      <c r="C81">
        <v>152</v>
      </c>
      <c r="D81">
        <v>539</v>
      </c>
      <c r="G81" t="s">
        <v>3444</v>
      </c>
      <c r="I81" t="s">
        <v>3445</v>
      </c>
      <c r="J81" t="s">
        <v>3446</v>
      </c>
      <c r="K81" t="s">
        <v>3446</v>
      </c>
      <c r="L81">
        <v>19991001216</v>
      </c>
      <c r="N81" t="s">
        <v>3448</v>
      </c>
      <c r="P81" t="s">
        <v>778</v>
      </c>
      <c r="T81" t="s">
        <v>3408</v>
      </c>
      <c r="U81" t="s">
        <v>319</v>
      </c>
      <c r="V81" t="s">
        <v>3417</v>
      </c>
      <c r="Z81" t="s">
        <v>22</v>
      </c>
      <c r="AA81">
        <v>121</v>
      </c>
      <c r="AB81" s="31">
        <v>45622</v>
      </c>
      <c r="AC81" s="61">
        <v>0.68313657407407402</v>
      </c>
      <c r="AD81" t="s">
        <v>795</v>
      </c>
      <c r="AE81" s="31">
        <v>45743</v>
      </c>
      <c r="AF81" s="61">
        <v>0.35847222222222219</v>
      </c>
      <c r="AG81" t="s">
        <v>796</v>
      </c>
      <c r="AI81" t="s">
        <v>3449</v>
      </c>
      <c r="AR81">
        <v>1</v>
      </c>
    </row>
    <row r="82" spans="1:44" x14ac:dyDescent="0.3">
      <c r="A82" t="s">
        <v>31</v>
      </c>
      <c r="B82">
        <v>83</v>
      </c>
      <c r="C82">
        <v>153</v>
      </c>
      <c r="D82">
        <v>541</v>
      </c>
      <c r="G82" t="s">
        <v>3450</v>
      </c>
      <c r="I82" t="s">
        <v>3451</v>
      </c>
      <c r="J82" t="s">
        <v>3452</v>
      </c>
      <c r="K82" t="s">
        <v>3452</v>
      </c>
      <c r="L82">
        <v>11999797484</v>
      </c>
      <c r="N82" t="s">
        <v>3454</v>
      </c>
      <c r="P82" t="s">
        <v>778</v>
      </c>
      <c r="T82" t="s">
        <v>984</v>
      </c>
      <c r="U82" t="s">
        <v>319</v>
      </c>
      <c r="V82" t="s">
        <v>3409</v>
      </c>
      <c r="Z82" t="s">
        <v>22</v>
      </c>
      <c r="AA82">
        <v>45</v>
      </c>
      <c r="AB82" s="31">
        <v>45622</v>
      </c>
      <c r="AC82" s="61">
        <v>0.68313657407407402</v>
      </c>
      <c r="AD82" t="s">
        <v>795</v>
      </c>
      <c r="AE82" s="31">
        <v>45667</v>
      </c>
      <c r="AF82" s="61">
        <v>0.63896990740740744</v>
      </c>
      <c r="AG82" t="s">
        <v>934</v>
      </c>
      <c r="AI82" t="s">
        <v>1021</v>
      </c>
      <c r="AR82">
        <v>1</v>
      </c>
    </row>
    <row r="83" spans="1:44" x14ac:dyDescent="0.3">
      <c r="A83" t="s">
        <v>31</v>
      </c>
      <c r="B83">
        <v>84</v>
      </c>
      <c r="C83">
        <v>154</v>
      </c>
      <c r="D83">
        <v>543</v>
      </c>
      <c r="G83" t="s">
        <v>3455</v>
      </c>
      <c r="H83">
        <v>790751000159</v>
      </c>
      <c r="I83" t="s">
        <v>3456</v>
      </c>
      <c r="J83" t="s">
        <v>3457</v>
      </c>
      <c r="K83" t="s">
        <v>3457</v>
      </c>
      <c r="L83">
        <v>11981525627</v>
      </c>
      <c r="N83" t="s">
        <v>3459</v>
      </c>
      <c r="P83" t="s">
        <v>778</v>
      </c>
      <c r="T83" t="s">
        <v>3460</v>
      </c>
      <c r="U83" t="s">
        <v>319</v>
      </c>
      <c r="V83" t="s">
        <v>3417</v>
      </c>
      <c r="W83" t="s">
        <v>817</v>
      </c>
      <c r="X83">
        <v>169128</v>
      </c>
      <c r="Y83">
        <v>7128</v>
      </c>
      <c r="Z83" t="s">
        <v>22</v>
      </c>
      <c r="AA83">
        <v>104</v>
      </c>
      <c r="AB83" s="31">
        <v>45622</v>
      </c>
      <c r="AC83" s="61">
        <v>0.68313657407407402</v>
      </c>
      <c r="AD83" t="s">
        <v>795</v>
      </c>
      <c r="AE83" s="31">
        <v>45726</v>
      </c>
      <c r="AF83" s="61">
        <v>0.42429398148148151</v>
      </c>
      <c r="AG83" t="s">
        <v>796</v>
      </c>
      <c r="AI83" t="s">
        <v>829</v>
      </c>
      <c r="AJ83" t="s">
        <v>3461</v>
      </c>
      <c r="AR83">
        <v>1</v>
      </c>
    </row>
    <row r="84" spans="1:44" x14ac:dyDescent="0.3">
      <c r="A84" t="s">
        <v>31</v>
      </c>
      <c r="B84">
        <v>117</v>
      </c>
      <c r="C84">
        <v>147</v>
      </c>
      <c r="D84">
        <v>848</v>
      </c>
      <c r="G84" t="s">
        <v>3462</v>
      </c>
      <c r="H84">
        <v>7964558000136</v>
      </c>
      <c r="I84" t="s">
        <v>3430</v>
      </c>
      <c r="J84" t="s">
        <v>3431</v>
      </c>
      <c r="K84" t="s">
        <v>3431</v>
      </c>
      <c r="L84" t="s">
        <v>3432</v>
      </c>
      <c r="N84" t="s">
        <v>3433</v>
      </c>
      <c r="P84" t="s">
        <v>778</v>
      </c>
      <c r="U84" t="s">
        <v>319</v>
      </c>
      <c r="V84" t="s">
        <v>3417</v>
      </c>
      <c r="AA84">
        <v>8</v>
      </c>
      <c r="AB84" s="31">
        <v>45629</v>
      </c>
      <c r="AC84" s="61">
        <v>0.68774305555555559</v>
      </c>
      <c r="AD84" t="s">
        <v>795</v>
      </c>
      <c r="AE84" s="31">
        <v>45637</v>
      </c>
      <c r="AF84" s="61">
        <v>0.41108796296296302</v>
      </c>
      <c r="AG84" t="s">
        <v>3463</v>
      </c>
      <c r="AI84" t="s">
        <v>829</v>
      </c>
      <c r="AJ84" t="s">
        <v>829</v>
      </c>
      <c r="AR84">
        <v>1</v>
      </c>
    </row>
    <row r="85" spans="1:44" x14ac:dyDescent="0.3">
      <c r="A85" t="s">
        <v>31</v>
      </c>
      <c r="B85">
        <v>120</v>
      </c>
      <c r="C85">
        <v>169</v>
      </c>
      <c r="D85">
        <v>853</v>
      </c>
      <c r="G85" t="s">
        <v>3464</v>
      </c>
      <c r="H85">
        <v>11458315000101</v>
      </c>
      <c r="I85" t="s">
        <v>3465</v>
      </c>
      <c r="J85" t="s">
        <v>3466</v>
      </c>
      <c r="K85" t="s">
        <v>3466</v>
      </c>
      <c r="L85" t="s">
        <v>3467</v>
      </c>
      <c r="N85" t="s">
        <v>3468</v>
      </c>
      <c r="P85" t="s">
        <v>3469</v>
      </c>
      <c r="Q85" t="s">
        <v>3470</v>
      </c>
      <c r="R85" t="s">
        <v>790</v>
      </c>
      <c r="T85" t="s">
        <v>3460</v>
      </c>
      <c r="U85" t="s">
        <v>319</v>
      </c>
      <c r="V85" t="s">
        <v>816</v>
      </c>
      <c r="X85">
        <v>66375</v>
      </c>
      <c r="Y85">
        <v>0</v>
      </c>
      <c r="AA85">
        <v>147</v>
      </c>
      <c r="AB85" s="31">
        <v>45630</v>
      </c>
      <c r="AC85" s="61">
        <v>0.50695601851851857</v>
      </c>
      <c r="AD85" t="s">
        <v>818</v>
      </c>
      <c r="AE85" s="31">
        <v>45777</v>
      </c>
      <c r="AF85" s="61">
        <v>0.66732638888888884</v>
      </c>
      <c r="AI85" t="s">
        <v>1584</v>
      </c>
      <c r="AR85">
        <v>1</v>
      </c>
    </row>
    <row r="86" spans="1:44" x14ac:dyDescent="0.3">
      <c r="A86" t="s">
        <v>31</v>
      </c>
      <c r="B86">
        <v>121</v>
      </c>
      <c r="C86">
        <v>113</v>
      </c>
      <c r="D86">
        <v>854</v>
      </c>
      <c r="G86" t="s">
        <v>3471</v>
      </c>
      <c r="I86" t="s">
        <v>65</v>
      </c>
      <c r="J86" t="s">
        <v>1252</v>
      </c>
      <c r="K86" t="s">
        <v>1252</v>
      </c>
      <c r="L86" t="s">
        <v>3472</v>
      </c>
      <c r="N86" t="s">
        <v>3329</v>
      </c>
      <c r="P86" t="s">
        <v>778</v>
      </c>
      <c r="U86" t="s">
        <v>319</v>
      </c>
      <c r="V86" t="s">
        <v>816</v>
      </c>
      <c r="X86">
        <v>3564</v>
      </c>
      <c r="AA86">
        <v>0</v>
      </c>
      <c r="AB86" s="31">
        <v>45630</v>
      </c>
      <c r="AC86" s="61">
        <v>0.51474537037037038</v>
      </c>
      <c r="AD86" t="s">
        <v>818</v>
      </c>
      <c r="AE86" s="31">
        <v>45630</v>
      </c>
      <c r="AF86" s="61">
        <v>0.65880787037037036</v>
      </c>
      <c r="AI86" t="s">
        <v>821</v>
      </c>
      <c r="AJ86" t="s">
        <v>829</v>
      </c>
      <c r="AR86">
        <v>1</v>
      </c>
    </row>
    <row r="87" spans="1:44" x14ac:dyDescent="0.3">
      <c r="A87" t="s">
        <v>31</v>
      </c>
      <c r="B87">
        <v>123</v>
      </c>
      <c r="C87">
        <v>169</v>
      </c>
      <c r="D87">
        <v>852</v>
      </c>
      <c r="G87" t="s">
        <v>3473</v>
      </c>
      <c r="H87">
        <v>11458315000101</v>
      </c>
      <c r="I87" t="s">
        <v>3465</v>
      </c>
      <c r="J87" t="s">
        <v>3474</v>
      </c>
      <c r="K87" t="s">
        <v>3474</v>
      </c>
      <c r="L87">
        <v>19974085011</v>
      </c>
      <c r="N87" t="s">
        <v>3468</v>
      </c>
      <c r="P87" t="s">
        <v>3469</v>
      </c>
      <c r="Q87" t="s">
        <v>3470</v>
      </c>
      <c r="R87" t="s">
        <v>790</v>
      </c>
      <c r="U87" t="s">
        <v>319</v>
      </c>
      <c r="V87" t="s">
        <v>3417</v>
      </c>
      <c r="AA87">
        <v>6</v>
      </c>
      <c r="AB87" s="31">
        <v>45631</v>
      </c>
      <c r="AC87" s="61">
        <v>0.45709490740740738</v>
      </c>
      <c r="AD87" t="s">
        <v>795</v>
      </c>
      <c r="AE87" s="31">
        <v>45637</v>
      </c>
      <c r="AF87" s="61">
        <v>0.61721064814814819</v>
      </c>
      <c r="AG87" t="s">
        <v>3463</v>
      </c>
      <c r="AI87" t="s">
        <v>1019</v>
      </c>
      <c r="AJ87" t="s">
        <v>1019</v>
      </c>
      <c r="AR87">
        <v>1</v>
      </c>
    </row>
    <row r="88" spans="1:44" x14ac:dyDescent="0.3">
      <c r="A88" t="s">
        <v>31</v>
      </c>
      <c r="B88">
        <v>124</v>
      </c>
      <c r="C88">
        <v>108</v>
      </c>
      <c r="D88">
        <v>109</v>
      </c>
      <c r="G88" t="s">
        <v>3476</v>
      </c>
      <c r="I88" t="s">
        <v>3321</v>
      </c>
      <c r="J88" t="s">
        <v>3321</v>
      </c>
      <c r="K88" t="s">
        <v>3321</v>
      </c>
      <c r="N88" t="s">
        <v>3322</v>
      </c>
      <c r="P88" t="s">
        <v>778</v>
      </c>
      <c r="U88" t="s">
        <v>319</v>
      </c>
      <c r="V88" t="s">
        <v>3417</v>
      </c>
      <c r="X88">
        <v>7140</v>
      </c>
      <c r="Y88">
        <v>0</v>
      </c>
      <c r="AA88">
        <v>105</v>
      </c>
      <c r="AB88" s="31">
        <v>45631</v>
      </c>
      <c r="AC88" s="61">
        <v>0.6162037037037037</v>
      </c>
      <c r="AD88" t="s">
        <v>795</v>
      </c>
      <c r="AE88" s="31">
        <v>45736</v>
      </c>
      <c r="AF88" s="61">
        <v>0.41983796296296289</v>
      </c>
      <c r="AG88" t="s">
        <v>3463</v>
      </c>
      <c r="AI88" t="s">
        <v>1020</v>
      </c>
      <c r="AR88">
        <v>1</v>
      </c>
    </row>
    <row r="89" spans="1:44" x14ac:dyDescent="0.3">
      <c r="A89" t="s">
        <v>31</v>
      </c>
      <c r="B89">
        <v>126</v>
      </c>
      <c r="C89">
        <v>170</v>
      </c>
      <c r="D89">
        <v>864</v>
      </c>
      <c r="G89" t="s">
        <v>496</v>
      </c>
      <c r="H89">
        <v>4150555001304</v>
      </c>
      <c r="I89" t="s">
        <v>3477</v>
      </c>
      <c r="J89" t="s">
        <v>3478</v>
      </c>
      <c r="K89" t="s">
        <v>3478</v>
      </c>
      <c r="L89" t="s">
        <v>3479</v>
      </c>
      <c r="N89" t="s">
        <v>3480</v>
      </c>
      <c r="P89" t="s">
        <v>3481</v>
      </c>
      <c r="Q89" t="s">
        <v>3482</v>
      </c>
      <c r="R89" t="s">
        <v>1699</v>
      </c>
      <c r="U89" t="s">
        <v>319</v>
      </c>
      <c r="V89" t="s">
        <v>816</v>
      </c>
      <c r="X89">
        <v>7128</v>
      </c>
      <c r="AA89">
        <v>2</v>
      </c>
      <c r="AB89" s="31">
        <v>45635</v>
      </c>
      <c r="AC89" s="61">
        <v>0.50931712962962961</v>
      </c>
      <c r="AD89" t="s">
        <v>818</v>
      </c>
      <c r="AE89" s="31">
        <v>45637</v>
      </c>
      <c r="AF89" s="61">
        <v>0.61657407407407405</v>
      </c>
      <c r="AI89" t="s">
        <v>841</v>
      </c>
      <c r="AJ89" t="s">
        <v>1011</v>
      </c>
      <c r="AR89">
        <v>1</v>
      </c>
    </row>
    <row r="90" spans="1:44" x14ac:dyDescent="0.3">
      <c r="A90" t="s">
        <v>31</v>
      </c>
      <c r="B90">
        <v>128</v>
      </c>
      <c r="C90">
        <v>171</v>
      </c>
      <c r="D90">
        <v>983</v>
      </c>
      <c r="G90" t="s">
        <v>3483</v>
      </c>
      <c r="H90">
        <v>39955762000187</v>
      </c>
      <c r="I90" t="s">
        <v>3484</v>
      </c>
      <c r="J90" t="s">
        <v>3485</v>
      </c>
      <c r="K90" t="s">
        <v>3485</v>
      </c>
      <c r="L90" t="s">
        <v>3486</v>
      </c>
      <c r="N90" t="s">
        <v>3487</v>
      </c>
      <c r="P90" t="s">
        <v>3488</v>
      </c>
      <c r="Q90" t="s">
        <v>1094</v>
      </c>
      <c r="R90" t="s">
        <v>790</v>
      </c>
      <c r="U90" t="s">
        <v>319</v>
      </c>
      <c r="V90" t="s">
        <v>816</v>
      </c>
      <c r="AA90">
        <v>2</v>
      </c>
      <c r="AB90" s="31">
        <v>45636</v>
      </c>
      <c r="AC90" s="61">
        <v>0.46460648148148148</v>
      </c>
      <c r="AD90" t="s">
        <v>818</v>
      </c>
      <c r="AE90" s="31">
        <v>45638</v>
      </c>
      <c r="AF90" s="61">
        <v>0.4626736111111111</v>
      </c>
      <c r="AI90" t="s">
        <v>1020</v>
      </c>
      <c r="AJ90" t="s">
        <v>821</v>
      </c>
      <c r="AR90">
        <v>1</v>
      </c>
    </row>
    <row r="91" spans="1:44" x14ac:dyDescent="0.3">
      <c r="A91" t="s">
        <v>31</v>
      </c>
      <c r="B91">
        <v>129</v>
      </c>
      <c r="C91">
        <v>93</v>
      </c>
      <c r="D91">
        <v>986</v>
      </c>
      <c r="G91" t="s">
        <v>3489</v>
      </c>
      <c r="I91" t="s">
        <v>3285</v>
      </c>
      <c r="J91" t="s">
        <v>3490</v>
      </c>
      <c r="K91" t="s">
        <v>3490</v>
      </c>
      <c r="L91" t="s">
        <v>3491</v>
      </c>
      <c r="N91" t="s">
        <v>3286</v>
      </c>
      <c r="P91" t="s">
        <v>778</v>
      </c>
      <c r="U91" t="s">
        <v>319</v>
      </c>
      <c r="V91" t="s">
        <v>781</v>
      </c>
      <c r="W91" t="s">
        <v>817</v>
      </c>
      <c r="X91">
        <v>0</v>
      </c>
      <c r="Y91">
        <v>0</v>
      </c>
      <c r="AA91">
        <v>49</v>
      </c>
      <c r="AB91" s="31">
        <v>45637</v>
      </c>
      <c r="AC91" s="61">
        <v>0.61811342592592589</v>
      </c>
      <c r="AD91" t="s">
        <v>795</v>
      </c>
      <c r="AE91" s="31">
        <v>45686</v>
      </c>
      <c r="AF91" s="61">
        <v>0.72059027777777773</v>
      </c>
      <c r="AG91" t="s">
        <v>796</v>
      </c>
      <c r="AI91" t="s">
        <v>1003</v>
      </c>
      <c r="AJ91" t="s">
        <v>3492</v>
      </c>
      <c r="AR91">
        <v>1</v>
      </c>
    </row>
    <row r="92" spans="1:44" x14ac:dyDescent="0.3">
      <c r="A92" t="s">
        <v>31</v>
      </c>
      <c r="B92">
        <v>132</v>
      </c>
      <c r="C92">
        <v>150</v>
      </c>
      <c r="D92">
        <v>991</v>
      </c>
      <c r="G92" t="s">
        <v>3435</v>
      </c>
      <c r="H92">
        <v>32258848000101</v>
      </c>
      <c r="I92" t="s">
        <v>3435</v>
      </c>
      <c r="J92" t="s">
        <v>1540</v>
      </c>
      <c r="K92" t="s">
        <v>1540</v>
      </c>
      <c r="L92" t="s">
        <v>3493</v>
      </c>
      <c r="N92" t="s">
        <v>3437</v>
      </c>
      <c r="P92" t="s">
        <v>778</v>
      </c>
      <c r="U92" t="s">
        <v>319</v>
      </c>
      <c r="V92" t="s">
        <v>781</v>
      </c>
      <c r="AA92">
        <v>48</v>
      </c>
      <c r="AB92" s="31">
        <v>45638</v>
      </c>
      <c r="AC92" s="61">
        <v>0.50313657407407408</v>
      </c>
      <c r="AD92" t="s">
        <v>795</v>
      </c>
      <c r="AE92" s="31">
        <v>45686</v>
      </c>
      <c r="AF92" s="61">
        <v>0.72013888888888888</v>
      </c>
      <c r="AG92" t="s">
        <v>796</v>
      </c>
      <c r="AI92" t="s">
        <v>924</v>
      </c>
      <c r="AR92">
        <v>1</v>
      </c>
    </row>
    <row r="93" spans="1:44" x14ac:dyDescent="0.3">
      <c r="A93" t="s">
        <v>31</v>
      </c>
      <c r="B93">
        <v>133</v>
      </c>
      <c r="C93">
        <v>173</v>
      </c>
      <c r="D93">
        <v>993</v>
      </c>
      <c r="G93" t="s">
        <v>3494</v>
      </c>
      <c r="H93">
        <v>27914031000104</v>
      </c>
      <c r="I93" t="s">
        <v>3495</v>
      </c>
      <c r="J93" t="s">
        <v>3496</v>
      </c>
      <c r="K93" t="s">
        <v>3496</v>
      </c>
      <c r="L93" t="s">
        <v>3497</v>
      </c>
      <c r="N93" t="s">
        <v>3498</v>
      </c>
      <c r="P93" t="s">
        <v>3499</v>
      </c>
      <c r="Q93" t="s">
        <v>2489</v>
      </c>
      <c r="R93" t="s">
        <v>790</v>
      </c>
      <c r="U93" t="s">
        <v>319</v>
      </c>
      <c r="V93" t="s">
        <v>816</v>
      </c>
      <c r="X93">
        <v>324648</v>
      </c>
      <c r="Y93">
        <v>57024</v>
      </c>
      <c r="AA93">
        <v>67</v>
      </c>
      <c r="AB93" s="31">
        <v>45638</v>
      </c>
      <c r="AC93" s="61">
        <v>0.67980324074074072</v>
      </c>
      <c r="AD93" t="s">
        <v>818</v>
      </c>
      <c r="AE93" s="31">
        <v>45705</v>
      </c>
      <c r="AF93" s="61">
        <v>0.39378472222222222</v>
      </c>
      <c r="AI93" t="s">
        <v>830</v>
      </c>
      <c r="AJ93" t="s">
        <v>1059</v>
      </c>
      <c r="AR93">
        <v>1</v>
      </c>
    </row>
    <row r="94" spans="1:44" x14ac:dyDescent="0.3">
      <c r="A94" t="s">
        <v>31</v>
      </c>
      <c r="B94">
        <v>134</v>
      </c>
      <c r="C94">
        <v>172</v>
      </c>
      <c r="D94">
        <v>994</v>
      </c>
      <c r="G94" t="s">
        <v>3500</v>
      </c>
      <c r="H94">
        <v>33561753000125</v>
      </c>
      <c r="I94" t="s">
        <v>3501</v>
      </c>
      <c r="J94" t="s">
        <v>952</v>
      </c>
      <c r="K94" t="s">
        <v>952</v>
      </c>
      <c r="L94" t="s">
        <v>3502</v>
      </c>
      <c r="N94" t="s">
        <v>3503</v>
      </c>
      <c r="P94" t="s">
        <v>3504</v>
      </c>
      <c r="Q94" t="s">
        <v>3505</v>
      </c>
      <c r="R94" t="s">
        <v>790</v>
      </c>
      <c r="U94" t="s">
        <v>319</v>
      </c>
      <c r="V94" t="s">
        <v>3417</v>
      </c>
      <c r="AA94">
        <v>29</v>
      </c>
      <c r="AB94" s="31">
        <v>45638</v>
      </c>
      <c r="AC94" s="61">
        <v>0.68358796296296298</v>
      </c>
      <c r="AD94" t="s">
        <v>795</v>
      </c>
      <c r="AE94" s="31">
        <v>45667</v>
      </c>
      <c r="AF94" s="61">
        <v>0.63577546296296295</v>
      </c>
      <c r="AG94" t="s">
        <v>934</v>
      </c>
      <c r="AI94" t="s">
        <v>1003</v>
      </c>
      <c r="AJ94" t="s">
        <v>3492</v>
      </c>
      <c r="AR94">
        <v>1</v>
      </c>
    </row>
    <row r="95" spans="1:44" x14ac:dyDescent="0.3">
      <c r="A95" t="s">
        <v>31</v>
      </c>
      <c r="B95">
        <v>136</v>
      </c>
      <c r="C95">
        <v>174</v>
      </c>
      <c r="D95">
        <v>1000</v>
      </c>
      <c r="G95" t="s">
        <v>3506</v>
      </c>
      <c r="H95">
        <v>45238441000164</v>
      </c>
      <c r="I95" t="s">
        <v>3507</v>
      </c>
      <c r="J95" t="s">
        <v>3508</v>
      </c>
      <c r="K95" t="s">
        <v>3508</v>
      </c>
      <c r="L95" t="s">
        <v>3509</v>
      </c>
      <c r="M95">
        <v>11973359869</v>
      </c>
      <c r="N95" t="s">
        <v>3510</v>
      </c>
      <c r="P95" t="s">
        <v>3511</v>
      </c>
      <c r="Q95" t="s">
        <v>1094</v>
      </c>
      <c r="R95" t="s">
        <v>790</v>
      </c>
      <c r="U95" t="s">
        <v>319</v>
      </c>
      <c r="V95" t="s">
        <v>3417</v>
      </c>
      <c r="AA95">
        <v>25</v>
      </c>
      <c r="AB95" s="31">
        <v>45639</v>
      </c>
      <c r="AC95" s="61">
        <v>0.4911921296296296</v>
      </c>
      <c r="AD95" t="s">
        <v>795</v>
      </c>
      <c r="AE95" s="31">
        <v>45664</v>
      </c>
      <c r="AF95" s="61">
        <v>0.63392361111111106</v>
      </c>
      <c r="AG95" t="s">
        <v>3463</v>
      </c>
      <c r="AI95" t="s">
        <v>3512</v>
      </c>
      <c r="AJ95" t="s">
        <v>3513</v>
      </c>
      <c r="AR95">
        <v>1</v>
      </c>
    </row>
    <row r="96" spans="1:44" x14ac:dyDescent="0.3">
      <c r="A96" t="s">
        <v>31</v>
      </c>
      <c r="B96">
        <v>137</v>
      </c>
      <c r="C96">
        <v>146</v>
      </c>
      <c r="D96">
        <v>1001</v>
      </c>
      <c r="G96" t="s">
        <v>3514</v>
      </c>
      <c r="I96" t="s">
        <v>3425</v>
      </c>
      <c r="J96" t="s">
        <v>3426</v>
      </c>
      <c r="K96" t="s">
        <v>3426</v>
      </c>
      <c r="L96" t="s">
        <v>3515</v>
      </c>
      <c r="N96" t="s">
        <v>3428</v>
      </c>
      <c r="P96" t="s">
        <v>778</v>
      </c>
      <c r="U96" t="s">
        <v>319</v>
      </c>
      <c r="V96" t="s">
        <v>816</v>
      </c>
      <c r="X96">
        <v>424</v>
      </c>
      <c r="AA96">
        <v>25</v>
      </c>
      <c r="AB96" s="31">
        <v>45639</v>
      </c>
      <c r="AC96" s="61">
        <v>0.50317129629629631</v>
      </c>
      <c r="AD96" t="s">
        <v>818</v>
      </c>
      <c r="AE96" s="31">
        <v>45664</v>
      </c>
      <c r="AF96" s="61">
        <v>0.51849537037037041</v>
      </c>
      <c r="AI96" t="s">
        <v>888</v>
      </c>
      <c r="AJ96" t="s">
        <v>888</v>
      </c>
      <c r="AR96">
        <v>1</v>
      </c>
    </row>
    <row r="97" spans="1:44" x14ac:dyDescent="0.3">
      <c r="A97" t="s">
        <v>31</v>
      </c>
      <c r="B97">
        <v>143</v>
      </c>
      <c r="C97">
        <v>93</v>
      </c>
      <c r="D97">
        <v>986</v>
      </c>
      <c r="G97" t="s">
        <v>3516</v>
      </c>
      <c r="I97" t="s">
        <v>3285</v>
      </c>
      <c r="J97" t="s">
        <v>3490</v>
      </c>
      <c r="K97" t="s">
        <v>3490</v>
      </c>
      <c r="L97" t="s">
        <v>3491</v>
      </c>
      <c r="N97" t="s">
        <v>3286</v>
      </c>
      <c r="P97" t="s">
        <v>778</v>
      </c>
      <c r="U97" t="s">
        <v>319</v>
      </c>
      <c r="V97" t="s">
        <v>3417</v>
      </c>
      <c r="X97">
        <v>16992</v>
      </c>
      <c r="Y97">
        <v>55124</v>
      </c>
      <c r="AA97">
        <v>43</v>
      </c>
      <c r="AB97" s="31">
        <v>45663</v>
      </c>
      <c r="AC97" s="61">
        <v>0.64762731481481484</v>
      </c>
      <c r="AD97" t="s">
        <v>795</v>
      </c>
      <c r="AE97" s="31">
        <v>45706</v>
      </c>
      <c r="AF97" s="61">
        <v>0.72146990740740746</v>
      </c>
      <c r="AG97" t="s">
        <v>934</v>
      </c>
      <c r="AI97" t="s">
        <v>3517</v>
      </c>
      <c r="AJ97" t="s">
        <v>3517</v>
      </c>
      <c r="AR97">
        <v>1</v>
      </c>
    </row>
    <row r="98" spans="1:44" x14ac:dyDescent="0.3">
      <c r="A98" t="s">
        <v>31</v>
      </c>
      <c r="B98">
        <v>146</v>
      </c>
      <c r="C98">
        <v>175</v>
      </c>
      <c r="D98">
        <v>1520</v>
      </c>
      <c r="G98" t="s">
        <v>3518</v>
      </c>
      <c r="H98">
        <v>52362985000107</v>
      </c>
      <c r="I98" t="s">
        <v>3519</v>
      </c>
      <c r="J98" t="s">
        <v>1481</v>
      </c>
      <c r="K98" t="s">
        <v>1481</v>
      </c>
      <c r="L98" t="s">
        <v>3520</v>
      </c>
      <c r="N98" t="s">
        <v>3521</v>
      </c>
      <c r="P98" t="s">
        <v>3522</v>
      </c>
      <c r="Q98" t="s">
        <v>3523</v>
      </c>
      <c r="R98" t="s">
        <v>790</v>
      </c>
      <c r="U98" t="s">
        <v>319</v>
      </c>
      <c r="V98" t="s">
        <v>816</v>
      </c>
      <c r="AA98">
        <v>0</v>
      </c>
      <c r="AB98" s="31">
        <v>45665</v>
      </c>
      <c r="AC98" s="61">
        <v>0.44893518518518521</v>
      </c>
      <c r="AD98" t="s">
        <v>818</v>
      </c>
      <c r="AE98" s="31">
        <v>45665</v>
      </c>
      <c r="AF98" s="61">
        <v>0.44989583333333327</v>
      </c>
      <c r="AI98" t="s">
        <v>1070</v>
      </c>
      <c r="AR98">
        <v>1</v>
      </c>
    </row>
    <row r="99" spans="1:44" x14ac:dyDescent="0.3">
      <c r="A99" t="s">
        <v>31</v>
      </c>
      <c r="B99">
        <v>149</v>
      </c>
      <c r="C99">
        <v>115</v>
      </c>
      <c r="D99">
        <v>1537</v>
      </c>
      <c r="G99" t="s">
        <v>3524</v>
      </c>
      <c r="I99" t="s">
        <v>3333</v>
      </c>
      <c r="J99" t="s">
        <v>3525</v>
      </c>
      <c r="K99" t="s">
        <v>3525</v>
      </c>
      <c r="L99" t="s">
        <v>3526</v>
      </c>
      <c r="N99" t="s">
        <v>3334</v>
      </c>
      <c r="P99" t="s">
        <v>778</v>
      </c>
      <c r="U99" t="s">
        <v>319</v>
      </c>
      <c r="V99" t="s">
        <v>3417</v>
      </c>
      <c r="X99">
        <v>14416</v>
      </c>
      <c r="Y99">
        <v>0</v>
      </c>
      <c r="AA99">
        <v>13</v>
      </c>
      <c r="AB99" s="31">
        <v>45666</v>
      </c>
      <c r="AC99" s="61">
        <v>0.48031249999999998</v>
      </c>
      <c r="AD99" t="s">
        <v>795</v>
      </c>
      <c r="AE99" s="31">
        <v>45679</v>
      </c>
      <c r="AF99" s="61">
        <v>0.66752314814814817</v>
      </c>
      <c r="AG99" t="s">
        <v>934</v>
      </c>
      <c r="AI99" t="s">
        <v>3527</v>
      </c>
      <c r="AR99">
        <v>1</v>
      </c>
    </row>
    <row r="100" spans="1:44" x14ac:dyDescent="0.3">
      <c r="A100" t="s">
        <v>31</v>
      </c>
      <c r="B100">
        <v>150</v>
      </c>
      <c r="C100">
        <v>176</v>
      </c>
      <c r="D100">
        <v>1539</v>
      </c>
      <c r="G100" t="s">
        <v>3528</v>
      </c>
      <c r="H100">
        <v>34728104000139</v>
      </c>
      <c r="I100" t="s">
        <v>3529</v>
      </c>
      <c r="J100" t="s">
        <v>3530</v>
      </c>
      <c r="K100" t="s">
        <v>3530</v>
      </c>
      <c r="L100" t="s">
        <v>3531</v>
      </c>
      <c r="N100" t="s">
        <v>3532</v>
      </c>
      <c r="P100" t="s">
        <v>3533</v>
      </c>
      <c r="Q100" t="s">
        <v>1787</v>
      </c>
      <c r="R100" t="s">
        <v>790</v>
      </c>
      <c r="U100" t="s">
        <v>319</v>
      </c>
      <c r="V100" t="s">
        <v>3417</v>
      </c>
      <c r="W100" t="s">
        <v>817</v>
      </c>
      <c r="X100">
        <v>340984</v>
      </c>
      <c r="Y100">
        <v>1350296</v>
      </c>
      <c r="AA100">
        <v>81</v>
      </c>
      <c r="AB100" s="31">
        <v>45666</v>
      </c>
      <c r="AC100" s="61">
        <v>0.60988425925925926</v>
      </c>
      <c r="AD100" t="s">
        <v>795</v>
      </c>
      <c r="AE100" s="31">
        <v>45747</v>
      </c>
      <c r="AF100" s="61">
        <v>0.50875000000000004</v>
      </c>
      <c r="AG100" t="s">
        <v>974</v>
      </c>
      <c r="AI100" t="s">
        <v>3534</v>
      </c>
      <c r="AJ100" t="s">
        <v>1055</v>
      </c>
      <c r="AR100">
        <v>1</v>
      </c>
    </row>
    <row r="101" spans="1:44" x14ac:dyDescent="0.3">
      <c r="A101" t="s">
        <v>31</v>
      </c>
      <c r="B101">
        <v>152</v>
      </c>
      <c r="C101">
        <v>129</v>
      </c>
      <c r="D101">
        <v>1542</v>
      </c>
      <c r="G101" t="s">
        <v>3535</v>
      </c>
      <c r="I101" t="s">
        <v>679</v>
      </c>
      <c r="J101" t="s">
        <v>3536</v>
      </c>
      <c r="K101" t="s">
        <v>3536</v>
      </c>
      <c r="L101" t="s">
        <v>3537</v>
      </c>
      <c r="N101" t="s">
        <v>3366</v>
      </c>
      <c r="P101" t="s">
        <v>778</v>
      </c>
      <c r="U101" t="s">
        <v>319</v>
      </c>
      <c r="V101" t="s">
        <v>3417</v>
      </c>
      <c r="W101" t="s">
        <v>817</v>
      </c>
      <c r="X101">
        <v>0</v>
      </c>
      <c r="Y101">
        <v>68904</v>
      </c>
      <c r="AA101">
        <v>36</v>
      </c>
      <c r="AB101" s="31">
        <v>45666</v>
      </c>
      <c r="AC101" s="61">
        <v>0.68798611111111108</v>
      </c>
      <c r="AD101" t="s">
        <v>795</v>
      </c>
      <c r="AE101" s="31">
        <v>45702</v>
      </c>
      <c r="AF101" s="61">
        <v>0.44013888888888891</v>
      </c>
      <c r="AG101" t="s">
        <v>796</v>
      </c>
      <c r="AI101" t="s">
        <v>3534</v>
      </c>
      <c r="AJ101" t="s">
        <v>3534</v>
      </c>
      <c r="AR101">
        <v>1</v>
      </c>
    </row>
    <row r="102" spans="1:44" x14ac:dyDescent="0.3">
      <c r="A102" t="s">
        <v>31</v>
      </c>
      <c r="B102">
        <v>153</v>
      </c>
      <c r="C102">
        <v>85</v>
      </c>
      <c r="D102">
        <v>63</v>
      </c>
      <c r="G102" t="s">
        <v>605</v>
      </c>
      <c r="I102" t="s">
        <v>3261</v>
      </c>
      <c r="J102" t="s">
        <v>3261</v>
      </c>
      <c r="K102" t="s">
        <v>3261</v>
      </c>
      <c r="L102">
        <v>31988605879</v>
      </c>
      <c r="N102" t="s">
        <v>3263</v>
      </c>
      <c r="P102" t="s">
        <v>778</v>
      </c>
      <c r="Q102" t="s">
        <v>3264</v>
      </c>
      <c r="U102" t="s">
        <v>319</v>
      </c>
      <c r="V102" t="s">
        <v>816</v>
      </c>
      <c r="AA102">
        <v>0</v>
      </c>
      <c r="AB102" s="31">
        <v>45667</v>
      </c>
      <c r="AC102" s="61">
        <v>0.43425925925925918</v>
      </c>
      <c r="AD102" t="s">
        <v>818</v>
      </c>
      <c r="AE102" s="31">
        <v>45667</v>
      </c>
      <c r="AF102" s="61">
        <v>0.43490740740740741</v>
      </c>
      <c r="AI102" t="s">
        <v>1113</v>
      </c>
      <c r="AR102">
        <v>1</v>
      </c>
    </row>
    <row r="103" spans="1:44" x14ac:dyDescent="0.3">
      <c r="A103" t="s">
        <v>31</v>
      </c>
      <c r="B103">
        <v>157</v>
      </c>
      <c r="C103">
        <v>178</v>
      </c>
      <c r="D103">
        <v>1551</v>
      </c>
      <c r="G103" t="s">
        <v>3538</v>
      </c>
      <c r="H103">
        <v>54124158000100</v>
      </c>
      <c r="I103" t="s">
        <v>3539</v>
      </c>
      <c r="J103" t="s">
        <v>3540</v>
      </c>
      <c r="K103" t="s">
        <v>3540</v>
      </c>
      <c r="L103" t="s">
        <v>3541</v>
      </c>
      <c r="N103" t="s">
        <v>3542</v>
      </c>
      <c r="P103" t="s">
        <v>3543</v>
      </c>
      <c r="Q103" t="s">
        <v>1837</v>
      </c>
      <c r="R103" t="s">
        <v>790</v>
      </c>
      <c r="U103" t="s">
        <v>319</v>
      </c>
      <c r="V103" t="s">
        <v>816</v>
      </c>
      <c r="X103">
        <v>1360152</v>
      </c>
      <c r="Y103">
        <v>64152</v>
      </c>
      <c r="AA103">
        <v>4</v>
      </c>
      <c r="AB103" s="31">
        <v>45670</v>
      </c>
      <c r="AC103" s="61">
        <v>0.40980324074074082</v>
      </c>
      <c r="AD103" t="s">
        <v>818</v>
      </c>
      <c r="AE103" s="31">
        <v>45674</v>
      </c>
      <c r="AF103" s="61">
        <v>0.48346064814814821</v>
      </c>
      <c r="AI103" t="s">
        <v>3544</v>
      </c>
      <c r="AJ103" t="s">
        <v>3544</v>
      </c>
      <c r="AR103">
        <v>1</v>
      </c>
    </row>
    <row r="104" spans="1:44" x14ac:dyDescent="0.3">
      <c r="A104" t="s">
        <v>31</v>
      </c>
      <c r="B104">
        <v>158</v>
      </c>
      <c r="C104">
        <v>179</v>
      </c>
      <c r="D104">
        <v>1552</v>
      </c>
      <c r="G104" t="s">
        <v>3545</v>
      </c>
      <c r="H104">
        <v>21736169000184</v>
      </c>
      <c r="I104" t="s">
        <v>3546</v>
      </c>
      <c r="J104" t="s">
        <v>1243</v>
      </c>
      <c r="K104" t="s">
        <v>1243</v>
      </c>
      <c r="L104" t="s">
        <v>3547</v>
      </c>
      <c r="N104" t="s">
        <v>3548</v>
      </c>
      <c r="P104" t="s">
        <v>3549</v>
      </c>
      <c r="Q104" t="s">
        <v>3550</v>
      </c>
      <c r="R104" t="s">
        <v>874</v>
      </c>
      <c r="U104" t="s">
        <v>319</v>
      </c>
      <c r="V104" t="s">
        <v>816</v>
      </c>
      <c r="AA104">
        <v>0</v>
      </c>
      <c r="AB104" s="31">
        <v>45670</v>
      </c>
      <c r="AC104" s="61">
        <v>0.41332175925925918</v>
      </c>
      <c r="AD104" t="s">
        <v>818</v>
      </c>
      <c r="AE104" s="31">
        <v>45670</v>
      </c>
      <c r="AF104" s="61">
        <v>0.41498842592592589</v>
      </c>
      <c r="AI104" t="s">
        <v>1113</v>
      </c>
      <c r="AR104">
        <v>1</v>
      </c>
    </row>
    <row r="105" spans="1:44" x14ac:dyDescent="0.3">
      <c r="A105" t="s">
        <v>31</v>
      </c>
      <c r="B105">
        <v>159</v>
      </c>
      <c r="C105">
        <v>132</v>
      </c>
      <c r="D105">
        <v>1556</v>
      </c>
      <c r="G105" t="s">
        <v>3551</v>
      </c>
      <c r="I105" t="s">
        <v>3373</v>
      </c>
      <c r="J105" t="s">
        <v>3552</v>
      </c>
      <c r="K105" t="s">
        <v>3552</v>
      </c>
      <c r="L105" t="s">
        <v>3553</v>
      </c>
      <c r="N105" t="s">
        <v>3375</v>
      </c>
      <c r="P105" t="s">
        <v>778</v>
      </c>
      <c r="U105" t="s">
        <v>319</v>
      </c>
      <c r="V105" t="s">
        <v>816</v>
      </c>
      <c r="W105" t="s">
        <v>817</v>
      </c>
      <c r="X105">
        <v>0</v>
      </c>
      <c r="Y105">
        <v>0</v>
      </c>
      <c r="AA105">
        <v>2</v>
      </c>
      <c r="AB105" s="31">
        <v>45670</v>
      </c>
      <c r="AC105" s="61">
        <v>0.68215277777777783</v>
      </c>
      <c r="AD105" t="s">
        <v>818</v>
      </c>
      <c r="AE105" s="31">
        <v>45672</v>
      </c>
      <c r="AF105" s="61">
        <v>0.67391203703703706</v>
      </c>
      <c r="AI105" t="s">
        <v>3544</v>
      </c>
      <c r="AJ105" t="s">
        <v>3544</v>
      </c>
      <c r="AR105">
        <v>1</v>
      </c>
    </row>
    <row r="106" spans="1:44" x14ac:dyDescent="0.3">
      <c r="A106" t="s">
        <v>31</v>
      </c>
      <c r="B106">
        <v>160</v>
      </c>
      <c r="C106">
        <v>148</v>
      </c>
      <c r="D106">
        <v>1562</v>
      </c>
      <c r="G106" t="s">
        <v>3554</v>
      </c>
      <c r="H106">
        <v>8530284000130</v>
      </c>
      <c r="I106" t="s">
        <v>3555</v>
      </c>
      <c r="J106" t="s">
        <v>2927</v>
      </c>
      <c r="K106" t="s">
        <v>2927</v>
      </c>
      <c r="L106" t="s">
        <v>3556</v>
      </c>
      <c r="N106" t="s">
        <v>3557</v>
      </c>
      <c r="P106" t="s">
        <v>778</v>
      </c>
      <c r="U106" t="s">
        <v>319</v>
      </c>
      <c r="V106" t="s">
        <v>3417</v>
      </c>
      <c r="W106" t="s">
        <v>3558</v>
      </c>
      <c r="X106">
        <v>1600</v>
      </c>
      <c r="Y106">
        <v>339587</v>
      </c>
      <c r="AA106">
        <v>13</v>
      </c>
      <c r="AB106" s="31">
        <v>45671</v>
      </c>
      <c r="AC106" s="61">
        <v>0.48020833333333329</v>
      </c>
      <c r="AD106" t="s">
        <v>795</v>
      </c>
      <c r="AE106" s="31">
        <v>45684</v>
      </c>
      <c r="AF106" s="61">
        <v>0.41270833333333329</v>
      </c>
      <c r="AG106" t="s">
        <v>934</v>
      </c>
      <c r="AI106" t="s">
        <v>3559</v>
      </c>
      <c r="AJ106" t="s">
        <v>3559</v>
      </c>
      <c r="AR106">
        <v>1</v>
      </c>
    </row>
    <row r="107" spans="1:44" x14ac:dyDescent="0.3">
      <c r="A107" t="s">
        <v>31</v>
      </c>
      <c r="B107">
        <v>161</v>
      </c>
      <c r="C107">
        <v>180</v>
      </c>
      <c r="D107">
        <v>1577</v>
      </c>
      <c r="G107" t="s">
        <v>3560</v>
      </c>
      <c r="H107">
        <v>7287290000226</v>
      </c>
      <c r="I107" t="s">
        <v>3561</v>
      </c>
      <c r="J107" t="s">
        <v>3562</v>
      </c>
      <c r="K107" t="s">
        <v>3562</v>
      </c>
      <c r="L107" t="s">
        <v>3563</v>
      </c>
      <c r="N107" t="s">
        <v>3564</v>
      </c>
      <c r="P107" t="s">
        <v>3565</v>
      </c>
      <c r="Q107" t="s">
        <v>3566</v>
      </c>
      <c r="R107" t="s">
        <v>790</v>
      </c>
      <c r="U107" t="s">
        <v>319</v>
      </c>
      <c r="V107" t="s">
        <v>816</v>
      </c>
      <c r="W107" t="s">
        <v>3558</v>
      </c>
      <c r="X107">
        <v>28512</v>
      </c>
      <c r="Y107">
        <v>28512</v>
      </c>
      <c r="AA107">
        <v>0</v>
      </c>
      <c r="AB107" s="31">
        <v>45672</v>
      </c>
      <c r="AC107" s="61">
        <v>0.39792824074074068</v>
      </c>
      <c r="AD107" t="s">
        <v>818</v>
      </c>
      <c r="AE107" s="31">
        <v>45672</v>
      </c>
      <c r="AF107" s="61">
        <v>0.40056712962962959</v>
      </c>
      <c r="AI107" t="s">
        <v>3559</v>
      </c>
      <c r="AJ107" t="s">
        <v>3559</v>
      </c>
      <c r="AR107">
        <v>1</v>
      </c>
    </row>
    <row r="108" spans="1:44" x14ac:dyDescent="0.3">
      <c r="A108" t="s">
        <v>31</v>
      </c>
      <c r="B108">
        <v>162</v>
      </c>
      <c r="C108">
        <v>170</v>
      </c>
      <c r="D108">
        <v>1579</v>
      </c>
      <c r="G108" t="s">
        <v>3567</v>
      </c>
      <c r="H108">
        <v>4150555001304</v>
      </c>
      <c r="I108" t="s">
        <v>3477</v>
      </c>
      <c r="J108" t="s">
        <v>3568</v>
      </c>
      <c r="K108" t="s">
        <v>3568</v>
      </c>
      <c r="L108" t="s">
        <v>3569</v>
      </c>
      <c r="N108" t="s">
        <v>3480</v>
      </c>
      <c r="P108" t="s">
        <v>3481</v>
      </c>
      <c r="Q108" t="s">
        <v>3482</v>
      </c>
      <c r="R108" t="s">
        <v>1699</v>
      </c>
      <c r="U108" t="s">
        <v>319</v>
      </c>
      <c r="V108" t="s">
        <v>3417</v>
      </c>
      <c r="AA108">
        <v>14</v>
      </c>
      <c r="AB108" s="31">
        <v>45672</v>
      </c>
      <c r="AC108" s="61">
        <v>0.65109953703703705</v>
      </c>
      <c r="AD108" t="s">
        <v>795</v>
      </c>
      <c r="AE108" s="31">
        <v>45686</v>
      </c>
      <c r="AF108" s="61">
        <v>0.71326388888888892</v>
      </c>
      <c r="AG108" t="s">
        <v>796</v>
      </c>
      <c r="AI108" t="s">
        <v>3570</v>
      </c>
      <c r="AJ108" t="s">
        <v>3570</v>
      </c>
      <c r="AR108">
        <v>1</v>
      </c>
    </row>
    <row r="109" spans="1:44" x14ac:dyDescent="0.3">
      <c r="A109" t="s">
        <v>31</v>
      </c>
      <c r="B109">
        <v>163</v>
      </c>
      <c r="C109">
        <v>170</v>
      </c>
      <c r="D109">
        <v>1580</v>
      </c>
      <c r="G109" t="s">
        <v>3571</v>
      </c>
      <c r="H109">
        <v>4150555001304</v>
      </c>
      <c r="I109" t="s">
        <v>3477</v>
      </c>
      <c r="J109" t="s">
        <v>3478</v>
      </c>
      <c r="K109" t="s">
        <v>3478</v>
      </c>
      <c r="L109" t="s">
        <v>3569</v>
      </c>
      <c r="N109" t="s">
        <v>3480</v>
      </c>
      <c r="P109" t="s">
        <v>3481</v>
      </c>
      <c r="Q109" t="s">
        <v>3482</v>
      </c>
      <c r="R109" t="s">
        <v>1699</v>
      </c>
      <c r="U109" t="s">
        <v>319</v>
      </c>
      <c r="V109" t="s">
        <v>3417</v>
      </c>
      <c r="X109">
        <v>30816</v>
      </c>
      <c r="Y109">
        <v>85536</v>
      </c>
      <c r="AA109">
        <v>71</v>
      </c>
      <c r="AB109" s="31">
        <v>45672</v>
      </c>
      <c r="AC109" s="61">
        <v>0.65299768518518519</v>
      </c>
      <c r="AD109" t="s">
        <v>795</v>
      </c>
      <c r="AE109" s="31">
        <v>45743</v>
      </c>
      <c r="AF109" s="61">
        <v>0.35817129629629629</v>
      </c>
      <c r="AG109" t="s">
        <v>796</v>
      </c>
      <c r="AI109" t="s">
        <v>3570</v>
      </c>
      <c r="AJ109" t="s">
        <v>3570</v>
      </c>
      <c r="AR109">
        <v>1</v>
      </c>
    </row>
    <row r="110" spans="1:44" x14ac:dyDescent="0.3">
      <c r="A110" t="s">
        <v>31</v>
      </c>
      <c r="B110">
        <v>165</v>
      </c>
      <c r="C110">
        <v>182</v>
      </c>
      <c r="D110">
        <v>1586</v>
      </c>
      <c r="G110" t="s">
        <v>3572</v>
      </c>
      <c r="H110">
        <v>23873456000161</v>
      </c>
      <c r="I110" t="s">
        <v>3573</v>
      </c>
      <c r="J110" t="s">
        <v>3574</v>
      </c>
      <c r="K110" t="s">
        <v>3574</v>
      </c>
      <c r="L110" t="s">
        <v>3575</v>
      </c>
      <c r="N110" t="s">
        <v>3576</v>
      </c>
      <c r="P110" t="s">
        <v>3577</v>
      </c>
      <c r="Q110" t="s">
        <v>1837</v>
      </c>
      <c r="R110" t="s">
        <v>790</v>
      </c>
      <c r="U110" t="s">
        <v>319</v>
      </c>
      <c r="V110" t="s">
        <v>816</v>
      </c>
      <c r="W110" t="s">
        <v>817</v>
      </c>
      <c r="X110">
        <v>840</v>
      </c>
      <c r="Y110">
        <v>0</v>
      </c>
      <c r="AA110">
        <v>1</v>
      </c>
      <c r="AB110" s="31">
        <v>45672</v>
      </c>
      <c r="AC110" s="61">
        <v>0.74322916666666672</v>
      </c>
      <c r="AD110" t="s">
        <v>818</v>
      </c>
      <c r="AE110" s="31">
        <v>45673</v>
      </c>
      <c r="AF110" s="61">
        <v>0.39634259259259258</v>
      </c>
      <c r="AI110" t="s">
        <v>3570</v>
      </c>
      <c r="AR110">
        <v>1</v>
      </c>
    </row>
    <row r="111" spans="1:44" x14ac:dyDescent="0.3">
      <c r="A111" t="s">
        <v>31</v>
      </c>
      <c r="B111">
        <v>168</v>
      </c>
      <c r="C111">
        <v>154</v>
      </c>
      <c r="D111">
        <v>1601</v>
      </c>
      <c r="G111" t="s">
        <v>3578</v>
      </c>
      <c r="H111">
        <v>790751000159</v>
      </c>
      <c r="I111" t="s">
        <v>3456</v>
      </c>
      <c r="J111" t="s">
        <v>3579</v>
      </c>
      <c r="K111" t="s">
        <v>3579</v>
      </c>
      <c r="L111" t="s">
        <v>3580</v>
      </c>
      <c r="N111" t="s">
        <v>3459</v>
      </c>
      <c r="P111" t="s">
        <v>778</v>
      </c>
      <c r="U111" t="s">
        <v>319</v>
      </c>
      <c r="V111" t="s">
        <v>3417</v>
      </c>
      <c r="X111">
        <v>0</v>
      </c>
      <c r="Y111">
        <v>137479</v>
      </c>
      <c r="AA111">
        <v>28</v>
      </c>
      <c r="AB111" s="31">
        <v>45673</v>
      </c>
      <c r="AC111" s="61">
        <v>0.63656250000000003</v>
      </c>
      <c r="AD111" t="s">
        <v>795</v>
      </c>
      <c r="AE111" s="31">
        <v>45701</v>
      </c>
      <c r="AF111" s="61">
        <v>0.49040509259259257</v>
      </c>
      <c r="AG111" t="s">
        <v>796</v>
      </c>
      <c r="AI111" t="s">
        <v>3581</v>
      </c>
      <c r="AR111">
        <v>1</v>
      </c>
    </row>
    <row r="112" spans="1:44" x14ac:dyDescent="0.3">
      <c r="A112" t="s">
        <v>31</v>
      </c>
      <c r="B112">
        <v>170</v>
      </c>
      <c r="C112">
        <v>133</v>
      </c>
      <c r="D112">
        <v>1602</v>
      </c>
      <c r="G112" t="s">
        <v>3582</v>
      </c>
      <c r="I112" t="s">
        <v>625</v>
      </c>
      <c r="J112" t="s">
        <v>3583</v>
      </c>
      <c r="K112" t="s">
        <v>3583</v>
      </c>
      <c r="L112" t="s">
        <v>3584</v>
      </c>
      <c r="N112" t="s">
        <v>2207</v>
      </c>
      <c r="P112" t="s">
        <v>778</v>
      </c>
      <c r="U112" t="s">
        <v>319</v>
      </c>
      <c r="V112" t="s">
        <v>816</v>
      </c>
      <c r="W112" t="s">
        <v>817</v>
      </c>
      <c r="X112">
        <v>14600</v>
      </c>
      <c r="Y112">
        <v>1728</v>
      </c>
      <c r="AA112">
        <v>74</v>
      </c>
      <c r="AB112" s="31">
        <v>45673</v>
      </c>
      <c r="AC112" s="61">
        <v>0.75452546296296297</v>
      </c>
      <c r="AD112" t="s">
        <v>818</v>
      </c>
      <c r="AE112" s="31">
        <v>45721</v>
      </c>
      <c r="AF112" s="61">
        <v>0.42261574074074082</v>
      </c>
      <c r="AH112">
        <v>0</v>
      </c>
      <c r="AI112" t="s">
        <v>3581</v>
      </c>
      <c r="AJ112" t="s">
        <v>3581</v>
      </c>
      <c r="AR112">
        <v>1</v>
      </c>
    </row>
    <row r="113" spans="1:44" x14ac:dyDescent="0.3">
      <c r="A113" t="s">
        <v>31</v>
      </c>
      <c r="B113">
        <v>171</v>
      </c>
      <c r="C113">
        <v>170</v>
      </c>
      <c r="D113">
        <v>1604</v>
      </c>
      <c r="G113" t="s">
        <v>3585</v>
      </c>
      <c r="H113">
        <v>4150555001304</v>
      </c>
      <c r="I113" t="s">
        <v>3477</v>
      </c>
      <c r="J113" t="s">
        <v>3478</v>
      </c>
      <c r="K113" t="s">
        <v>3478</v>
      </c>
      <c r="L113" t="s">
        <v>3569</v>
      </c>
      <c r="N113" t="s">
        <v>3480</v>
      </c>
      <c r="P113" t="s">
        <v>3481</v>
      </c>
      <c r="Q113" t="s">
        <v>3482</v>
      </c>
      <c r="R113" t="s">
        <v>1699</v>
      </c>
      <c r="U113" t="s">
        <v>319</v>
      </c>
      <c r="V113" t="s">
        <v>816</v>
      </c>
      <c r="W113" t="s">
        <v>3558</v>
      </c>
      <c r="X113">
        <v>7764</v>
      </c>
      <c r="Y113">
        <v>3564</v>
      </c>
      <c r="AA113">
        <v>0</v>
      </c>
      <c r="AB113" s="31">
        <v>45674</v>
      </c>
      <c r="AC113" s="61">
        <v>0.48375000000000001</v>
      </c>
      <c r="AD113" t="s">
        <v>818</v>
      </c>
      <c r="AE113" s="31">
        <v>45674</v>
      </c>
      <c r="AF113" s="61">
        <v>0.48546296296296299</v>
      </c>
      <c r="AI113" t="s">
        <v>3586</v>
      </c>
      <c r="AJ113" t="s">
        <v>3581</v>
      </c>
      <c r="AR113">
        <v>1</v>
      </c>
    </row>
    <row r="114" spans="1:44" x14ac:dyDescent="0.3">
      <c r="A114" t="s">
        <v>31</v>
      </c>
      <c r="B114">
        <v>172</v>
      </c>
      <c r="C114">
        <v>132</v>
      </c>
      <c r="D114">
        <v>1607</v>
      </c>
      <c r="G114" t="s">
        <v>3587</v>
      </c>
      <c r="I114" t="s">
        <v>3373</v>
      </c>
      <c r="J114" t="s">
        <v>3588</v>
      </c>
      <c r="K114" t="s">
        <v>3588</v>
      </c>
      <c r="L114" t="s">
        <v>3553</v>
      </c>
      <c r="N114" t="s">
        <v>3375</v>
      </c>
      <c r="P114" t="s">
        <v>778</v>
      </c>
      <c r="U114" t="s">
        <v>319</v>
      </c>
      <c r="V114" t="s">
        <v>816</v>
      </c>
      <c r="X114">
        <v>135165</v>
      </c>
      <c r="Y114">
        <v>0</v>
      </c>
      <c r="AA114">
        <v>31</v>
      </c>
      <c r="AB114" s="31">
        <v>45674</v>
      </c>
      <c r="AC114" s="61">
        <v>0.73576388888888888</v>
      </c>
      <c r="AD114" t="s">
        <v>818</v>
      </c>
      <c r="AE114" s="31">
        <v>45705</v>
      </c>
      <c r="AF114" s="61">
        <v>0.44101851851851848</v>
      </c>
      <c r="AI114" t="s">
        <v>3586</v>
      </c>
      <c r="AR114">
        <v>1</v>
      </c>
    </row>
    <row r="115" spans="1:44" x14ac:dyDescent="0.3">
      <c r="A115" t="s">
        <v>31</v>
      </c>
      <c r="B115">
        <v>173</v>
      </c>
      <c r="C115">
        <v>112</v>
      </c>
      <c r="D115">
        <v>1612</v>
      </c>
      <c r="G115" t="s">
        <v>3589</v>
      </c>
      <c r="I115" t="s">
        <v>3327</v>
      </c>
      <c r="J115" t="s">
        <v>914</v>
      </c>
      <c r="K115" t="s">
        <v>914</v>
      </c>
      <c r="L115" t="s">
        <v>3590</v>
      </c>
      <c r="N115" t="s">
        <v>3328</v>
      </c>
      <c r="P115" t="s">
        <v>778</v>
      </c>
      <c r="U115" t="s">
        <v>319</v>
      </c>
      <c r="V115" t="s">
        <v>816</v>
      </c>
      <c r="W115" t="s">
        <v>3558</v>
      </c>
      <c r="X115">
        <v>714</v>
      </c>
      <c r="Y115">
        <v>0</v>
      </c>
      <c r="AA115">
        <v>0</v>
      </c>
      <c r="AB115" s="31">
        <v>45677</v>
      </c>
      <c r="AC115" s="61">
        <v>0.4858912037037037</v>
      </c>
      <c r="AD115" t="s">
        <v>818</v>
      </c>
      <c r="AE115" s="31">
        <v>45677</v>
      </c>
      <c r="AF115" s="61">
        <v>0.73797453703703708</v>
      </c>
      <c r="AI115" t="s">
        <v>1136</v>
      </c>
      <c r="AR115">
        <v>1</v>
      </c>
    </row>
    <row r="116" spans="1:44" x14ac:dyDescent="0.3">
      <c r="A116" t="s">
        <v>31</v>
      </c>
      <c r="B116">
        <v>175</v>
      </c>
      <c r="C116">
        <v>178</v>
      </c>
      <c r="D116">
        <v>1614</v>
      </c>
      <c r="G116" t="s">
        <v>3591</v>
      </c>
      <c r="H116">
        <v>54124158000100</v>
      </c>
      <c r="I116" t="s">
        <v>3539</v>
      </c>
      <c r="J116" t="s">
        <v>1243</v>
      </c>
      <c r="K116" t="s">
        <v>1243</v>
      </c>
      <c r="L116" t="s">
        <v>3541</v>
      </c>
      <c r="N116" t="s">
        <v>3542</v>
      </c>
      <c r="P116" t="s">
        <v>3543</v>
      </c>
      <c r="Q116" t="s">
        <v>1837</v>
      </c>
      <c r="R116" t="s">
        <v>790</v>
      </c>
      <c r="U116" t="s">
        <v>319</v>
      </c>
      <c r="V116" t="s">
        <v>3417</v>
      </c>
      <c r="X116">
        <v>44651</v>
      </c>
      <c r="Y116">
        <v>0</v>
      </c>
      <c r="AA116">
        <v>23</v>
      </c>
      <c r="AB116" s="31">
        <v>45678</v>
      </c>
      <c r="AC116" s="61">
        <v>0.45103009259259258</v>
      </c>
      <c r="AD116" t="s">
        <v>795</v>
      </c>
      <c r="AE116" s="31">
        <v>45701</v>
      </c>
      <c r="AF116" s="61">
        <v>0.48978009259259259</v>
      </c>
      <c r="AG116" t="s">
        <v>3463</v>
      </c>
      <c r="AI116" t="s">
        <v>3592</v>
      </c>
      <c r="AR116">
        <v>1</v>
      </c>
    </row>
    <row r="117" spans="1:44" x14ac:dyDescent="0.3">
      <c r="A117" t="s">
        <v>31</v>
      </c>
      <c r="B117">
        <v>176</v>
      </c>
      <c r="C117">
        <v>183</v>
      </c>
      <c r="D117">
        <v>1615</v>
      </c>
      <c r="G117" t="s">
        <v>3593</v>
      </c>
      <c r="H117">
        <v>3204281000192</v>
      </c>
      <c r="I117" t="s">
        <v>3594</v>
      </c>
      <c r="J117" t="s">
        <v>3595</v>
      </c>
      <c r="K117" t="s">
        <v>3595</v>
      </c>
      <c r="L117" t="s">
        <v>3596</v>
      </c>
      <c r="N117" t="s">
        <v>2617</v>
      </c>
      <c r="P117" t="s">
        <v>3597</v>
      </c>
      <c r="Q117" t="s">
        <v>2618</v>
      </c>
      <c r="R117" t="s">
        <v>790</v>
      </c>
      <c r="U117" t="s">
        <v>319</v>
      </c>
      <c r="V117" t="s">
        <v>816</v>
      </c>
      <c r="W117" t="s">
        <v>817</v>
      </c>
      <c r="X117">
        <v>831196</v>
      </c>
      <c r="Y117">
        <v>36106</v>
      </c>
      <c r="AA117">
        <v>16</v>
      </c>
      <c r="AB117" s="31">
        <v>45678</v>
      </c>
      <c r="AC117" s="61">
        <v>0.51611111111111108</v>
      </c>
      <c r="AD117" t="s">
        <v>818</v>
      </c>
      <c r="AE117" s="31">
        <v>45694</v>
      </c>
      <c r="AF117" s="61">
        <v>0.43015046296296289</v>
      </c>
      <c r="AI117" t="s">
        <v>3592</v>
      </c>
      <c r="AR117">
        <v>1</v>
      </c>
    </row>
    <row r="118" spans="1:44" x14ac:dyDescent="0.3">
      <c r="A118" t="s">
        <v>31</v>
      </c>
      <c r="B118">
        <v>177</v>
      </c>
      <c r="C118">
        <v>185</v>
      </c>
      <c r="D118">
        <v>1617</v>
      </c>
      <c r="G118" t="s">
        <v>3598</v>
      </c>
      <c r="H118">
        <v>51496785000176</v>
      </c>
      <c r="I118" t="s">
        <v>3599</v>
      </c>
      <c r="J118" t="s">
        <v>3600</v>
      </c>
      <c r="K118" t="s">
        <v>3600</v>
      </c>
      <c r="L118" t="s">
        <v>3601</v>
      </c>
      <c r="N118" t="s">
        <v>3602</v>
      </c>
      <c r="P118" t="s">
        <v>3603</v>
      </c>
      <c r="Q118" t="s">
        <v>847</v>
      </c>
      <c r="R118" t="s">
        <v>848</v>
      </c>
      <c r="U118" t="s">
        <v>319</v>
      </c>
      <c r="V118" t="s">
        <v>3417</v>
      </c>
      <c r="W118" t="s">
        <v>817</v>
      </c>
      <c r="X118">
        <v>33696</v>
      </c>
      <c r="Y118">
        <v>7128</v>
      </c>
      <c r="AA118">
        <v>36</v>
      </c>
      <c r="AB118" s="31">
        <v>45679</v>
      </c>
      <c r="AC118" s="61">
        <v>0.43111111111111111</v>
      </c>
      <c r="AD118" t="s">
        <v>795</v>
      </c>
      <c r="AE118" s="31">
        <v>45715</v>
      </c>
      <c r="AF118" s="61">
        <v>0.51508101851851851</v>
      </c>
      <c r="AG118" t="s">
        <v>1358</v>
      </c>
      <c r="AI118" t="s">
        <v>3604</v>
      </c>
      <c r="AJ118" t="s">
        <v>3517</v>
      </c>
      <c r="AR118">
        <v>1</v>
      </c>
    </row>
    <row r="119" spans="1:44" x14ac:dyDescent="0.3">
      <c r="A119" t="s">
        <v>31</v>
      </c>
      <c r="B119">
        <v>180</v>
      </c>
      <c r="C119">
        <v>170</v>
      </c>
      <c r="D119">
        <v>1624</v>
      </c>
      <c r="G119" t="s">
        <v>3605</v>
      </c>
      <c r="H119">
        <v>4150555001304</v>
      </c>
      <c r="I119" t="s">
        <v>3477</v>
      </c>
      <c r="J119" t="s">
        <v>1499</v>
      </c>
      <c r="K119" t="s">
        <v>1499</v>
      </c>
      <c r="L119" t="s">
        <v>3569</v>
      </c>
      <c r="N119" t="s">
        <v>3480</v>
      </c>
      <c r="P119" t="s">
        <v>3481</v>
      </c>
      <c r="Q119" t="s">
        <v>3482</v>
      </c>
      <c r="R119" t="s">
        <v>1699</v>
      </c>
      <c r="U119" t="s">
        <v>319</v>
      </c>
      <c r="V119" t="s">
        <v>3606</v>
      </c>
      <c r="AA119">
        <v>21</v>
      </c>
      <c r="AB119" s="31">
        <v>45680</v>
      </c>
      <c r="AC119" s="61">
        <v>0.64934027777777781</v>
      </c>
      <c r="AD119" t="s">
        <v>795</v>
      </c>
      <c r="AE119" s="31">
        <v>45701</v>
      </c>
      <c r="AF119" s="61">
        <v>0.47988425925925932</v>
      </c>
      <c r="AG119" t="s">
        <v>1358</v>
      </c>
      <c r="AJ119" t="s">
        <v>1010</v>
      </c>
      <c r="AR119">
        <v>1</v>
      </c>
    </row>
    <row r="120" spans="1:44" x14ac:dyDescent="0.3">
      <c r="A120" t="s">
        <v>31</v>
      </c>
      <c r="B120">
        <v>181</v>
      </c>
      <c r="C120">
        <v>118</v>
      </c>
      <c r="D120">
        <v>1628</v>
      </c>
      <c r="G120" t="s">
        <v>3607</v>
      </c>
      <c r="I120" t="s">
        <v>686</v>
      </c>
      <c r="J120" t="s">
        <v>3608</v>
      </c>
      <c r="K120" t="s">
        <v>3608</v>
      </c>
      <c r="L120" t="s">
        <v>3609</v>
      </c>
      <c r="N120" t="s">
        <v>3343</v>
      </c>
      <c r="P120" t="s">
        <v>778</v>
      </c>
      <c r="U120" t="s">
        <v>319</v>
      </c>
      <c r="V120" t="s">
        <v>3417</v>
      </c>
      <c r="X120">
        <v>33696</v>
      </c>
      <c r="Y120">
        <v>0</v>
      </c>
      <c r="AA120">
        <v>20</v>
      </c>
      <c r="AB120" s="31">
        <v>45681</v>
      </c>
      <c r="AC120" s="61">
        <v>0.41077546296296302</v>
      </c>
      <c r="AD120" t="s">
        <v>795</v>
      </c>
      <c r="AE120" s="31">
        <v>45701</v>
      </c>
      <c r="AF120" s="61">
        <v>0.7180671296296296</v>
      </c>
      <c r="AG120" t="s">
        <v>796</v>
      </c>
      <c r="AI120" t="s">
        <v>3610</v>
      </c>
      <c r="AR120">
        <v>1</v>
      </c>
    </row>
    <row r="121" spans="1:44" x14ac:dyDescent="0.3">
      <c r="A121" t="s">
        <v>31</v>
      </c>
      <c r="B121">
        <v>182</v>
      </c>
      <c r="C121">
        <v>181</v>
      </c>
      <c r="D121">
        <v>1630</v>
      </c>
      <c r="G121" t="s">
        <v>3611</v>
      </c>
      <c r="H121">
        <v>43204189000147</v>
      </c>
      <c r="I121" t="s">
        <v>3612</v>
      </c>
      <c r="J121" t="s">
        <v>990</v>
      </c>
      <c r="K121" t="s">
        <v>990</v>
      </c>
      <c r="L121" t="s">
        <v>3613</v>
      </c>
      <c r="N121" t="s">
        <v>3614</v>
      </c>
      <c r="P121" t="s">
        <v>3615</v>
      </c>
      <c r="Q121" t="s">
        <v>3616</v>
      </c>
      <c r="R121" t="s">
        <v>790</v>
      </c>
      <c r="U121" t="s">
        <v>319</v>
      </c>
      <c r="V121" t="s">
        <v>3417</v>
      </c>
      <c r="AA121">
        <v>0</v>
      </c>
      <c r="AB121" s="31">
        <v>45681</v>
      </c>
      <c r="AC121" s="61">
        <v>0.42917824074074068</v>
      </c>
      <c r="AD121" t="s">
        <v>795</v>
      </c>
      <c r="AE121" s="31">
        <v>45681</v>
      </c>
      <c r="AF121" s="61">
        <v>0.43184027777777778</v>
      </c>
      <c r="AG121" t="s">
        <v>796</v>
      </c>
      <c r="AI121" t="s">
        <v>3586</v>
      </c>
      <c r="AR121">
        <v>1</v>
      </c>
    </row>
    <row r="122" spans="1:44" x14ac:dyDescent="0.3">
      <c r="A122" t="s">
        <v>31</v>
      </c>
      <c r="B122">
        <v>184</v>
      </c>
      <c r="C122">
        <v>83</v>
      </c>
      <c r="D122">
        <v>1632</v>
      </c>
      <c r="G122" t="s">
        <v>3617</v>
      </c>
      <c r="I122" t="s">
        <v>3255</v>
      </c>
      <c r="J122" t="s">
        <v>3618</v>
      </c>
      <c r="K122" t="s">
        <v>3618</v>
      </c>
      <c r="N122" t="s">
        <v>3256</v>
      </c>
      <c r="P122" t="s">
        <v>778</v>
      </c>
      <c r="Q122" t="s">
        <v>3257</v>
      </c>
      <c r="U122" t="s">
        <v>319</v>
      </c>
      <c r="V122" t="s">
        <v>781</v>
      </c>
      <c r="AA122">
        <v>5</v>
      </c>
      <c r="AB122" s="31">
        <v>45681</v>
      </c>
      <c r="AC122" s="61">
        <v>0.49629629629629629</v>
      </c>
      <c r="AD122" t="s">
        <v>795</v>
      </c>
      <c r="AE122" s="31">
        <v>45686</v>
      </c>
      <c r="AF122" s="61">
        <v>0.71755787037037033</v>
      </c>
      <c r="AG122" t="s">
        <v>796</v>
      </c>
      <c r="AI122" t="s">
        <v>3619</v>
      </c>
      <c r="AR122">
        <v>1</v>
      </c>
    </row>
    <row r="123" spans="1:44" x14ac:dyDescent="0.3">
      <c r="A123" t="s">
        <v>31</v>
      </c>
      <c r="B123">
        <v>185</v>
      </c>
      <c r="C123">
        <v>152</v>
      </c>
      <c r="D123">
        <v>1633</v>
      </c>
      <c r="G123" t="s">
        <v>3445</v>
      </c>
      <c r="I123" t="s">
        <v>3445</v>
      </c>
      <c r="J123" t="s">
        <v>3620</v>
      </c>
      <c r="K123" t="s">
        <v>3620</v>
      </c>
      <c r="L123" t="s">
        <v>3621</v>
      </c>
      <c r="N123" t="s">
        <v>3448</v>
      </c>
      <c r="P123" t="s">
        <v>778</v>
      </c>
      <c r="U123" t="s">
        <v>319</v>
      </c>
      <c r="V123" t="s">
        <v>816</v>
      </c>
      <c r="W123" t="s">
        <v>817</v>
      </c>
      <c r="X123">
        <v>33696</v>
      </c>
      <c r="Y123">
        <v>0</v>
      </c>
      <c r="AA123">
        <v>0</v>
      </c>
      <c r="AB123" s="31">
        <v>45681</v>
      </c>
      <c r="AC123" s="61">
        <v>0.66790509259259256</v>
      </c>
      <c r="AD123" t="s">
        <v>818</v>
      </c>
      <c r="AE123" s="31">
        <v>45681</v>
      </c>
      <c r="AF123" s="61">
        <v>0.67667824074074079</v>
      </c>
      <c r="AI123" t="s">
        <v>3619</v>
      </c>
      <c r="AR123">
        <v>1</v>
      </c>
    </row>
    <row r="124" spans="1:44" x14ac:dyDescent="0.3">
      <c r="A124" t="s">
        <v>31</v>
      </c>
      <c r="B124">
        <v>186</v>
      </c>
      <c r="C124">
        <v>76</v>
      </c>
      <c r="D124">
        <v>1634</v>
      </c>
      <c r="G124" t="s">
        <v>3622</v>
      </c>
      <c r="I124" t="s">
        <v>225</v>
      </c>
      <c r="J124" t="s">
        <v>1499</v>
      </c>
      <c r="K124" t="s">
        <v>1499</v>
      </c>
      <c r="L124" t="s">
        <v>3623</v>
      </c>
      <c r="N124" t="s">
        <v>3233</v>
      </c>
      <c r="P124" t="s">
        <v>778</v>
      </c>
      <c r="Q124" t="s">
        <v>3234</v>
      </c>
      <c r="R124" t="s">
        <v>1699</v>
      </c>
      <c r="U124" t="s">
        <v>319</v>
      </c>
      <c r="V124" t="s">
        <v>3417</v>
      </c>
      <c r="X124">
        <v>67392</v>
      </c>
      <c r="Y124">
        <v>3564</v>
      </c>
      <c r="AA124">
        <v>45</v>
      </c>
      <c r="AB124" s="31">
        <v>45681</v>
      </c>
      <c r="AC124" s="61">
        <v>0.6774768518518518</v>
      </c>
      <c r="AD124" t="s">
        <v>795</v>
      </c>
      <c r="AE124" s="31">
        <v>45726</v>
      </c>
      <c r="AF124" s="61">
        <v>0.42464120370370367</v>
      </c>
      <c r="AG124" t="s">
        <v>796</v>
      </c>
      <c r="AI124" t="s">
        <v>3619</v>
      </c>
      <c r="AJ124" t="s">
        <v>3619</v>
      </c>
      <c r="AR124">
        <v>1</v>
      </c>
    </row>
    <row r="125" spans="1:44" x14ac:dyDescent="0.3">
      <c r="A125" t="s">
        <v>31</v>
      </c>
      <c r="B125">
        <v>189</v>
      </c>
      <c r="C125">
        <v>186</v>
      </c>
      <c r="D125">
        <v>1645</v>
      </c>
      <c r="G125" t="s">
        <v>3624</v>
      </c>
      <c r="H125">
        <v>10899939000193</v>
      </c>
      <c r="I125" t="s">
        <v>3625</v>
      </c>
      <c r="J125" t="s">
        <v>704</v>
      </c>
      <c r="K125" t="s">
        <v>704</v>
      </c>
      <c r="L125" t="s">
        <v>3626</v>
      </c>
      <c r="N125" t="s">
        <v>3627</v>
      </c>
      <c r="P125" t="s">
        <v>3628</v>
      </c>
      <c r="Q125" t="s">
        <v>3629</v>
      </c>
      <c r="R125" t="s">
        <v>932</v>
      </c>
      <c r="U125" t="s">
        <v>319</v>
      </c>
      <c r="V125" t="s">
        <v>816</v>
      </c>
      <c r="W125" t="s">
        <v>817</v>
      </c>
      <c r="X125">
        <v>33696</v>
      </c>
      <c r="Y125">
        <v>3564</v>
      </c>
      <c r="AA125">
        <v>1</v>
      </c>
      <c r="AB125" s="31">
        <v>45684</v>
      </c>
      <c r="AC125" s="61">
        <v>0.69358796296296299</v>
      </c>
      <c r="AD125" t="s">
        <v>818</v>
      </c>
      <c r="AE125" s="31">
        <v>45685</v>
      </c>
      <c r="AF125" s="61">
        <v>0.37228009259259259</v>
      </c>
      <c r="AI125" t="s">
        <v>3630</v>
      </c>
      <c r="AR125">
        <v>1</v>
      </c>
    </row>
    <row r="126" spans="1:44" x14ac:dyDescent="0.3">
      <c r="A126" t="s">
        <v>31</v>
      </c>
      <c r="B126">
        <v>190</v>
      </c>
      <c r="C126">
        <v>187</v>
      </c>
      <c r="D126">
        <v>1646</v>
      </c>
      <c r="G126" t="s">
        <v>439</v>
      </c>
      <c r="H126">
        <v>17063632000105</v>
      </c>
      <c r="I126" t="s">
        <v>3631</v>
      </c>
      <c r="J126" t="s">
        <v>3632</v>
      </c>
      <c r="K126" t="s">
        <v>3632</v>
      </c>
      <c r="L126" t="s">
        <v>3633</v>
      </c>
      <c r="N126" t="s">
        <v>3634</v>
      </c>
      <c r="P126" t="s">
        <v>3635</v>
      </c>
      <c r="Q126" t="s">
        <v>3636</v>
      </c>
      <c r="R126" t="s">
        <v>1699</v>
      </c>
      <c r="U126" t="s">
        <v>319</v>
      </c>
      <c r="V126" t="s">
        <v>3417</v>
      </c>
      <c r="X126">
        <v>116253</v>
      </c>
      <c r="Y126">
        <v>0</v>
      </c>
      <c r="AA126">
        <v>11</v>
      </c>
      <c r="AB126" s="31">
        <v>45684</v>
      </c>
      <c r="AC126" s="61">
        <v>0.71214120370370371</v>
      </c>
      <c r="AD126" t="s">
        <v>795</v>
      </c>
      <c r="AE126" s="31">
        <v>45695</v>
      </c>
      <c r="AF126" s="61">
        <v>0.66339120370370375</v>
      </c>
      <c r="AG126" t="s">
        <v>934</v>
      </c>
      <c r="AI126" t="s">
        <v>3630</v>
      </c>
      <c r="AR126">
        <v>1</v>
      </c>
    </row>
    <row r="127" spans="1:44" x14ac:dyDescent="0.3">
      <c r="A127" t="s">
        <v>31</v>
      </c>
      <c r="B127">
        <v>192</v>
      </c>
      <c r="C127">
        <v>146</v>
      </c>
      <c r="D127">
        <v>1652</v>
      </c>
      <c r="G127" t="s">
        <v>3637</v>
      </c>
      <c r="I127" t="s">
        <v>3425</v>
      </c>
      <c r="J127" t="s">
        <v>3426</v>
      </c>
      <c r="K127" t="s">
        <v>3426</v>
      </c>
      <c r="L127" t="s">
        <v>3515</v>
      </c>
      <c r="N127" t="s">
        <v>3428</v>
      </c>
      <c r="P127" t="s">
        <v>778</v>
      </c>
      <c r="U127" t="s">
        <v>319</v>
      </c>
      <c r="V127" t="s">
        <v>816</v>
      </c>
      <c r="W127" t="s">
        <v>3558</v>
      </c>
      <c r="X127">
        <v>63179</v>
      </c>
      <c r="Y127">
        <v>0</v>
      </c>
      <c r="AA127">
        <v>0</v>
      </c>
      <c r="AB127" s="31">
        <v>45685</v>
      </c>
      <c r="AC127" s="61">
        <v>0.69449074074074069</v>
      </c>
      <c r="AD127" t="s">
        <v>818</v>
      </c>
      <c r="AE127" s="31">
        <v>45685</v>
      </c>
      <c r="AF127" s="61">
        <v>0.69738425925925929</v>
      </c>
      <c r="AI127" t="s">
        <v>1187</v>
      </c>
      <c r="AR127">
        <v>1</v>
      </c>
    </row>
    <row r="128" spans="1:44" x14ac:dyDescent="0.3">
      <c r="A128" t="s">
        <v>31</v>
      </c>
      <c r="B128">
        <v>194</v>
      </c>
      <c r="C128">
        <v>188</v>
      </c>
      <c r="D128">
        <v>1654</v>
      </c>
      <c r="G128" t="s">
        <v>3638</v>
      </c>
      <c r="H128">
        <v>134729000150</v>
      </c>
      <c r="I128" t="s">
        <v>3639</v>
      </c>
      <c r="J128" t="s">
        <v>3640</v>
      </c>
      <c r="K128" t="s">
        <v>3640</v>
      </c>
      <c r="L128" t="s">
        <v>3641</v>
      </c>
      <c r="N128" t="s">
        <v>3642</v>
      </c>
      <c r="P128" t="s">
        <v>3643</v>
      </c>
      <c r="Q128" t="s">
        <v>847</v>
      </c>
      <c r="R128" t="s">
        <v>848</v>
      </c>
      <c r="T128" t="s">
        <v>1327</v>
      </c>
      <c r="U128" t="s">
        <v>319</v>
      </c>
      <c r="V128" t="s">
        <v>3417</v>
      </c>
      <c r="X128">
        <v>1600</v>
      </c>
      <c r="Y128">
        <v>674148</v>
      </c>
      <c r="AA128">
        <v>22</v>
      </c>
      <c r="AB128" s="31">
        <v>45685</v>
      </c>
      <c r="AC128" s="61">
        <v>0.70484953703703701</v>
      </c>
      <c r="AD128" t="s">
        <v>795</v>
      </c>
      <c r="AE128" s="31">
        <v>45707</v>
      </c>
      <c r="AF128" s="61">
        <v>0.37031249999999999</v>
      </c>
      <c r="AG128" t="s">
        <v>796</v>
      </c>
      <c r="AI128" t="s">
        <v>1187</v>
      </c>
      <c r="AJ128" t="s">
        <v>1187</v>
      </c>
      <c r="AR128">
        <v>1</v>
      </c>
    </row>
    <row r="129" spans="1:44" x14ac:dyDescent="0.3">
      <c r="A129" t="s">
        <v>31</v>
      </c>
      <c r="B129">
        <v>216</v>
      </c>
      <c r="C129">
        <v>149</v>
      </c>
      <c r="D129">
        <v>1716</v>
      </c>
      <c r="G129" t="s">
        <v>3644</v>
      </c>
      <c r="H129">
        <v>12418196000118</v>
      </c>
      <c r="I129" t="s">
        <v>3645</v>
      </c>
      <c r="J129" t="s">
        <v>3646</v>
      </c>
      <c r="K129" t="s">
        <v>3646</v>
      </c>
      <c r="L129" t="s">
        <v>3647</v>
      </c>
      <c r="N129" t="s">
        <v>3648</v>
      </c>
      <c r="P129" t="s">
        <v>778</v>
      </c>
      <c r="U129" t="s">
        <v>319</v>
      </c>
      <c r="V129" t="s">
        <v>3417</v>
      </c>
      <c r="X129">
        <v>1600</v>
      </c>
      <c r="Y129">
        <v>1458885</v>
      </c>
      <c r="AA129">
        <v>39</v>
      </c>
      <c r="AB129" s="31">
        <v>45694</v>
      </c>
      <c r="AC129" s="61">
        <v>0.58359953703703704</v>
      </c>
      <c r="AD129" t="s">
        <v>795</v>
      </c>
      <c r="AE129" s="31">
        <v>45733</v>
      </c>
      <c r="AF129" s="61">
        <v>0.40326388888888892</v>
      </c>
      <c r="AG129" t="s">
        <v>796</v>
      </c>
      <c r="AI129" t="s">
        <v>1293</v>
      </c>
      <c r="AJ129" t="s">
        <v>1293</v>
      </c>
      <c r="AR129">
        <v>1</v>
      </c>
    </row>
    <row r="130" spans="1:44" x14ac:dyDescent="0.3">
      <c r="A130" t="s">
        <v>31</v>
      </c>
      <c r="B130">
        <v>217</v>
      </c>
      <c r="C130">
        <v>102</v>
      </c>
      <c r="D130">
        <v>1717</v>
      </c>
      <c r="G130" t="s">
        <v>3649</v>
      </c>
      <c r="I130" t="s">
        <v>3306</v>
      </c>
      <c r="J130" t="s">
        <v>3650</v>
      </c>
      <c r="K130" t="s">
        <v>3650</v>
      </c>
      <c r="L130" t="s">
        <v>3651</v>
      </c>
      <c r="N130" t="s">
        <v>3308</v>
      </c>
      <c r="P130" t="s">
        <v>778</v>
      </c>
      <c r="T130" t="s">
        <v>1266</v>
      </c>
      <c r="U130" t="s">
        <v>319</v>
      </c>
      <c r="V130" t="s">
        <v>3417</v>
      </c>
      <c r="X130">
        <v>16200</v>
      </c>
      <c r="Y130">
        <v>2160</v>
      </c>
      <c r="AA130">
        <v>39</v>
      </c>
      <c r="AB130" s="31">
        <v>45694</v>
      </c>
      <c r="AC130" s="61">
        <v>0.61443287037037042</v>
      </c>
      <c r="AD130" t="s">
        <v>795</v>
      </c>
      <c r="AE130" s="31">
        <v>45733</v>
      </c>
      <c r="AF130" s="61">
        <v>0.40384259259259259</v>
      </c>
      <c r="AG130" t="s">
        <v>796</v>
      </c>
      <c r="AI130" t="s">
        <v>1293</v>
      </c>
      <c r="AJ130" t="s">
        <v>1293</v>
      </c>
      <c r="AR130">
        <v>1</v>
      </c>
    </row>
    <row r="131" spans="1:44" x14ac:dyDescent="0.3">
      <c r="A131" t="s">
        <v>31</v>
      </c>
      <c r="B131">
        <v>218</v>
      </c>
      <c r="C131">
        <v>76</v>
      </c>
      <c r="D131">
        <v>1718</v>
      </c>
      <c r="G131" t="s">
        <v>3652</v>
      </c>
      <c r="I131" t="s">
        <v>225</v>
      </c>
      <c r="J131" t="s">
        <v>3653</v>
      </c>
      <c r="K131" t="s">
        <v>3653</v>
      </c>
      <c r="L131" t="s">
        <v>3623</v>
      </c>
      <c r="N131" t="s">
        <v>3233</v>
      </c>
      <c r="P131" t="s">
        <v>778</v>
      </c>
      <c r="Q131" t="s">
        <v>3234</v>
      </c>
      <c r="R131" t="s">
        <v>1699</v>
      </c>
      <c r="T131" t="s">
        <v>1266</v>
      </c>
      <c r="U131" t="s">
        <v>319</v>
      </c>
      <c r="V131" t="s">
        <v>781</v>
      </c>
      <c r="AA131">
        <v>67</v>
      </c>
      <c r="AB131" s="31">
        <v>45694</v>
      </c>
      <c r="AC131" s="61">
        <v>0.63978009259259261</v>
      </c>
      <c r="AD131" t="s">
        <v>795</v>
      </c>
      <c r="AE131" s="31">
        <v>45761</v>
      </c>
      <c r="AF131" s="61">
        <v>0.36935185185185188</v>
      </c>
      <c r="AG131" t="s">
        <v>796</v>
      </c>
      <c r="AR131">
        <v>1</v>
      </c>
    </row>
    <row r="132" spans="1:44" x14ac:dyDescent="0.3">
      <c r="A132" t="s">
        <v>31</v>
      </c>
      <c r="B132">
        <v>220</v>
      </c>
      <c r="C132">
        <v>129</v>
      </c>
      <c r="D132">
        <v>1723</v>
      </c>
      <c r="G132" t="s">
        <v>3654</v>
      </c>
      <c r="I132" t="s">
        <v>679</v>
      </c>
      <c r="J132" t="s">
        <v>3655</v>
      </c>
      <c r="K132" t="s">
        <v>3655</v>
      </c>
      <c r="L132" t="s">
        <v>3537</v>
      </c>
      <c r="N132" t="s">
        <v>3366</v>
      </c>
      <c r="P132" t="s">
        <v>778</v>
      </c>
      <c r="U132" t="s">
        <v>319</v>
      </c>
      <c r="V132" t="s">
        <v>816</v>
      </c>
      <c r="X132">
        <v>321408</v>
      </c>
      <c r="Y132">
        <v>57024</v>
      </c>
      <c r="AA132">
        <v>48</v>
      </c>
      <c r="AB132" s="31">
        <v>45695</v>
      </c>
      <c r="AC132" s="61">
        <v>0.36967592592592591</v>
      </c>
      <c r="AD132" t="s">
        <v>795</v>
      </c>
      <c r="AE132" s="31">
        <v>45743</v>
      </c>
      <c r="AF132" s="61">
        <v>0.35805555555555563</v>
      </c>
      <c r="AG132" t="s">
        <v>796</v>
      </c>
      <c r="AI132" t="s">
        <v>1292</v>
      </c>
      <c r="AJ132" t="s">
        <v>1293</v>
      </c>
      <c r="AR132">
        <v>1</v>
      </c>
    </row>
    <row r="133" spans="1:44" x14ac:dyDescent="0.3">
      <c r="A133" t="s">
        <v>31</v>
      </c>
      <c r="B133">
        <v>221</v>
      </c>
      <c r="C133">
        <v>129</v>
      </c>
      <c r="D133">
        <v>1724</v>
      </c>
      <c r="G133" t="s">
        <v>3656</v>
      </c>
      <c r="I133" t="s">
        <v>679</v>
      </c>
      <c r="J133" t="s">
        <v>928</v>
      </c>
      <c r="K133" t="s">
        <v>928</v>
      </c>
      <c r="L133" t="s">
        <v>3537</v>
      </c>
      <c r="N133" t="s">
        <v>3366</v>
      </c>
      <c r="P133" t="s">
        <v>778</v>
      </c>
      <c r="T133" t="s">
        <v>1266</v>
      </c>
      <c r="U133" t="s">
        <v>319</v>
      </c>
      <c r="V133" t="s">
        <v>816</v>
      </c>
      <c r="X133">
        <v>23580</v>
      </c>
      <c r="Y133">
        <v>3400</v>
      </c>
      <c r="AA133">
        <v>48</v>
      </c>
      <c r="AB133" s="31">
        <v>45695</v>
      </c>
      <c r="AC133" s="61">
        <v>0.41024305555555562</v>
      </c>
      <c r="AD133" t="s">
        <v>795</v>
      </c>
      <c r="AE133" s="31">
        <v>45743</v>
      </c>
      <c r="AF133" s="61">
        <v>0.35790509259259262</v>
      </c>
      <c r="AG133" t="s">
        <v>796</v>
      </c>
      <c r="AI133" t="s">
        <v>1292</v>
      </c>
      <c r="AJ133" t="s">
        <v>1293</v>
      </c>
      <c r="AR133">
        <v>1</v>
      </c>
    </row>
    <row r="134" spans="1:44" x14ac:dyDescent="0.3">
      <c r="A134" t="s">
        <v>31</v>
      </c>
      <c r="B134">
        <v>222</v>
      </c>
      <c r="C134">
        <v>172</v>
      </c>
      <c r="D134">
        <v>1725</v>
      </c>
      <c r="G134" t="s">
        <v>3657</v>
      </c>
      <c r="H134">
        <v>33561753000125</v>
      </c>
      <c r="I134" t="s">
        <v>3501</v>
      </c>
      <c r="J134" t="s">
        <v>952</v>
      </c>
      <c r="K134" t="s">
        <v>952</v>
      </c>
      <c r="L134" t="s">
        <v>3502</v>
      </c>
      <c r="N134" t="s">
        <v>3503</v>
      </c>
      <c r="P134" t="s">
        <v>3504</v>
      </c>
      <c r="Q134" t="s">
        <v>3505</v>
      </c>
      <c r="R134" t="s">
        <v>790</v>
      </c>
      <c r="T134" t="s">
        <v>1266</v>
      </c>
      <c r="U134" t="s">
        <v>319</v>
      </c>
      <c r="V134" t="s">
        <v>3417</v>
      </c>
      <c r="X134">
        <v>23580</v>
      </c>
      <c r="Y134">
        <v>3400</v>
      </c>
      <c r="AA134">
        <v>91</v>
      </c>
      <c r="AB134" s="31">
        <v>45695</v>
      </c>
      <c r="AC134" s="61">
        <v>0.44217592592592592</v>
      </c>
      <c r="AD134" t="s">
        <v>795</v>
      </c>
      <c r="AE134" s="31">
        <v>45786</v>
      </c>
      <c r="AF134" s="61">
        <v>0.6146759259259259</v>
      </c>
      <c r="AG134" t="s">
        <v>934</v>
      </c>
      <c r="AI134" t="s">
        <v>1292</v>
      </c>
      <c r="AJ134" t="s">
        <v>1286</v>
      </c>
      <c r="AR134">
        <v>1</v>
      </c>
    </row>
    <row r="135" spans="1:44" x14ac:dyDescent="0.3">
      <c r="A135" t="s">
        <v>31</v>
      </c>
      <c r="B135">
        <v>223</v>
      </c>
      <c r="C135">
        <v>172</v>
      </c>
      <c r="D135">
        <v>1726</v>
      </c>
      <c r="G135" t="s">
        <v>3658</v>
      </c>
      <c r="H135">
        <v>33561753000125</v>
      </c>
      <c r="I135" t="s">
        <v>3501</v>
      </c>
      <c r="J135" t="s">
        <v>952</v>
      </c>
      <c r="K135" t="s">
        <v>952</v>
      </c>
      <c r="L135" t="s">
        <v>3502</v>
      </c>
      <c r="N135" t="s">
        <v>3503</v>
      </c>
      <c r="P135" t="s">
        <v>3504</v>
      </c>
      <c r="Q135" t="s">
        <v>3505</v>
      </c>
      <c r="R135" t="s">
        <v>790</v>
      </c>
      <c r="T135" t="s">
        <v>1266</v>
      </c>
      <c r="U135" t="s">
        <v>319</v>
      </c>
      <c r="V135" t="s">
        <v>3417</v>
      </c>
      <c r="X135">
        <v>214272</v>
      </c>
      <c r="Y135">
        <v>48472</v>
      </c>
      <c r="AA135">
        <v>91</v>
      </c>
      <c r="AB135" s="31">
        <v>45695</v>
      </c>
      <c r="AC135" s="61">
        <v>0.44530092592592591</v>
      </c>
      <c r="AD135" t="s">
        <v>795</v>
      </c>
      <c r="AE135" s="31">
        <v>45786</v>
      </c>
      <c r="AF135" s="61">
        <v>0.61391203703703701</v>
      </c>
      <c r="AG135" t="s">
        <v>934</v>
      </c>
      <c r="AI135" t="s">
        <v>1292</v>
      </c>
      <c r="AJ135" t="s">
        <v>1286</v>
      </c>
      <c r="AR135">
        <v>1</v>
      </c>
    </row>
    <row r="136" spans="1:44" x14ac:dyDescent="0.3">
      <c r="A136" t="s">
        <v>31</v>
      </c>
      <c r="B136">
        <v>224</v>
      </c>
      <c r="C136">
        <v>172</v>
      </c>
      <c r="D136">
        <v>1727</v>
      </c>
      <c r="G136" t="s">
        <v>3659</v>
      </c>
      <c r="H136">
        <v>33561753000125</v>
      </c>
      <c r="I136" t="s">
        <v>3501</v>
      </c>
      <c r="J136" t="s">
        <v>952</v>
      </c>
      <c r="K136" t="s">
        <v>952</v>
      </c>
      <c r="L136" t="s">
        <v>3502</v>
      </c>
      <c r="N136" t="s">
        <v>3503</v>
      </c>
      <c r="P136" t="s">
        <v>3504</v>
      </c>
      <c r="Q136" t="s">
        <v>3505</v>
      </c>
      <c r="R136" t="s">
        <v>790</v>
      </c>
      <c r="T136" t="s">
        <v>1266</v>
      </c>
      <c r="U136" t="s">
        <v>319</v>
      </c>
      <c r="V136" t="s">
        <v>3417</v>
      </c>
      <c r="X136">
        <v>142848</v>
      </c>
      <c r="Y136">
        <v>0</v>
      </c>
      <c r="AA136">
        <v>91</v>
      </c>
      <c r="AB136" s="31">
        <v>45695</v>
      </c>
      <c r="AC136" s="61">
        <v>0.45251157407407411</v>
      </c>
      <c r="AD136" t="s">
        <v>795</v>
      </c>
      <c r="AE136" s="31">
        <v>45786</v>
      </c>
      <c r="AF136" s="61">
        <v>0.61659722222222224</v>
      </c>
      <c r="AG136" t="s">
        <v>934</v>
      </c>
      <c r="AI136" t="s">
        <v>1292</v>
      </c>
      <c r="AJ136" t="s">
        <v>1286</v>
      </c>
      <c r="AR136">
        <v>1</v>
      </c>
    </row>
    <row r="137" spans="1:44" x14ac:dyDescent="0.3">
      <c r="A137" t="s">
        <v>31</v>
      </c>
      <c r="B137">
        <v>225</v>
      </c>
      <c r="C137">
        <v>172</v>
      </c>
      <c r="D137">
        <v>1728</v>
      </c>
      <c r="G137" t="s">
        <v>3660</v>
      </c>
      <c r="H137">
        <v>33561753000125</v>
      </c>
      <c r="I137" t="s">
        <v>3501</v>
      </c>
      <c r="J137" t="s">
        <v>952</v>
      </c>
      <c r="K137" t="s">
        <v>952</v>
      </c>
      <c r="L137" t="s">
        <v>3502</v>
      </c>
      <c r="N137" t="s">
        <v>3503</v>
      </c>
      <c r="P137" t="s">
        <v>3504</v>
      </c>
      <c r="Q137" t="s">
        <v>3505</v>
      </c>
      <c r="R137" t="s">
        <v>790</v>
      </c>
      <c r="T137" t="s">
        <v>1266</v>
      </c>
      <c r="U137" t="s">
        <v>319</v>
      </c>
      <c r="V137" t="s">
        <v>3417</v>
      </c>
      <c r="X137">
        <v>1600</v>
      </c>
      <c r="Y137">
        <v>235228</v>
      </c>
      <c r="AA137">
        <v>91</v>
      </c>
      <c r="AB137" s="31">
        <v>45695</v>
      </c>
      <c r="AC137" s="61">
        <v>0.45512731481481478</v>
      </c>
      <c r="AD137" t="s">
        <v>795</v>
      </c>
      <c r="AE137" s="31">
        <v>45786</v>
      </c>
      <c r="AF137" s="61">
        <v>0.61518518518518517</v>
      </c>
      <c r="AG137" t="s">
        <v>934</v>
      </c>
      <c r="AI137" t="s">
        <v>1292</v>
      </c>
      <c r="AJ137" t="s">
        <v>1286</v>
      </c>
      <c r="AR137">
        <v>1</v>
      </c>
    </row>
    <row r="138" spans="1:44" x14ac:dyDescent="0.3">
      <c r="A138" t="s">
        <v>31</v>
      </c>
      <c r="B138">
        <v>226</v>
      </c>
      <c r="C138">
        <v>152</v>
      </c>
      <c r="D138">
        <v>1729</v>
      </c>
      <c r="G138" t="s">
        <v>3661</v>
      </c>
      <c r="I138" t="s">
        <v>3445</v>
      </c>
      <c r="J138" t="s">
        <v>3662</v>
      </c>
      <c r="K138" t="s">
        <v>3662</v>
      </c>
      <c r="L138" t="s">
        <v>3621</v>
      </c>
      <c r="N138" t="s">
        <v>3448</v>
      </c>
      <c r="P138" t="s">
        <v>778</v>
      </c>
      <c r="U138" t="s">
        <v>319</v>
      </c>
      <c r="V138" t="s">
        <v>816</v>
      </c>
      <c r="X138">
        <v>89361</v>
      </c>
      <c r="Y138">
        <v>0</v>
      </c>
      <c r="AA138">
        <v>26</v>
      </c>
      <c r="AB138" s="31">
        <v>45695</v>
      </c>
      <c r="AC138" s="61">
        <v>0.55688657407407405</v>
      </c>
      <c r="AD138" t="s">
        <v>795</v>
      </c>
      <c r="AE138" s="31">
        <v>45721</v>
      </c>
      <c r="AF138" s="61">
        <v>0.42237268518518523</v>
      </c>
      <c r="AG138" t="s">
        <v>3463</v>
      </c>
      <c r="AI138" t="s">
        <v>1292</v>
      </c>
      <c r="AR138">
        <v>1</v>
      </c>
    </row>
    <row r="139" spans="1:44" x14ac:dyDescent="0.3">
      <c r="A139" t="s">
        <v>31</v>
      </c>
      <c r="B139">
        <v>227</v>
      </c>
      <c r="C139">
        <v>171</v>
      </c>
      <c r="D139">
        <v>1730</v>
      </c>
      <c r="G139" t="s">
        <v>3663</v>
      </c>
      <c r="H139">
        <v>39955762000187</v>
      </c>
      <c r="I139" t="s">
        <v>3484</v>
      </c>
      <c r="J139" t="s">
        <v>3664</v>
      </c>
      <c r="K139" t="s">
        <v>3664</v>
      </c>
      <c r="L139" t="s">
        <v>3665</v>
      </c>
      <c r="N139" t="s">
        <v>3487</v>
      </c>
      <c r="P139" t="s">
        <v>3488</v>
      </c>
      <c r="Q139" t="s">
        <v>1094</v>
      </c>
      <c r="R139" t="s">
        <v>790</v>
      </c>
      <c r="U139" t="s">
        <v>319</v>
      </c>
      <c r="V139" t="s">
        <v>3417</v>
      </c>
      <c r="X139">
        <v>245704</v>
      </c>
      <c r="Y139">
        <v>0</v>
      </c>
      <c r="AA139">
        <v>7</v>
      </c>
      <c r="AB139" s="31">
        <v>45695</v>
      </c>
      <c r="AC139" s="61">
        <v>0.55918981481481478</v>
      </c>
      <c r="AD139" t="s">
        <v>795</v>
      </c>
      <c r="AE139" s="31">
        <v>45702</v>
      </c>
      <c r="AF139" s="61">
        <v>0.4418287037037037</v>
      </c>
      <c r="AG139" t="s">
        <v>796</v>
      </c>
      <c r="AI139" t="s">
        <v>1292</v>
      </c>
      <c r="AR139">
        <v>1</v>
      </c>
    </row>
    <row r="140" spans="1:44" x14ac:dyDescent="0.3">
      <c r="A140" t="s">
        <v>31</v>
      </c>
      <c r="B140">
        <v>228</v>
      </c>
      <c r="C140">
        <v>103</v>
      </c>
      <c r="D140">
        <v>1731</v>
      </c>
      <c r="G140" t="s">
        <v>3666</v>
      </c>
      <c r="H140">
        <v>12549273000179</v>
      </c>
      <c r="I140" t="s">
        <v>3309</v>
      </c>
      <c r="J140" t="s">
        <v>1804</v>
      </c>
      <c r="K140" t="s">
        <v>1804</v>
      </c>
      <c r="L140" t="s">
        <v>3667</v>
      </c>
      <c r="N140" t="s">
        <v>3312</v>
      </c>
      <c r="P140" t="s">
        <v>3313</v>
      </c>
      <c r="Q140" t="s">
        <v>1596</v>
      </c>
      <c r="R140" t="s">
        <v>790</v>
      </c>
      <c r="U140" t="s">
        <v>319</v>
      </c>
      <c r="V140" t="s">
        <v>3417</v>
      </c>
      <c r="X140">
        <v>7413</v>
      </c>
      <c r="Y140">
        <v>0</v>
      </c>
      <c r="AA140">
        <v>33</v>
      </c>
      <c r="AB140" s="31">
        <v>45695</v>
      </c>
      <c r="AC140" s="61">
        <v>0.56200231481481477</v>
      </c>
      <c r="AD140" t="s">
        <v>795</v>
      </c>
      <c r="AE140" s="31">
        <v>45728</v>
      </c>
      <c r="AF140" s="61">
        <v>0.63368055555555558</v>
      </c>
      <c r="AG140" t="s">
        <v>796</v>
      </c>
      <c r="AI140" t="s">
        <v>1292</v>
      </c>
      <c r="AR140">
        <v>1</v>
      </c>
    </row>
    <row r="141" spans="1:44" x14ac:dyDescent="0.3">
      <c r="A141" t="s">
        <v>31</v>
      </c>
      <c r="B141">
        <v>229</v>
      </c>
      <c r="C141">
        <v>81</v>
      </c>
      <c r="D141">
        <v>1732</v>
      </c>
      <c r="G141" t="s">
        <v>3668</v>
      </c>
      <c r="I141" t="s">
        <v>3248</v>
      </c>
      <c r="J141" t="s">
        <v>3669</v>
      </c>
      <c r="K141" t="s">
        <v>3669</v>
      </c>
      <c r="L141" t="s">
        <v>3670</v>
      </c>
      <c r="N141" t="s">
        <v>3250</v>
      </c>
      <c r="P141" t="s">
        <v>778</v>
      </c>
      <c r="T141" t="s">
        <v>1266</v>
      </c>
      <c r="U141" t="s">
        <v>319</v>
      </c>
      <c r="V141" t="s">
        <v>3417</v>
      </c>
      <c r="X141">
        <v>16200</v>
      </c>
      <c r="Y141">
        <v>2160</v>
      </c>
      <c r="AA141">
        <v>6</v>
      </c>
      <c r="AB141" s="31">
        <v>45695</v>
      </c>
      <c r="AC141" s="61">
        <v>0.62017361111111113</v>
      </c>
      <c r="AD141" t="s">
        <v>795</v>
      </c>
      <c r="AE141" s="31">
        <v>45701</v>
      </c>
      <c r="AF141" s="61">
        <v>0.48325231481481479</v>
      </c>
      <c r="AG141" t="s">
        <v>3463</v>
      </c>
      <c r="AI141" t="s">
        <v>1292</v>
      </c>
      <c r="AJ141" t="s">
        <v>1292</v>
      </c>
      <c r="AR141">
        <v>1</v>
      </c>
    </row>
    <row r="142" spans="1:44" x14ac:dyDescent="0.3">
      <c r="A142" t="s">
        <v>31</v>
      </c>
      <c r="B142">
        <v>238</v>
      </c>
      <c r="C142">
        <v>96</v>
      </c>
      <c r="D142">
        <v>1761</v>
      </c>
      <c r="G142" t="s">
        <v>3671</v>
      </c>
      <c r="I142" t="s">
        <v>3291</v>
      </c>
      <c r="J142" t="s">
        <v>704</v>
      </c>
      <c r="K142" t="s">
        <v>704</v>
      </c>
      <c r="L142" t="s">
        <v>3672</v>
      </c>
      <c r="N142" t="s">
        <v>3293</v>
      </c>
      <c r="P142" t="s">
        <v>778</v>
      </c>
      <c r="T142" t="s">
        <v>1327</v>
      </c>
      <c r="U142" t="s">
        <v>319</v>
      </c>
      <c r="V142" t="s">
        <v>3417</v>
      </c>
      <c r="X142">
        <v>16200</v>
      </c>
      <c r="Y142">
        <v>1404</v>
      </c>
      <c r="AA142">
        <v>7</v>
      </c>
      <c r="AB142" s="31">
        <v>45701</v>
      </c>
      <c r="AC142" s="61">
        <v>0.48359953703703712</v>
      </c>
      <c r="AD142" t="s">
        <v>795</v>
      </c>
      <c r="AE142" s="31">
        <v>45708</v>
      </c>
      <c r="AF142" s="61">
        <v>0.38273148148148151</v>
      </c>
      <c r="AG142" t="s">
        <v>3463</v>
      </c>
      <c r="AI142" t="s">
        <v>3673</v>
      </c>
      <c r="AJ142" t="s">
        <v>3673</v>
      </c>
      <c r="AR142">
        <v>1</v>
      </c>
    </row>
    <row r="143" spans="1:44" x14ac:dyDescent="0.3">
      <c r="A143" t="s">
        <v>31</v>
      </c>
      <c r="B143">
        <v>239</v>
      </c>
      <c r="C143">
        <v>130</v>
      </c>
      <c r="D143">
        <v>1762</v>
      </c>
      <c r="G143" t="s">
        <v>3674</v>
      </c>
      <c r="I143" t="s">
        <v>141</v>
      </c>
      <c r="J143" t="s">
        <v>3675</v>
      </c>
      <c r="K143" t="s">
        <v>3675</v>
      </c>
      <c r="L143" t="s">
        <v>3676</v>
      </c>
      <c r="N143" t="s">
        <v>3368</v>
      </c>
      <c r="P143" t="s">
        <v>778</v>
      </c>
      <c r="Q143" t="s">
        <v>923</v>
      </c>
      <c r="R143" t="s">
        <v>790</v>
      </c>
      <c r="T143" t="s">
        <v>1266</v>
      </c>
      <c r="U143" t="s">
        <v>319</v>
      </c>
      <c r="V143" t="s">
        <v>3417</v>
      </c>
      <c r="AA143">
        <v>20</v>
      </c>
      <c r="AB143" s="31">
        <v>45701</v>
      </c>
      <c r="AC143" s="61">
        <v>0.65766203703703707</v>
      </c>
      <c r="AD143" t="s">
        <v>795</v>
      </c>
      <c r="AE143" s="31">
        <v>45721</v>
      </c>
      <c r="AF143" s="61">
        <v>0.42332175925925919</v>
      </c>
      <c r="AG143" t="s">
        <v>796</v>
      </c>
      <c r="AI143" t="s">
        <v>3677</v>
      </c>
      <c r="AJ143" t="s">
        <v>1286</v>
      </c>
      <c r="AR143">
        <v>1</v>
      </c>
    </row>
    <row r="144" spans="1:44" x14ac:dyDescent="0.3">
      <c r="A144" t="s">
        <v>31</v>
      </c>
      <c r="B144">
        <v>240</v>
      </c>
      <c r="C144">
        <v>147</v>
      </c>
      <c r="D144">
        <v>1764</v>
      </c>
      <c r="G144" t="s">
        <v>3678</v>
      </c>
      <c r="H144">
        <v>7964558000136</v>
      </c>
      <c r="I144" t="s">
        <v>3430</v>
      </c>
      <c r="J144" t="s">
        <v>3679</v>
      </c>
      <c r="K144" t="s">
        <v>3679</v>
      </c>
      <c r="L144" t="s">
        <v>3515</v>
      </c>
      <c r="N144" t="s">
        <v>3433</v>
      </c>
      <c r="P144" t="s">
        <v>778</v>
      </c>
      <c r="T144" t="s">
        <v>1266</v>
      </c>
      <c r="U144" t="s">
        <v>319</v>
      </c>
      <c r="V144" t="s">
        <v>781</v>
      </c>
      <c r="AA144">
        <v>20</v>
      </c>
      <c r="AB144" s="31">
        <v>45701</v>
      </c>
      <c r="AC144" s="61">
        <v>0.72121527777777783</v>
      </c>
      <c r="AD144" t="s">
        <v>795</v>
      </c>
      <c r="AE144" s="31">
        <v>45721</v>
      </c>
      <c r="AF144" s="61">
        <v>0.42427083333333332</v>
      </c>
      <c r="AG144" t="s">
        <v>796</v>
      </c>
      <c r="AI144" t="s">
        <v>3677</v>
      </c>
      <c r="AJ144" t="s">
        <v>3677</v>
      </c>
      <c r="AR144">
        <v>1</v>
      </c>
    </row>
    <row r="145" spans="1:44" x14ac:dyDescent="0.3">
      <c r="A145" t="s">
        <v>31</v>
      </c>
      <c r="B145">
        <v>241</v>
      </c>
      <c r="C145">
        <v>170</v>
      </c>
      <c r="D145">
        <v>1765</v>
      </c>
      <c r="G145" t="s">
        <v>3680</v>
      </c>
      <c r="H145">
        <v>4150555001304</v>
      </c>
      <c r="I145" t="s">
        <v>3477</v>
      </c>
      <c r="J145" t="s">
        <v>3478</v>
      </c>
      <c r="K145" t="s">
        <v>3478</v>
      </c>
      <c r="L145" t="s">
        <v>3569</v>
      </c>
      <c r="N145" t="s">
        <v>3480</v>
      </c>
      <c r="P145" t="s">
        <v>3481</v>
      </c>
      <c r="Q145" t="s">
        <v>3482</v>
      </c>
      <c r="R145" t="s">
        <v>1699</v>
      </c>
      <c r="T145" t="s">
        <v>1327</v>
      </c>
      <c r="U145" t="s">
        <v>319</v>
      </c>
      <c r="V145" t="s">
        <v>816</v>
      </c>
      <c r="X145">
        <v>838823</v>
      </c>
      <c r="Y145">
        <v>0</v>
      </c>
      <c r="AA145">
        <v>42</v>
      </c>
      <c r="AB145" s="31">
        <v>45701</v>
      </c>
      <c r="AC145" s="61">
        <v>0.72212962962962968</v>
      </c>
      <c r="AD145" t="s">
        <v>818</v>
      </c>
      <c r="AE145" s="31">
        <v>45743</v>
      </c>
      <c r="AF145" s="61">
        <v>0.67868055555555551</v>
      </c>
      <c r="AR145">
        <v>1</v>
      </c>
    </row>
    <row r="146" spans="1:44" x14ac:dyDescent="0.3">
      <c r="A146" t="s">
        <v>31</v>
      </c>
      <c r="B146">
        <v>243</v>
      </c>
      <c r="C146">
        <v>194</v>
      </c>
      <c r="D146">
        <v>1766</v>
      </c>
      <c r="G146" t="s">
        <v>3681</v>
      </c>
      <c r="H146">
        <v>44580314000186</v>
      </c>
      <c r="I146" t="s">
        <v>3682</v>
      </c>
      <c r="J146" t="s">
        <v>3683</v>
      </c>
      <c r="K146" t="s">
        <v>3683</v>
      </c>
      <c r="L146" t="s">
        <v>3684</v>
      </c>
      <c r="N146" t="s">
        <v>3685</v>
      </c>
      <c r="P146" t="s">
        <v>3686</v>
      </c>
      <c r="Q146" t="s">
        <v>3687</v>
      </c>
      <c r="R146" t="s">
        <v>790</v>
      </c>
      <c r="U146" t="s">
        <v>319</v>
      </c>
      <c r="V146" t="s">
        <v>816</v>
      </c>
      <c r="X146">
        <v>1440</v>
      </c>
      <c r="Y146">
        <v>0</v>
      </c>
      <c r="AA146">
        <v>0</v>
      </c>
      <c r="AB146" s="31">
        <v>45702</v>
      </c>
      <c r="AC146" s="61">
        <v>0.36876157407407412</v>
      </c>
      <c r="AD146" t="s">
        <v>818</v>
      </c>
      <c r="AE146" s="31">
        <v>45702</v>
      </c>
      <c r="AF146" s="61">
        <v>0.40575231481481477</v>
      </c>
      <c r="AI146" t="s">
        <v>1359</v>
      </c>
      <c r="AJ146" t="s">
        <v>1359</v>
      </c>
      <c r="AR146">
        <v>1</v>
      </c>
    </row>
    <row r="147" spans="1:44" x14ac:dyDescent="0.3">
      <c r="A147" t="s">
        <v>31</v>
      </c>
      <c r="B147">
        <v>244</v>
      </c>
      <c r="C147">
        <v>149</v>
      </c>
      <c r="D147">
        <v>1767</v>
      </c>
      <c r="G147" t="s">
        <v>3645</v>
      </c>
      <c r="H147">
        <v>12418196000118</v>
      </c>
      <c r="I147" t="s">
        <v>3645</v>
      </c>
      <c r="J147" t="s">
        <v>3688</v>
      </c>
      <c r="K147" t="s">
        <v>3688</v>
      </c>
      <c r="L147" t="s">
        <v>3647</v>
      </c>
      <c r="N147" t="s">
        <v>3648</v>
      </c>
      <c r="P147" t="s">
        <v>778</v>
      </c>
      <c r="T147" t="s">
        <v>1327</v>
      </c>
      <c r="U147" t="s">
        <v>319</v>
      </c>
      <c r="V147" t="s">
        <v>3417</v>
      </c>
      <c r="AA147">
        <v>0</v>
      </c>
      <c r="AB147" s="31">
        <v>45702</v>
      </c>
      <c r="AC147" s="61">
        <v>0.43881944444444437</v>
      </c>
      <c r="AD147" t="s">
        <v>795</v>
      </c>
      <c r="AE147" s="31">
        <v>45702</v>
      </c>
      <c r="AF147" s="61">
        <v>0.43979166666666669</v>
      </c>
      <c r="AG147" t="s">
        <v>796</v>
      </c>
      <c r="AJ147" t="s">
        <v>1359</v>
      </c>
      <c r="AR147">
        <v>1</v>
      </c>
    </row>
    <row r="148" spans="1:44" x14ac:dyDescent="0.3">
      <c r="A148" t="s">
        <v>31</v>
      </c>
      <c r="B148">
        <v>247</v>
      </c>
      <c r="C148">
        <v>190</v>
      </c>
      <c r="D148">
        <v>1769</v>
      </c>
      <c r="G148" t="s">
        <v>3689</v>
      </c>
      <c r="H148">
        <v>18203215000175</v>
      </c>
      <c r="I148" t="s">
        <v>3690</v>
      </c>
      <c r="J148" t="s">
        <v>3691</v>
      </c>
      <c r="K148" t="s">
        <v>3691</v>
      </c>
      <c r="L148" t="s">
        <v>3692</v>
      </c>
      <c r="N148" t="s">
        <v>3693</v>
      </c>
      <c r="P148" t="s">
        <v>3694</v>
      </c>
      <c r="Q148" t="s">
        <v>3695</v>
      </c>
      <c r="R148" t="s">
        <v>790</v>
      </c>
      <c r="T148" t="s">
        <v>1266</v>
      </c>
      <c r="U148" t="s">
        <v>319</v>
      </c>
      <c r="V148" t="s">
        <v>3409</v>
      </c>
      <c r="X148">
        <v>16200</v>
      </c>
      <c r="Y148">
        <v>2160</v>
      </c>
      <c r="AA148">
        <v>25</v>
      </c>
      <c r="AB148" s="31">
        <v>45702</v>
      </c>
      <c r="AC148" s="61">
        <v>0.48204861111111108</v>
      </c>
      <c r="AD148" t="s">
        <v>795</v>
      </c>
      <c r="AE148" s="31">
        <v>45727</v>
      </c>
      <c r="AF148" s="61">
        <v>0.68393518518518515</v>
      </c>
      <c r="AG148" t="s">
        <v>796</v>
      </c>
      <c r="AI148" t="s">
        <v>1286</v>
      </c>
      <c r="AJ148" t="s">
        <v>1286</v>
      </c>
      <c r="AR148">
        <v>1</v>
      </c>
    </row>
    <row r="149" spans="1:44" x14ac:dyDescent="0.3">
      <c r="A149" t="s">
        <v>31</v>
      </c>
      <c r="B149">
        <v>251</v>
      </c>
      <c r="C149">
        <v>142</v>
      </c>
      <c r="D149">
        <v>1773</v>
      </c>
      <c r="G149" t="s">
        <v>3696</v>
      </c>
      <c r="I149" t="s">
        <v>3397</v>
      </c>
      <c r="J149" t="s">
        <v>3697</v>
      </c>
      <c r="K149" t="s">
        <v>3697</v>
      </c>
      <c r="L149" t="s">
        <v>3698</v>
      </c>
      <c r="N149" t="s">
        <v>3399</v>
      </c>
      <c r="P149" t="s">
        <v>778</v>
      </c>
      <c r="Q149" t="s">
        <v>3400</v>
      </c>
      <c r="R149" t="s">
        <v>1699</v>
      </c>
      <c r="T149" t="s">
        <v>1266</v>
      </c>
      <c r="U149" t="s">
        <v>319</v>
      </c>
      <c r="V149" t="s">
        <v>3417</v>
      </c>
      <c r="X149">
        <v>16200</v>
      </c>
      <c r="Y149">
        <v>2160</v>
      </c>
      <c r="AA149">
        <v>0</v>
      </c>
      <c r="AB149" s="31">
        <v>45702</v>
      </c>
      <c r="AC149" s="61">
        <v>0.70365740740740745</v>
      </c>
      <c r="AD149" t="s">
        <v>795</v>
      </c>
      <c r="AE149" s="31">
        <v>45702</v>
      </c>
      <c r="AF149" s="61">
        <v>0.70915509259259257</v>
      </c>
      <c r="AG149" t="s">
        <v>3463</v>
      </c>
      <c r="AI149" t="s">
        <v>1359</v>
      </c>
      <c r="AJ149" t="s">
        <v>1286</v>
      </c>
      <c r="AR149">
        <v>1</v>
      </c>
    </row>
    <row r="150" spans="1:44" x14ac:dyDescent="0.3">
      <c r="A150" t="s">
        <v>31</v>
      </c>
      <c r="B150">
        <v>252</v>
      </c>
      <c r="C150">
        <v>147</v>
      </c>
      <c r="D150">
        <v>1774</v>
      </c>
      <c r="G150" t="s">
        <v>3699</v>
      </c>
      <c r="H150">
        <v>7964558000136</v>
      </c>
      <c r="I150" t="s">
        <v>3430</v>
      </c>
      <c r="J150" t="s">
        <v>3700</v>
      </c>
      <c r="K150" t="s">
        <v>3700</v>
      </c>
      <c r="L150" t="s">
        <v>3515</v>
      </c>
      <c r="N150" t="s">
        <v>3433</v>
      </c>
      <c r="P150" t="s">
        <v>778</v>
      </c>
      <c r="T150" t="s">
        <v>1327</v>
      </c>
      <c r="U150" t="s">
        <v>319</v>
      </c>
      <c r="V150" t="s">
        <v>3417</v>
      </c>
      <c r="X150">
        <v>4212</v>
      </c>
      <c r="Y150">
        <v>3564</v>
      </c>
      <c r="AA150">
        <v>4</v>
      </c>
      <c r="AB150" s="31">
        <v>45702</v>
      </c>
      <c r="AC150" s="61">
        <v>0.71611111111111114</v>
      </c>
      <c r="AD150" t="s">
        <v>795</v>
      </c>
      <c r="AE150" s="31">
        <v>45706</v>
      </c>
      <c r="AF150" s="61">
        <v>0.71895833333333337</v>
      </c>
      <c r="AG150" t="s">
        <v>796</v>
      </c>
      <c r="AJ150" t="s">
        <v>1359</v>
      </c>
      <c r="AR150">
        <v>1</v>
      </c>
    </row>
    <row r="151" spans="1:44" x14ac:dyDescent="0.3">
      <c r="A151" t="s">
        <v>31</v>
      </c>
      <c r="B151">
        <v>262</v>
      </c>
      <c r="C151">
        <v>137</v>
      </c>
      <c r="D151">
        <v>1787</v>
      </c>
      <c r="G151" t="s">
        <v>3701</v>
      </c>
      <c r="I151" t="s">
        <v>116</v>
      </c>
      <c r="J151" t="s">
        <v>3702</v>
      </c>
      <c r="K151" t="s">
        <v>3702</v>
      </c>
      <c r="L151" t="s">
        <v>3703</v>
      </c>
      <c r="N151" t="s">
        <v>3386</v>
      </c>
      <c r="P151" t="s">
        <v>778</v>
      </c>
      <c r="U151" t="s">
        <v>319</v>
      </c>
      <c r="V151" t="s">
        <v>3417</v>
      </c>
      <c r="X151">
        <v>0</v>
      </c>
      <c r="Y151">
        <v>46332</v>
      </c>
      <c r="AA151">
        <v>77</v>
      </c>
      <c r="AB151" s="31">
        <v>45705</v>
      </c>
      <c r="AC151" s="61">
        <v>0.62427083333333333</v>
      </c>
      <c r="AD151" t="s">
        <v>795</v>
      </c>
      <c r="AE151" s="31">
        <v>45782</v>
      </c>
      <c r="AF151" s="61">
        <v>0.66953703703703704</v>
      </c>
      <c r="AG151" t="s">
        <v>934</v>
      </c>
      <c r="AI151" t="s">
        <v>1378</v>
      </c>
      <c r="AJ151" t="s">
        <v>1359</v>
      </c>
      <c r="AR151">
        <v>1</v>
      </c>
    </row>
    <row r="152" spans="1:44" x14ac:dyDescent="0.3">
      <c r="A152" t="s">
        <v>31</v>
      </c>
      <c r="B152">
        <v>264</v>
      </c>
      <c r="C152">
        <v>170</v>
      </c>
      <c r="D152">
        <v>1791</v>
      </c>
      <c r="G152" t="s">
        <v>3704</v>
      </c>
      <c r="H152">
        <v>4150555001304</v>
      </c>
      <c r="I152" t="s">
        <v>3477</v>
      </c>
      <c r="J152" t="s">
        <v>3478</v>
      </c>
      <c r="K152" t="s">
        <v>3478</v>
      </c>
      <c r="L152" t="s">
        <v>3569</v>
      </c>
      <c r="N152" t="s">
        <v>3480</v>
      </c>
      <c r="P152" t="s">
        <v>3481</v>
      </c>
      <c r="Q152" t="s">
        <v>3482</v>
      </c>
      <c r="R152" t="s">
        <v>1699</v>
      </c>
      <c r="T152" t="s">
        <v>1266</v>
      </c>
      <c r="U152" t="s">
        <v>319</v>
      </c>
      <c r="V152" t="s">
        <v>781</v>
      </c>
      <c r="AA152">
        <v>55</v>
      </c>
      <c r="AB152" s="31">
        <v>45706</v>
      </c>
      <c r="AC152" s="61">
        <v>0.42887731481481478</v>
      </c>
      <c r="AD152" t="s">
        <v>795</v>
      </c>
      <c r="AE152" s="31">
        <v>45761</v>
      </c>
      <c r="AF152" s="61">
        <v>0.36827546296296299</v>
      </c>
      <c r="AG152" t="s">
        <v>796</v>
      </c>
      <c r="AJ152" t="s">
        <v>3705</v>
      </c>
      <c r="AR152">
        <v>1</v>
      </c>
    </row>
    <row r="153" spans="1:44" x14ac:dyDescent="0.3">
      <c r="A153" t="s">
        <v>31</v>
      </c>
      <c r="B153">
        <v>265</v>
      </c>
      <c r="C153">
        <v>103</v>
      </c>
      <c r="D153">
        <v>1864</v>
      </c>
      <c r="G153" t="s">
        <v>3706</v>
      </c>
      <c r="H153">
        <v>12549273000179</v>
      </c>
      <c r="I153" t="s">
        <v>3309</v>
      </c>
      <c r="J153" t="s">
        <v>3707</v>
      </c>
      <c r="K153" t="s">
        <v>3707</v>
      </c>
      <c r="N153" t="s">
        <v>3312</v>
      </c>
      <c r="P153" t="s">
        <v>3313</v>
      </c>
      <c r="Q153" t="s">
        <v>1596</v>
      </c>
      <c r="R153" t="s">
        <v>790</v>
      </c>
      <c r="U153" t="s">
        <v>319</v>
      </c>
      <c r="V153" t="s">
        <v>781</v>
      </c>
      <c r="AA153">
        <v>36</v>
      </c>
      <c r="AB153" s="31">
        <v>45707</v>
      </c>
      <c r="AC153" s="61">
        <v>0.41913194444444452</v>
      </c>
      <c r="AD153" t="s">
        <v>795</v>
      </c>
      <c r="AE153" s="31">
        <v>45743</v>
      </c>
      <c r="AF153" s="61">
        <v>0.6802083333333333</v>
      </c>
      <c r="AG153" t="s">
        <v>796</v>
      </c>
      <c r="AJ153" t="s">
        <v>3708</v>
      </c>
      <c r="AR153">
        <v>1</v>
      </c>
    </row>
    <row r="154" spans="1:44" x14ac:dyDescent="0.3">
      <c r="A154" t="s">
        <v>31</v>
      </c>
      <c r="B154">
        <v>269</v>
      </c>
      <c r="C154">
        <v>183</v>
      </c>
      <c r="D154">
        <v>1615</v>
      </c>
      <c r="G154" t="s">
        <v>3709</v>
      </c>
      <c r="H154">
        <v>3204281000192</v>
      </c>
      <c r="I154" t="s">
        <v>3594</v>
      </c>
      <c r="J154" t="s">
        <v>3595</v>
      </c>
      <c r="K154" t="s">
        <v>3595</v>
      </c>
      <c r="L154" t="s">
        <v>3596</v>
      </c>
      <c r="N154" t="s">
        <v>2617</v>
      </c>
      <c r="P154" t="s">
        <v>3597</v>
      </c>
      <c r="Q154" t="s">
        <v>2618</v>
      </c>
      <c r="R154" t="s">
        <v>790</v>
      </c>
      <c r="U154" t="s">
        <v>319</v>
      </c>
      <c r="V154" t="s">
        <v>816</v>
      </c>
      <c r="X154">
        <v>33696</v>
      </c>
      <c r="Y154">
        <v>0</v>
      </c>
      <c r="AA154">
        <v>0</v>
      </c>
      <c r="AB154" s="31">
        <v>45708</v>
      </c>
      <c r="AC154" s="61">
        <v>0.46069444444444452</v>
      </c>
      <c r="AD154" t="s">
        <v>818</v>
      </c>
      <c r="AE154" s="31">
        <v>45708</v>
      </c>
      <c r="AF154" s="61">
        <v>0.46159722222222221</v>
      </c>
      <c r="AI154" t="s">
        <v>1453</v>
      </c>
      <c r="AR154">
        <v>1</v>
      </c>
    </row>
    <row r="155" spans="1:44" x14ac:dyDescent="0.3">
      <c r="A155" t="s">
        <v>31</v>
      </c>
      <c r="B155">
        <v>271</v>
      </c>
      <c r="C155">
        <v>186</v>
      </c>
      <c r="D155">
        <v>1881</v>
      </c>
      <c r="G155" t="s">
        <v>3710</v>
      </c>
      <c r="H155">
        <v>10899939000193</v>
      </c>
      <c r="I155" t="s">
        <v>3625</v>
      </c>
      <c r="J155" t="s">
        <v>704</v>
      </c>
      <c r="K155" t="s">
        <v>704</v>
      </c>
      <c r="L155" t="s">
        <v>3626</v>
      </c>
      <c r="N155" t="s">
        <v>3627</v>
      </c>
      <c r="P155" t="s">
        <v>3628</v>
      </c>
      <c r="Q155" t="s">
        <v>3629</v>
      </c>
      <c r="R155" t="s">
        <v>932</v>
      </c>
      <c r="U155" t="s">
        <v>319</v>
      </c>
      <c r="V155" t="s">
        <v>3417</v>
      </c>
      <c r="X155">
        <v>1600</v>
      </c>
      <c r="Y155">
        <v>748029</v>
      </c>
      <c r="AA155">
        <v>105</v>
      </c>
      <c r="AB155" s="31">
        <v>45709</v>
      </c>
      <c r="AC155" s="61">
        <v>0.47337962962962971</v>
      </c>
      <c r="AD155" t="s">
        <v>795</v>
      </c>
      <c r="AE155" s="31">
        <v>45814</v>
      </c>
      <c r="AF155" s="61">
        <v>0.62725694444444446</v>
      </c>
      <c r="AG155" t="s">
        <v>934</v>
      </c>
      <c r="AI155" t="s">
        <v>1454</v>
      </c>
      <c r="AJ155" t="s">
        <v>1454</v>
      </c>
      <c r="AR155">
        <v>1</v>
      </c>
    </row>
    <row r="156" spans="1:44" x14ac:dyDescent="0.3">
      <c r="A156" t="s">
        <v>31</v>
      </c>
      <c r="B156">
        <v>274</v>
      </c>
      <c r="C156">
        <v>187</v>
      </c>
      <c r="D156">
        <v>1884</v>
      </c>
      <c r="G156" t="s">
        <v>3711</v>
      </c>
      <c r="H156">
        <v>17063632000105</v>
      </c>
      <c r="I156" t="s">
        <v>3631</v>
      </c>
      <c r="J156" t="s">
        <v>3712</v>
      </c>
      <c r="K156" t="s">
        <v>3712</v>
      </c>
      <c r="L156" t="s">
        <v>3713</v>
      </c>
      <c r="N156" t="s">
        <v>3634</v>
      </c>
      <c r="P156" t="s">
        <v>3635</v>
      </c>
      <c r="Q156" t="s">
        <v>3636</v>
      </c>
      <c r="R156" t="s">
        <v>1699</v>
      </c>
      <c r="U156" t="s">
        <v>319</v>
      </c>
      <c r="V156" t="s">
        <v>781</v>
      </c>
      <c r="AA156">
        <v>0</v>
      </c>
      <c r="AB156" s="31">
        <v>45713</v>
      </c>
      <c r="AC156" s="61">
        <v>0.46167824074074082</v>
      </c>
      <c r="AD156" t="s">
        <v>795</v>
      </c>
      <c r="AE156" s="31">
        <v>45713</v>
      </c>
      <c r="AF156" s="61">
        <v>0.49975694444444452</v>
      </c>
      <c r="AG156" t="s">
        <v>934</v>
      </c>
      <c r="AR156">
        <v>1</v>
      </c>
    </row>
    <row r="157" spans="1:44" x14ac:dyDescent="0.3">
      <c r="A157" t="s">
        <v>31</v>
      </c>
      <c r="B157">
        <v>275</v>
      </c>
      <c r="C157">
        <v>196</v>
      </c>
      <c r="D157">
        <v>1885</v>
      </c>
      <c r="G157" t="s">
        <v>3714</v>
      </c>
      <c r="H157">
        <v>32494222000102</v>
      </c>
      <c r="I157" t="s">
        <v>3715</v>
      </c>
      <c r="J157" t="s">
        <v>3716</v>
      </c>
      <c r="K157" t="s">
        <v>3716</v>
      </c>
      <c r="L157" t="s">
        <v>3717</v>
      </c>
      <c r="N157" t="s">
        <v>3718</v>
      </c>
      <c r="P157" t="s">
        <v>3719</v>
      </c>
      <c r="Q157" t="s">
        <v>3720</v>
      </c>
      <c r="R157" t="s">
        <v>790</v>
      </c>
      <c r="U157" t="s">
        <v>319</v>
      </c>
      <c r="V157" t="s">
        <v>816</v>
      </c>
      <c r="X157">
        <v>2100</v>
      </c>
      <c r="Y157">
        <v>0</v>
      </c>
      <c r="AA157">
        <v>57</v>
      </c>
      <c r="AB157" s="31">
        <v>45713</v>
      </c>
      <c r="AC157" s="61">
        <v>0.63856481481481486</v>
      </c>
      <c r="AD157" t="s">
        <v>818</v>
      </c>
      <c r="AE157" s="31">
        <v>45770</v>
      </c>
      <c r="AF157" s="61">
        <v>0.38543981481481482</v>
      </c>
      <c r="AI157" t="s">
        <v>1583</v>
      </c>
      <c r="AJ157" t="s">
        <v>1619</v>
      </c>
      <c r="AR157">
        <v>1</v>
      </c>
    </row>
    <row r="158" spans="1:44" x14ac:dyDescent="0.3">
      <c r="A158" t="s">
        <v>31</v>
      </c>
      <c r="B158">
        <v>276</v>
      </c>
      <c r="C158">
        <v>118</v>
      </c>
      <c r="D158">
        <v>1886</v>
      </c>
      <c r="G158" t="s">
        <v>3721</v>
      </c>
      <c r="I158" t="s">
        <v>686</v>
      </c>
      <c r="J158" t="s">
        <v>3722</v>
      </c>
      <c r="K158" t="s">
        <v>3722</v>
      </c>
      <c r="L158" t="s">
        <v>3609</v>
      </c>
      <c r="N158" t="s">
        <v>3343</v>
      </c>
      <c r="P158" t="s">
        <v>778</v>
      </c>
      <c r="U158" t="s">
        <v>319</v>
      </c>
      <c r="V158" t="s">
        <v>3417</v>
      </c>
      <c r="X158">
        <v>3360</v>
      </c>
      <c r="Y158">
        <v>3564</v>
      </c>
      <c r="AA158">
        <v>57</v>
      </c>
      <c r="AB158" s="31">
        <v>45713</v>
      </c>
      <c r="AC158" s="61">
        <v>0.65831018518518514</v>
      </c>
      <c r="AD158" t="s">
        <v>795</v>
      </c>
      <c r="AE158" s="31">
        <v>45770</v>
      </c>
      <c r="AF158" s="61">
        <v>0.41612268518518519</v>
      </c>
      <c r="AG158" t="s">
        <v>796</v>
      </c>
      <c r="AI158" t="s">
        <v>3723</v>
      </c>
      <c r="AJ158" t="s">
        <v>3724</v>
      </c>
      <c r="AR158">
        <v>1</v>
      </c>
    </row>
    <row r="159" spans="1:44" x14ac:dyDescent="0.3">
      <c r="A159" t="s">
        <v>31</v>
      </c>
      <c r="B159">
        <v>278</v>
      </c>
      <c r="C159">
        <v>197</v>
      </c>
      <c r="D159">
        <v>1888</v>
      </c>
      <c r="G159" t="s">
        <v>3725</v>
      </c>
      <c r="H159">
        <v>8616236000169</v>
      </c>
      <c r="I159" t="s">
        <v>3726</v>
      </c>
      <c r="J159" t="s">
        <v>704</v>
      </c>
      <c r="K159" t="s">
        <v>704</v>
      </c>
      <c r="L159" t="s">
        <v>3727</v>
      </c>
      <c r="N159" t="s">
        <v>3728</v>
      </c>
      <c r="P159" t="s">
        <v>3729</v>
      </c>
      <c r="Q159" t="s">
        <v>3687</v>
      </c>
      <c r="R159" t="s">
        <v>790</v>
      </c>
      <c r="U159" t="s">
        <v>319</v>
      </c>
      <c r="V159" t="s">
        <v>3417</v>
      </c>
      <c r="X159">
        <v>1600</v>
      </c>
      <c r="Y159">
        <v>867233</v>
      </c>
      <c r="AA159">
        <v>97</v>
      </c>
      <c r="AB159" s="31">
        <v>45714</v>
      </c>
      <c r="AC159" s="61">
        <v>0.51196759259259261</v>
      </c>
      <c r="AD159" t="s">
        <v>795</v>
      </c>
      <c r="AE159" s="31">
        <v>45811</v>
      </c>
      <c r="AF159" s="61">
        <v>0.64706018518518515</v>
      </c>
      <c r="AG159" t="s">
        <v>796</v>
      </c>
      <c r="AI159" t="s">
        <v>1455</v>
      </c>
      <c r="AJ159" t="s">
        <v>1455</v>
      </c>
      <c r="AR159">
        <v>1</v>
      </c>
    </row>
    <row r="160" spans="1:44" x14ac:dyDescent="0.3">
      <c r="A160" t="s">
        <v>31</v>
      </c>
      <c r="B160">
        <v>280</v>
      </c>
      <c r="C160">
        <v>183</v>
      </c>
      <c r="D160">
        <v>1891</v>
      </c>
      <c r="G160" t="s">
        <v>3730</v>
      </c>
      <c r="H160">
        <v>3204281000192</v>
      </c>
      <c r="I160" t="s">
        <v>3594</v>
      </c>
      <c r="J160" t="s">
        <v>3731</v>
      </c>
      <c r="K160" t="s">
        <v>3731</v>
      </c>
      <c r="L160" t="s">
        <v>3596</v>
      </c>
      <c r="N160" t="s">
        <v>2617</v>
      </c>
      <c r="P160" t="s">
        <v>3597</v>
      </c>
      <c r="Q160" t="s">
        <v>2618</v>
      </c>
      <c r="R160" t="s">
        <v>790</v>
      </c>
      <c r="U160" t="s">
        <v>319</v>
      </c>
      <c r="V160" t="s">
        <v>816</v>
      </c>
      <c r="X160">
        <v>23166</v>
      </c>
      <c r="Y160">
        <v>0</v>
      </c>
      <c r="AA160">
        <v>6</v>
      </c>
      <c r="AB160" s="31">
        <v>45715</v>
      </c>
      <c r="AC160" s="61">
        <v>0.70269675925925923</v>
      </c>
      <c r="AD160" t="s">
        <v>818</v>
      </c>
      <c r="AE160" s="31">
        <v>45721</v>
      </c>
      <c r="AF160" s="61">
        <v>0.4221064814814815</v>
      </c>
      <c r="AI160" t="s">
        <v>3732</v>
      </c>
      <c r="AR160">
        <v>1</v>
      </c>
    </row>
    <row r="161" spans="1:44" x14ac:dyDescent="0.3">
      <c r="A161" t="s">
        <v>31</v>
      </c>
      <c r="B161">
        <v>285</v>
      </c>
      <c r="C161">
        <v>191</v>
      </c>
      <c r="D161">
        <v>1899</v>
      </c>
      <c r="G161" t="s">
        <v>3733</v>
      </c>
      <c r="H161">
        <v>18628799000120</v>
      </c>
      <c r="I161" t="s">
        <v>3734</v>
      </c>
      <c r="J161" t="s">
        <v>3735</v>
      </c>
      <c r="K161" t="s">
        <v>3735</v>
      </c>
      <c r="L161" t="s">
        <v>2216</v>
      </c>
      <c r="N161" t="s">
        <v>2217</v>
      </c>
      <c r="P161" t="s">
        <v>3736</v>
      </c>
      <c r="Q161" t="s">
        <v>1094</v>
      </c>
      <c r="R161" t="s">
        <v>790</v>
      </c>
      <c r="U161" t="s">
        <v>319</v>
      </c>
      <c r="V161" t="s">
        <v>3417</v>
      </c>
      <c r="X161">
        <v>21384</v>
      </c>
      <c r="Y161">
        <v>28512</v>
      </c>
      <c r="AA161">
        <v>60</v>
      </c>
      <c r="AB161" s="31">
        <v>45723</v>
      </c>
      <c r="AC161" s="61">
        <v>0.41721064814814812</v>
      </c>
      <c r="AD161" t="s">
        <v>795</v>
      </c>
      <c r="AE161" s="31">
        <v>45783</v>
      </c>
      <c r="AF161" s="61">
        <v>0.50687499999999996</v>
      </c>
      <c r="AG161" t="s">
        <v>934</v>
      </c>
      <c r="AI161" t="s">
        <v>3737</v>
      </c>
      <c r="AJ161" t="s">
        <v>3738</v>
      </c>
      <c r="AR161">
        <v>1</v>
      </c>
    </row>
    <row r="162" spans="1:44" x14ac:dyDescent="0.3">
      <c r="A162" t="s">
        <v>31</v>
      </c>
      <c r="B162">
        <v>288</v>
      </c>
      <c r="C162">
        <v>194</v>
      </c>
      <c r="D162">
        <v>1766</v>
      </c>
      <c r="G162" t="s">
        <v>3739</v>
      </c>
      <c r="H162">
        <v>44580314000186</v>
      </c>
      <c r="I162" t="s">
        <v>3682</v>
      </c>
      <c r="J162" t="s">
        <v>3683</v>
      </c>
      <c r="K162" t="s">
        <v>3683</v>
      </c>
      <c r="L162" t="s">
        <v>3684</v>
      </c>
      <c r="N162" t="s">
        <v>3685</v>
      </c>
      <c r="P162" t="s">
        <v>3686</v>
      </c>
      <c r="Q162" t="s">
        <v>3687</v>
      </c>
      <c r="R162" t="s">
        <v>790</v>
      </c>
      <c r="U162" t="s">
        <v>319</v>
      </c>
      <c r="V162" t="s">
        <v>816</v>
      </c>
      <c r="X162">
        <v>9720</v>
      </c>
      <c r="Y162">
        <v>0</v>
      </c>
      <c r="AA162">
        <v>0</v>
      </c>
      <c r="AB162" s="31">
        <v>45728</v>
      </c>
      <c r="AC162" s="61">
        <v>0.40008101851851852</v>
      </c>
      <c r="AD162" t="s">
        <v>818</v>
      </c>
      <c r="AE162" s="31">
        <v>45728</v>
      </c>
      <c r="AF162" s="61">
        <v>0.40126157407407409</v>
      </c>
      <c r="AI162" t="s">
        <v>3740</v>
      </c>
      <c r="AR162">
        <v>1</v>
      </c>
    </row>
    <row r="163" spans="1:44" x14ac:dyDescent="0.3">
      <c r="A163" t="s">
        <v>31</v>
      </c>
      <c r="B163">
        <v>289</v>
      </c>
      <c r="C163">
        <v>169</v>
      </c>
      <c r="D163">
        <v>1903</v>
      </c>
      <c r="G163" t="s">
        <v>3741</v>
      </c>
      <c r="H163">
        <v>11458315000101</v>
      </c>
      <c r="I163" t="s">
        <v>3465</v>
      </c>
      <c r="J163" t="s">
        <v>3742</v>
      </c>
      <c r="K163" t="s">
        <v>3742</v>
      </c>
      <c r="L163" t="s">
        <v>3467</v>
      </c>
      <c r="N163" t="s">
        <v>3468</v>
      </c>
      <c r="P163" t="s">
        <v>3469</v>
      </c>
      <c r="Q163" t="s">
        <v>3470</v>
      </c>
      <c r="R163" t="s">
        <v>790</v>
      </c>
      <c r="U163" t="s">
        <v>319</v>
      </c>
      <c r="V163" t="s">
        <v>3417</v>
      </c>
      <c r="X163">
        <v>4015</v>
      </c>
      <c r="Y163">
        <v>0</v>
      </c>
      <c r="AA163">
        <v>5</v>
      </c>
      <c r="AB163" s="31">
        <v>45728</v>
      </c>
      <c r="AC163" s="61">
        <v>0.64027777777777772</v>
      </c>
      <c r="AD163" t="s">
        <v>795</v>
      </c>
      <c r="AE163" s="31">
        <v>45733</v>
      </c>
      <c r="AF163" s="61">
        <v>0.48651620370370369</v>
      </c>
      <c r="AG163" t="s">
        <v>3463</v>
      </c>
      <c r="AI163" t="s">
        <v>3740</v>
      </c>
      <c r="AR163">
        <v>1</v>
      </c>
    </row>
    <row r="164" spans="1:44" x14ac:dyDescent="0.3">
      <c r="A164" t="s">
        <v>31</v>
      </c>
      <c r="B164">
        <v>290</v>
      </c>
      <c r="C164">
        <v>187</v>
      </c>
      <c r="D164">
        <v>1884</v>
      </c>
      <c r="G164" t="s">
        <v>3743</v>
      </c>
      <c r="H164">
        <v>17063632000105</v>
      </c>
      <c r="I164" t="s">
        <v>3631</v>
      </c>
      <c r="J164" t="s">
        <v>3712</v>
      </c>
      <c r="K164" t="s">
        <v>3712</v>
      </c>
      <c r="L164" t="s">
        <v>3713</v>
      </c>
      <c r="N164" t="s">
        <v>3634</v>
      </c>
      <c r="P164" t="s">
        <v>3635</v>
      </c>
      <c r="Q164" t="s">
        <v>3636</v>
      </c>
      <c r="R164" t="s">
        <v>1699</v>
      </c>
      <c r="U164" t="s">
        <v>319</v>
      </c>
      <c r="V164" t="s">
        <v>816</v>
      </c>
      <c r="X164">
        <v>16800</v>
      </c>
      <c r="Y164">
        <v>0</v>
      </c>
      <c r="AA164">
        <v>75</v>
      </c>
      <c r="AB164" s="31">
        <v>45728</v>
      </c>
      <c r="AC164" s="61">
        <v>0.72614583333333338</v>
      </c>
      <c r="AD164" t="s">
        <v>795</v>
      </c>
      <c r="AE164" s="31">
        <v>45803</v>
      </c>
      <c r="AF164" s="61">
        <v>0.80439814814814814</v>
      </c>
      <c r="AG164" t="s">
        <v>796</v>
      </c>
      <c r="AI164" t="s">
        <v>3740</v>
      </c>
      <c r="AJ164" t="s">
        <v>1364</v>
      </c>
      <c r="AR164">
        <v>1</v>
      </c>
    </row>
    <row r="165" spans="1:44" x14ac:dyDescent="0.3">
      <c r="A165" t="s">
        <v>31</v>
      </c>
      <c r="B165">
        <v>292</v>
      </c>
      <c r="C165">
        <v>198</v>
      </c>
      <c r="D165">
        <v>1905</v>
      </c>
      <c r="G165" t="s">
        <v>3744</v>
      </c>
      <c r="H165">
        <v>6014742000152</v>
      </c>
      <c r="I165" t="s">
        <v>3745</v>
      </c>
      <c r="J165" t="s">
        <v>3700</v>
      </c>
      <c r="K165" t="s">
        <v>3700</v>
      </c>
      <c r="L165" t="s">
        <v>3746</v>
      </c>
      <c r="N165" t="s">
        <v>3747</v>
      </c>
      <c r="P165" t="s">
        <v>3748</v>
      </c>
      <c r="Q165" t="s">
        <v>1837</v>
      </c>
      <c r="R165" t="s">
        <v>790</v>
      </c>
      <c r="U165" t="s">
        <v>319</v>
      </c>
      <c r="V165" t="s">
        <v>3417</v>
      </c>
      <c r="X165">
        <v>28512</v>
      </c>
      <c r="Y165">
        <v>32076</v>
      </c>
      <c r="AA165">
        <v>6</v>
      </c>
      <c r="AB165" s="31">
        <v>45730</v>
      </c>
      <c r="AC165" s="61">
        <v>0.62114583333333329</v>
      </c>
      <c r="AD165" t="s">
        <v>795</v>
      </c>
      <c r="AE165" s="31">
        <v>45736</v>
      </c>
      <c r="AF165" s="61">
        <v>0.43630787037037039</v>
      </c>
      <c r="AG165" t="s">
        <v>796</v>
      </c>
      <c r="AI165" t="s">
        <v>3737</v>
      </c>
      <c r="AR165">
        <v>1</v>
      </c>
    </row>
    <row r="166" spans="1:44" x14ac:dyDescent="0.3">
      <c r="A166" t="s">
        <v>31</v>
      </c>
      <c r="B166">
        <v>296</v>
      </c>
      <c r="C166">
        <v>199</v>
      </c>
      <c r="D166">
        <v>1910</v>
      </c>
      <c r="G166" t="s">
        <v>3749</v>
      </c>
      <c r="H166">
        <v>50963243000101</v>
      </c>
      <c r="I166" t="s">
        <v>3750</v>
      </c>
      <c r="J166" t="s">
        <v>3751</v>
      </c>
      <c r="K166" t="s">
        <v>3751</v>
      </c>
      <c r="L166" t="s">
        <v>3752</v>
      </c>
      <c r="N166" t="s">
        <v>3753</v>
      </c>
      <c r="P166" t="s">
        <v>3754</v>
      </c>
      <c r="Q166" t="s">
        <v>1094</v>
      </c>
      <c r="R166" t="s">
        <v>790</v>
      </c>
      <c r="U166" t="s">
        <v>319</v>
      </c>
      <c r="V166" t="s">
        <v>816</v>
      </c>
      <c r="X166">
        <v>756</v>
      </c>
      <c r="Y166">
        <v>0</v>
      </c>
      <c r="AA166">
        <v>0</v>
      </c>
      <c r="AB166" s="31">
        <v>45733</v>
      </c>
      <c r="AC166" s="61">
        <v>0.66232638888888884</v>
      </c>
      <c r="AD166" t="s">
        <v>818</v>
      </c>
      <c r="AE166" s="31">
        <v>45733</v>
      </c>
      <c r="AF166" s="61">
        <v>0.71744212962962961</v>
      </c>
      <c r="AI166" t="s">
        <v>1503</v>
      </c>
      <c r="AJ166" t="s">
        <v>1503</v>
      </c>
      <c r="AR166">
        <v>1</v>
      </c>
    </row>
    <row r="167" spans="1:44" x14ac:dyDescent="0.3">
      <c r="A167" t="s">
        <v>31</v>
      </c>
      <c r="B167">
        <v>297</v>
      </c>
      <c r="C167">
        <v>110</v>
      </c>
      <c r="D167">
        <v>1912</v>
      </c>
      <c r="G167" t="s">
        <v>3755</v>
      </c>
      <c r="I167" t="s">
        <v>629</v>
      </c>
      <c r="J167" t="s">
        <v>1239</v>
      </c>
      <c r="K167" t="s">
        <v>1239</v>
      </c>
      <c r="L167" t="s">
        <v>3756</v>
      </c>
      <c r="N167" t="s">
        <v>3325</v>
      </c>
      <c r="P167" t="s">
        <v>778</v>
      </c>
      <c r="U167" t="s">
        <v>319</v>
      </c>
      <c r="V167" t="s">
        <v>816</v>
      </c>
      <c r="X167">
        <v>294415</v>
      </c>
      <c r="Y167">
        <v>0</v>
      </c>
      <c r="AA167">
        <v>2</v>
      </c>
      <c r="AB167" s="31">
        <v>45734</v>
      </c>
      <c r="AC167" s="61">
        <v>0.40950231481481481</v>
      </c>
      <c r="AD167" t="s">
        <v>818</v>
      </c>
      <c r="AE167" s="31">
        <v>45736</v>
      </c>
      <c r="AF167" s="61">
        <v>0.65533564814814815</v>
      </c>
      <c r="AI167" t="s">
        <v>3757</v>
      </c>
      <c r="AR167">
        <v>1</v>
      </c>
    </row>
    <row r="168" spans="1:44" x14ac:dyDescent="0.3">
      <c r="A168" t="s">
        <v>31</v>
      </c>
      <c r="B168">
        <v>299</v>
      </c>
      <c r="C168">
        <v>187</v>
      </c>
      <c r="D168">
        <v>1914</v>
      </c>
      <c r="G168" t="s">
        <v>3758</v>
      </c>
      <c r="H168">
        <v>17063632000105</v>
      </c>
      <c r="I168" t="s">
        <v>3631</v>
      </c>
      <c r="J168" t="s">
        <v>3759</v>
      </c>
      <c r="K168" t="s">
        <v>3759</v>
      </c>
      <c r="L168" t="s">
        <v>3633</v>
      </c>
      <c r="N168" t="s">
        <v>3634</v>
      </c>
      <c r="P168" t="s">
        <v>3635</v>
      </c>
      <c r="Q168" t="s">
        <v>3636</v>
      </c>
      <c r="R168" t="s">
        <v>1699</v>
      </c>
      <c r="U168" t="s">
        <v>319</v>
      </c>
      <c r="V168" t="s">
        <v>3417</v>
      </c>
      <c r="X168">
        <v>630</v>
      </c>
      <c r="Y168">
        <v>7128</v>
      </c>
      <c r="AA168">
        <v>16</v>
      </c>
      <c r="AB168" s="31">
        <v>45735</v>
      </c>
      <c r="AC168" s="61">
        <v>0.45504629629629628</v>
      </c>
      <c r="AD168" t="s">
        <v>795</v>
      </c>
      <c r="AE168" s="31">
        <v>45751</v>
      </c>
      <c r="AF168" s="61">
        <v>0.44026620370370367</v>
      </c>
      <c r="AG168" t="s">
        <v>3463</v>
      </c>
      <c r="AI168" t="s">
        <v>3760</v>
      </c>
      <c r="AJ168" t="s">
        <v>1503</v>
      </c>
      <c r="AR168">
        <v>1</v>
      </c>
    </row>
    <row r="169" spans="1:44" x14ac:dyDescent="0.3">
      <c r="A169" t="s">
        <v>31</v>
      </c>
      <c r="B169">
        <v>300</v>
      </c>
      <c r="C169">
        <v>171</v>
      </c>
      <c r="D169">
        <v>1915</v>
      </c>
      <c r="G169" t="s">
        <v>3761</v>
      </c>
      <c r="H169">
        <v>39955762000187</v>
      </c>
      <c r="I169" t="s">
        <v>3484</v>
      </c>
      <c r="J169" t="s">
        <v>3664</v>
      </c>
      <c r="K169" t="s">
        <v>3664</v>
      </c>
      <c r="L169" t="s">
        <v>3665</v>
      </c>
      <c r="N169" t="s">
        <v>3487</v>
      </c>
      <c r="P169" t="s">
        <v>3488</v>
      </c>
      <c r="Q169" t="s">
        <v>1094</v>
      </c>
      <c r="R169" t="s">
        <v>790</v>
      </c>
      <c r="U169" t="s">
        <v>319</v>
      </c>
      <c r="V169" t="s">
        <v>816</v>
      </c>
      <c r="X169">
        <v>491408</v>
      </c>
      <c r="Y169">
        <v>0</v>
      </c>
      <c r="AA169">
        <v>1</v>
      </c>
      <c r="AB169" s="31">
        <v>45735</v>
      </c>
      <c r="AC169" s="61">
        <v>0.62850694444444444</v>
      </c>
      <c r="AD169" t="s">
        <v>818</v>
      </c>
      <c r="AE169" s="31">
        <v>45736</v>
      </c>
      <c r="AF169" s="61">
        <v>0.6549652777777778</v>
      </c>
      <c r="AI169" t="s">
        <v>3760</v>
      </c>
      <c r="AR169">
        <v>1</v>
      </c>
    </row>
    <row r="170" spans="1:44" x14ac:dyDescent="0.3">
      <c r="A170" t="s">
        <v>31</v>
      </c>
      <c r="B170">
        <v>302</v>
      </c>
      <c r="C170">
        <v>200</v>
      </c>
      <c r="D170">
        <v>1918</v>
      </c>
      <c r="G170" t="s">
        <v>3762</v>
      </c>
      <c r="H170">
        <v>8933028000193</v>
      </c>
      <c r="I170" t="s">
        <v>3763</v>
      </c>
      <c r="J170" t="s">
        <v>3764</v>
      </c>
      <c r="K170" t="s">
        <v>3764</v>
      </c>
      <c r="L170" t="s">
        <v>3765</v>
      </c>
      <c r="P170" t="s">
        <v>3766</v>
      </c>
      <c r="Q170" t="s">
        <v>3767</v>
      </c>
      <c r="R170" t="s">
        <v>1699</v>
      </c>
      <c r="U170" t="s">
        <v>319</v>
      </c>
      <c r="V170" t="s">
        <v>3417</v>
      </c>
      <c r="X170">
        <v>4212</v>
      </c>
      <c r="Y170">
        <v>3564</v>
      </c>
      <c r="AA170">
        <v>5</v>
      </c>
      <c r="AB170" s="31">
        <v>45737</v>
      </c>
      <c r="AC170" s="61">
        <v>0.70013888888888887</v>
      </c>
      <c r="AD170" t="s">
        <v>795</v>
      </c>
      <c r="AE170" s="31">
        <v>45742</v>
      </c>
      <c r="AF170" s="61">
        <v>0.69468750000000001</v>
      </c>
      <c r="AG170" t="s">
        <v>796</v>
      </c>
      <c r="AI170" t="s">
        <v>3768</v>
      </c>
      <c r="AR170">
        <v>1</v>
      </c>
    </row>
    <row r="171" spans="1:44" x14ac:dyDescent="0.3">
      <c r="A171" t="s">
        <v>31</v>
      </c>
      <c r="B171">
        <v>306</v>
      </c>
      <c r="C171">
        <v>201</v>
      </c>
      <c r="D171">
        <v>1925</v>
      </c>
      <c r="G171" t="s">
        <v>3769</v>
      </c>
      <c r="H171">
        <v>5291214000188</v>
      </c>
      <c r="I171" t="s">
        <v>3770</v>
      </c>
      <c r="J171" t="s">
        <v>1540</v>
      </c>
      <c r="K171" t="s">
        <v>1540</v>
      </c>
      <c r="L171" t="s">
        <v>3771</v>
      </c>
      <c r="N171" t="s">
        <v>3772</v>
      </c>
      <c r="P171" t="s">
        <v>3773</v>
      </c>
      <c r="Q171" t="s">
        <v>3774</v>
      </c>
      <c r="R171" t="s">
        <v>1105</v>
      </c>
      <c r="U171" t="s">
        <v>319</v>
      </c>
      <c r="V171" t="s">
        <v>816</v>
      </c>
      <c r="X171">
        <v>415052</v>
      </c>
      <c r="Y171">
        <v>30294</v>
      </c>
      <c r="AA171">
        <v>121</v>
      </c>
      <c r="AB171" s="31">
        <v>45742</v>
      </c>
      <c r="AC171" s="61">
        <v>0.65071759259259254</v>
      </c>
      <c r="AD171" t="s">
        <v>818</v>
      </c>
      <c r="AE171" s="31">
        <v>45751</v>
      </c>
      <c r="AF171" s="61">
        <v>0.44199074074074068</v>
      </c>
      <c r="AH171">
        <v>0</v>
      </c>
      <c r="AI171" t="s">
        <v>1885</v>
      </c>
      <c r="AJ171" t="s">
        <v>1885</v>
      </c>
      <c r="AR171">
        <v>1</v>
      </c>
    </row>
    <row r="172" spans="1:44" x14ac:dyDescent="0.3">
      <c r="A172" t="s">
        <v>31</v>
      </c>
      <c r="B172">
        <v>307</v>
      </c>
      <c r="C172">
        <v>113</v>
      </c>
      <c r="D172">
        <v>1926</v>
      </c>
      <c r="G172" t="s">
        <v>3775</v>
      </c>
      <c r="I172" t="s">
        <v>65</v>
      </c>
      <c r="J172" t="s">
        <v>1252</v>
      </c>
      <c r="K172" t="s">
        <v>1252</v>
      </c>
      <c r="L172" t="s">
        <v>3472</v>
      </c>
      <c r="N172" t="s">
        <v>3329</v>
      </c>
      <c r="P172" t="s">
        <v>778</v>
      </c>
      <c r="U172" t="s">
        <v>319</v>
      </c>
      <c r="V172" t="s">
        <v>3417</v>
      </c>
      <c r="X172">
        <v>1600</v>
      </c>
      <c r="Y172">
        <v>1122183</v>
      </c>
      <c r="AA172">
        <v>69</v>
      </c>
      <c r="AB172" s="31">
        <v>45742</v>
      </c>
      <c r="AC172" s="61">
        <v>0.65554398148148152</v>
      </c>
      <c r="AD172" t="s">
        <v>795</v>
      </c>
      <c r="AE172" s="31">
        <v>45811</v>
      </c>
      <c r="AF172" s="61">
        <v>0.65164351851851854</v>
      </c>
      <c r="AG172" t="s">
        <v>796</v>
      </c>
      <c r="AI172" t="s">
        <v>3776</v>
      </c>
      <c r="AR172">
        <v>1</v>
      </c>
    </row>
    <row r="173" spans="1:44" x14ac:dyDescent="0.3">
      <c r="A173" t="s">
        <v>31</v>
      </c>
      <c r="B173">
        <v>308</v>
      </c>
      <c r="C173">
        <v>202</v>
      </c>
      <c r="D173">
        <v>1927</v>
      </c>
      <c r="G173" t="s">
        <v>3777</v>
      </c>
      <c r="H173">
        <v>16939440000149</v>
      </c>
      <c r="I173" t="s">
        <v>3778</v>
      </c>
      <c r="J173" t="s">
        <v>707</v>
      </c>
      <c r="K173" t="s">
        <v>707</v>
      </c>
      <c r="L173" t="s">
        <v>3779</v>
      </c>
      <c r="N173" t="s">
        <v>3780</v>
      </c>
      <c r="P173" t="s">
        <v>3781</v>
      </c>
      <c r="Q173" t="s">
        <v>3782</v>
      </c>
      <c r="R173" t="s">
        <v>790</v>
      </c>
      <c r="U173" t="s">
        <v>319</v>
      </c>
      <c r="V173" t="s">
        <v>816</v>
      </c>
      <c r="X173">
        <v>299691</v>
      </c>
      <c r="Y173">
        <v>0</v>
      </c>
      <c r="AA173">
        <v>2</v>
      </c>
      <c r="AB173" s="31">
        <v>45742</v>
      </c>
      <c r="AC173" s="61">
        <v>0.69520833333333332</v>
      </c>
      <c r="AD173" t="s">
        <v>818</v>
      </c>
      <c r="AE173" s="31">
        <v>45744</v>
      </c>
      <c r="AF173" s="61">
        <v>0.61129629629629634</v>
      </c>
      <c r="AI173" t="s">
        <v>3776</v>
      </c>
      <c r="AR173">
        <v>1</v>
      </c>
    </row>
    <row r="174" spans="1:44" x14ac:dyDescent="0.3">
      <c r="A174" t="s">
        <v>31</v>
      </c>
      <c r="B174">
        <v>309</v>
      </c>
      <c r="C174">
        <v>115</v>
      </c>
      <c r="D174">
        <v>1928</v>
      </c>
      <c r="G174" t="s">
        <v>3783</v>
      </c>
      <c r="I174" t="s">
        <v>3333</v>
      </c>
      <c r="J174" t="s">
        <v>1474</v>
      </c>
      <c r="K174" t="s">
        <v>1474</v>
      </c>
      <c r="L174" t="s">
        <v>3526</v>
      </c>
      <c r="N174" t="s">
        <v>3334</v>
      </c>
      <c r="P174" t="s">
        <v>778</v>
      </c>
      <c r="U174" t="s">
        <v>319</v>
      </c>
      <c r="V174" t="s">
        <v>3417</v>
      </c>
      <c r="AA174">
        <v>40</v>
      </c>
      <c r="AB174" s="31">
        <v>45742</v>
      </c>
      <c r="AC174" s="61">
        <v>0.7003935185185185</v>
      </c>
      <c r="AD174" t="s">
        <v>795</v>
      </c>
      <c r="AE174" s="31">
        <v>45782</v>
      </c>
      <c r="AF174" s="61">
        <v>0.66651620370370368</v>
      </c>
      <c r="AG174" t="s">
        <v>934</v>
      </c>
      <c r="AI174" t="s">
        <v>3724</v>
      </c>
      <c r="AR174">
        <v>1</v>
      </c>
    </row>
    <row r="175" spans="1:44" x14ac:dyDescent="0.3">
      <c r="A175" t="s">
        <v>31</v>
      </c>
      <c r="B175">
        <v>312</v>
      </c>
      <c r="C175">
        <v>197</v>
      </c>
      <c r="D175">
        <v>1943</v>
      </c>
      <c r="G175" t="s">
        <v>3784</v>
      </c>
      <c r="H175">
        <v>8616236000169</v>
      </c>
      <c r="I175" t="s">
        <v>3726</v>
      </c>
      <c r="J175" t="s">
        <v>704</v>
      </c>
      <c r="K175" t="s">
        <v>704</v>
      </c>
      <c r="L175" t="s">
        <v>3785</v>
      </c>
      <c r="N175" t="s">
        <v>3728</v>
      </c>
      <c r="P175" t="s">
        <v>3729</v>
      </c>
      <c r="Q175" t="s">
        <v>3687</v>
      </c>
      <c r="R175" t="s">
        <v>790</v>
      </c>
      <c r="U175" t="s">
        <v>319</v>
      </c>
      <c r="V175" t="s">
        <v>3417</v>
      </c>
      <c r="AA175">
        <v>5</v>
      </c>
      <c r="AB175" s="31">
        <v>45743</v>
      </c>
      <c r="AC175" s="61">
        <v>0.65775462962962961</v>
      </c>
      <c r="AD175" t="s">
        <v>795</v>
      </c>
      <c r="AE175" s="31">
        <v>45748</v>
      </c>
      <c r="AF175" s="61">
        <v>0.4075347222222222</v>
      </c>
      <c r="AG175" t="s">
        <v>934</v>
      </c>
      <c r="AI175" t="s">
        <v>3724</v>
      </c>
      <c r="AR175">
        <v>1</v>
      </c>
    </row>
    <row r="176" spans="1:44" x14ac:dyDescent="0.3">
      <c r="A176" t="s">
        <v>31</v>
      </c>
      <c r="B176">
        <v>320</v>
      </c>
      <c r="C176">
        <v>183</v>
      </c>
      <c r="D176">
        <v>1959</v>
      </c>
      <c r="G176" t="s">
        <v>3786</v>
      </c>
      <c r="H176">
        <v>3204281000192</v>
      </c>
      <c r="I176" t="s">
        <v>3594</v>
      </c>
      <c r="J176" t="s">
        <v>3787</v>
      </c>
      <c r="K176" t="s">
        <v>3787</v>
      </c>
      <c r="L176" t="s">
        <v>3596</v>
      </c>
      <c r="N176" t="s">
        <v>2617</v>
      </c>
      <c r="P176" t="s">
        <v>3597</v>
      </c>
      <c r="Q176" t="s">
        <v>2618</v>
      </c>
      <c r="R176" t="s">
        <v>790</v>
      </c>
      <c r="U176" t="s">
        <v>319</v>
      </c>
      <c r="V176" t="s">
        <v>816</v>
      </c>
      <c r="X176">
        <v>2730</v>
      </c>
      <c r="Y176">
        <v>0</v>
      </c>
      <c r="AA176">
        <v>0</v>
      </c>
      <c r="AB176" s="31">
        <v>45747</v>
      </c>
      <c r="AC176" s="61">
        <v>0.49092592592592588</v>
      </c>
      <c r="AD176" t="s">
        <v>818</v>
      </c>
      <c r="AE176" s="31">
        <v>45747</v>
      </c>
      <c r="AF176" s="61">
        <v>0.50187499999999996</v>
      </c>
      <c r="AI176" t="s">
        <v>3788</v>
      </c>
      <c r="AJ176" t="s">
        <v>3789</v>
      </c>
      <c r="AR176">
        <v>1</v>
      </c>
    </row>
    <row r="177" spans="1:44" x14ac:dyDescent="0.3">
      <c r="A177" t="s">
        <v>31</v>
      </c>
      <c r="B177">
        <v>324</v>
      </c>
      <c r="C177">
        <v>203</v>
      </c>
      <c r="D177">
        <v>1965</v>
      </c>
      <c r="G177" t="s">
        <v>3790</v>
      </c>
      <c r="H177">
        <v>11806036000183</v>
      </c>
      <c r="I177" t="s">
        <v>3791</v>
      </c>
      <c r="J177" t="s">
        <v>2600</v>
      </c>
      <c r="K177" t="s">
        <v>2600</v>
      </c>
      <c r="L177" t="s">
        <v>3792</v>
      </c>
      <c r="N177" t="s">
        <v>3793</v>
      </c>
      <c r="P177" t="s">
        <v>3794</v>
      </c>
      <c r="Q177" t="s">
        <v>3636</v>
      </c>
      <c r="R177" t="s">
        <v>1699</v>
      </c>
      <c r="U177" t="s">
        <v>319</v>
      </c>
      <c r="V177" t="s">
        <v>3417</v>
      </c>
      <c r="X177">
        <v>26200</v>
      </c>
      <c r="Y177">
        <v>3400</v>
      </c>
      <c r="AA177">
        <v>6</v>
      </c>
      <c r="AB177" s="31">
        <v>45748</v>
      </c>
      <c r="AC177" s="61">
        <v>0.40835648148148151</v>
      </c>
      <c r="AD177" t="s">
        <v>795</v>
      </c>
      <c r="AE177" s="31">
        <v>45754</v>
      </c>
      <c r="AF177" s="61">
        <v>0.4082175925925926</v>
      </c>
      <c r="AG177" t="s">
        <v>1358</v>
      </c>
      <c r="AI177" t="s">
        <v>3795</v>
      </c>
      <c r="AJ177" t="s">
        <v>3795</v>
      </c>
      <c r="AR177">
        <v>1</v>
      </c>
    </row>
    <row r="178" spans="1:44" x14ac:dyDescent="0.3">
      <c r="A178" t="s">
        <v>31</v>
      </c>
      <c r="B178">
        <v>325</v>
      </c>
      <c r="C178">
        <v>186</v>
      </c>
      <c r="D178">
        <v>1967</v>
      </c>
      <c r="G178" t="s">
        <v>3796</v>
      </c>
      <c r="H178">
        <v>10899939000193</v>
      </c>
      <c r="I178" t="s">
        <v>3625</v>
      </c>
      <c r="J178" t="s">
        <v>704</v>
      </c>
      <c r="K178" t="s">
        <v>704</v>
      </c>
      <c r="L178" t="s">
        <v>3626</v>
      </c>
      <c r="N178" t="s">
        <v>3627</v>
      </c>
      <c r="P178" t="s">
        <v>3628</v>
      </c>
      <c r="Q178" t="s">
        <v>3629</v>
      </c>
      <c r="R178" t="s">
        <v>932</v>
      </c>
      <c r="U178" t="s">
        <v>319</v>
      </c>
      <c r="V178" t="s">
        <v>816</v>
      </c>
      <c r="X178">
        <v>1701</v>
      </c>
      <c r="Y178">
        <v>0</v>
      </c>
      <c r="AA178">
        <v>66</v>
      </c>
      <c r="AB178" s="31">
        <v>45748</v>
      </c>
      <c r="AC178" s="61">
        <v>0.41013888888888889</v>
      </c>
      <c r="AD178" t="s">
        <v>818</v>
      </c>
      <c r="AE178" s="31">
        <v>45814</v>
      </c>
      <c r="AF178" s="61">
        <v>0.39609953703703699</v>
      </c>
      <c r="AI178" t="s">
        <v>3795</v>
      </c>
      <c r="AR178">
        <v>1</v>
      </c>
    </row>
    <row r="179" spans="1:44" x14ac:dyDescent="0.3">
      <c r="A179" t="s">
        <v>31</v>
      </c>
      <c r="B179">
        <v>326</v>
      </c>
      <c r="C179">
        <v>76</v>
      </c>
      <c r="D179">
        <v>1968</v>
      </c>
      <c r="G179" t="s">
        <v>3797</v>
      </c>
      <c r="I179" t="s">
        <v>225</v>
      </c>
      <c r="J179" t="s">
        <v>1115</v>
      </c>
      <c r="K179" t="s">
        <v>1115</v>
      </c>
      <c r="L179" t="s">
        <v>3623</v>
      </c>
      <c r="N179" t="s">
        <v>3233</v>
      </c>
      <c r="P179" t="s">
        <v>778</v>
      </c>
      <c r="Q179" t="s">
        <v>3234</v>
      </c>
      <c r="R179" t="s">
        <v>1699</v>
      </c>
      <c r="U179" t="s">
        <v>319</v>
      </c>
      <c r="V179" t="s">
        <v>3606</v>
      </c>
      <c r="AA179">
        <v>50</v>
      </c>
      <c r="AB179" s="31">
        <v>45748</v>
      </c>
      <c r="AC179" s="61">
        <v>0.41334490740740742</v>
      </c>
      <c r="AD179" t="s">
        <v>795</v>
      </c>
      <c r="AE179" s="31">
        <v>45798</v>
      </c>
      <c r="AF179" s="61">
        <v>0.53116898148148151</v>
      </c>
      <c r="AG179" t="s">
        <v>934</v>
      </c>
      <c r="AI179" t="s">
        <v>3798</v>
      </c>
      <c r="AJ179" t="s">
        <v>3798</v>
      </c>
      <c r="AR179">
        <v>1</v>
      </c>
    </row>
    <row r="180" spans="1:44" x14ac:dyDescent="0.3">
      <c r="A180" t="s">
        <v>31</v>
      </c>
      <c r="B180">
        <v>327</v>
      </c>
      <c r="C180">
        <v>187</v>
      </c>
      <c r="D180">
        <v>1969</v>
      </c>
      <c r="G180" t="s">
        <v>3799</v>
      </c>
      <c r="H180">
        <v>17063632000105</v>
      </c>
      <c r="I180" t="s">
        <v>3631</v>
      </c>
      <c r="J180" t="s">
        <v>3800</v>
      </c>
      <c r="K180" t="s">
        <v>3800</v>
      </c>
      <c r="L180" t="s">
        <v>3633</v>
      </c>
      <c r="N180" t="s">
        <v>3634</v>
      </c>
      <c r="P180" t="s">
        <v>3635</v>
      </c>
      <c r="Q180" t="s">
        <v>3636</v>
      </c>
      <c r="R180" t="s">
        <v>1699</v>
      </c>
      <c r="U180" t="s">
        <v>319</v>
      </c>
      <c r="V180" t="s">
        <v>3417</v>
      </c>
      <c r="X180">
        <v>3360</v>
      </c>
      <c r="Y180">
        <v>0</v>
      </c>
      <c r="AA180">
        <v>52</v>
      </c>
      <c r="AB180" s="31">
        <v>45748</v>
      </c>
      <c r="AC180" s="61">
        <v>0.47216435185185179</v>
      </c>
      <c r="AD180" t="s">
        <v>795</v>
      </c>
      <c r="AE180" s="31">
        <v>45800</v>
      </c>
      <c r="AF180" s="61">
        <v>0.5276967592592593</v>
      </c>
      <c r="AG180" t="s">
        <v>934</v>
      </c>
      <c r="AI180" t="s">
        <v>3795</v>
      </c>
      <c r="AR180">
        <v>1</v>
      </c>
    </row>
    <row r="181" spans="1:44" x14ac:dyDescent="0.3">
      <c r="A181" t="s">
        <v>31</v>
      </c>
      <c r="B181">
        <v>329</v>
      </c>
      <c r="C181">
        <v>182</v>
      </c>
      <c r="D181">
        <v>1973</v>
      </c>
      <c r="G181" t="s">
        <v>3801</v>
      </c>
      <c r="H181">
        <v>23873456000161</v>
      </c>
      <c r="I181" t="s">
        <v>3573</v>
      </c>
      <c r="J181" t="s">
        <v>3802</v>
      </c>
      <c r="K181" t="s">
        <v>3802</v>
      </c>
      <c r="L181" t="s">
        <v>3575</v>
      </c>
      <c r="N181" t="s">
        <v>3576</v>
      </c>
      <c r="P181" t="s">
        <v>3577</v>
      </c>
      <c r="Q181" t="s">
        <v>1837</v>
      </c>
      <c r="R181" t="s">
        <v>790</v>
      </c>
      <c r="U181" t="s">
        <v>319</v>
      </c>
      <c r="V181" t="s">
        <v>3417</v>
      </c>
      <c r="AA181">
        <v>33</v>
      </c>
      <c r="AB181" s="31">
        <v>45749</v>
      </c>
      <c r="AC181" s="61">
        <v>0.48545138888888889</v>
      </c>
      <c r="AD181" t="s">
        <v>795</v>
      </c>
      <c r="AE181" s="31">
        <v>45782</v>
      </c>
      <c r="AF181" s="61">
        <v>0.66695601851851849</v>
      </c>
      <c r="AG181" t="s">
        <v>934</v>
      </c>
      <c r="AI181" t="s">
        <v>1543</v>
      </c>
      <c r="AR181">
        <v>1</v>
      </c>
    </row>
    <row r="182" spans="1:44" x14ac:dyDescent="0.3">
      <c r="A182" t="s">
        <v>31</v>
      </c>
      <c r="B182">
        <v>330</v>
      </c>
      <c r="C182">
        <v>197</v>
      </c>
      <c r="D182">
        <v>1974</v>
      </c>
      <c r="G182" t="s">
        <v>3803</v>
      </c>
      <c r="H182">
        <v>8616236000169</v>
      </c>
      <c r="I182" t="s">
        <v>3726</v>
      </c>
      <c r="J182" t="s">
        <v>704</v>
      </c>
      <c r="K182" t="s">
        <v>704</v>
      </c>
      <c r="L182" t="s">
        <v>3727</v>
      </c>
      <c r="N182" t="s">
        <v>3728</v>
      </c>
      <c r="P182" t="s">
        <v>3729</v>
      </c>
      <c r="Q182" t="s">
        <v>3687</v>
      </c>
      <c r="R182" t="s">
        <v>790</v>
      </c>
      <c r="U182" t="s">
        <v>319</v>
      </c>
      <c r="V182" t="s">
        <v>816</v>
      </c>
      <c r="X182">
        <v>56880</v>
      </c>
      <c r="Y182">
        <v>68904</v>
      </c>
      <c r="AA182">
        <v>60</v>
      </c>
      <c r="AB182" s="31">
        <v>45750</v>
      </c>
      <c r="AC182" s="61">
        <v>0.50753472222222218</v>
      </c>
      <c r="AD182" t="s">
        <v>818</v>
      </c>
      <c r="AE182" s="31">
        <v>45810</v>
      </c>
      <c r="AF182" s="61">
        <v>0.50966435185185188</v>
      </c>
      <c r="AI182" t="s">
        <v>3804</v>
      </c>
      <c r="AJ182" t="s">
        <v>3804</v>
      </c>
      <c r="AR182">
        <v>1</v>
      </c>
    </row>
    <row r="183" spans="1:44" x14ac:dyDescent="0.3">
      <c r="A183" t="s">
        <v>31</v>
      </c>
      <c r="B183">
        <v>331</v>
      </c>
      <c r="C183">
        <v>136</v>
      </c>
      <c r="D183">
        <v>1975</v>
      </c>
      <c r="G183" t="s">
        <v>3805</v>
      </c>
      <c r="I183" t="s">
        <v>3382</v>
      </c>
      <c r="J183" t="s">
        <v>704</v>
      </c>
      <c r="K183" t="s">
        <v>704</v>
      </c>
      <c r="L183" t="s">
        <v>3806</v>
      </c>
      <c r="N183" t="s">
        <v>3384</v>
      </c>
      <c r="P183" t="s">
        <v>778</v>
      </c>
      <c r="U183" t="s">
        <v>319</v>
      </c>
      <c r="V183" t="s">
        <v>3417</v>
      </c>
      <c r="X183">
        <v>24276</v>
      </c>
      <c r="Y183">
        <v>0</v>
      </c>
      <c r="AA183">
        <v>20</v>
      </c>
      <c r="AB183" s="31">
        <v>45750</v>
      </c>
      <c r="AC183" s="61">
        <v>0.52722222222222226</v>
      </c>
      <c r="AD183" t="s">
        <v>795</v>
      </c>
      <c r="AE183" s="31">
        <v>45770</v>
      </c>
      <c r="AF183" s="61">
        <v>0.38817129629629632</v>
      </c>
      <c r="AG183" t="s">
        <v>934</v>
      </c>
      <c r="AI183" t="s">
        <v>3804</v>
      </c>
      <c r="AJ183" t="s">
        <v>3804</v>
      </c>
      <c r="AR183">
        <v>1</v>
      </c>
    </row>
    <row r="184" spans="1:44" x14ac:dyDescent="0.3">
      <c r="A184" t="s">
        <v>31</v>
      </c>
      <c r="B184">
        <v>332</v>
      </c>
      <c r="C184">
        <v>196</v>
      </c>
      <c r="D184">
        <v>1976</v>
      </c>
      <c r="G184" t="s">
        <v>3807</v>
      </c>
      <c r="H184">
        <v>32494222000102</v>
      </c>
      <c r="I184" t="s">
        <v>3715</v>
      </c>
      <c r="J184" t="s">
        <v>3808</v>
      </c>
      <c r="K184" t="s">
        <v>3808</v>
      </c>
      <c r="L184" t="s">
        <v>3717</v>
      </c>
      <c r="N184" t="s">
        <v>3718</v>
      </c>
      <c r="P184" t="s">
        <v>3719</v>
      </c>
      <c r="Q184" t="s">
        <v>3720</v>
      </c>
      <c r="R184" t="s">
        <v>790</v>
      </c>
      <c r="U184" t="s">
        <v>319</v>
      </c>
      <c r="V184" t="s">
        <v>816</v>
      </c>
      <c r="X184">
        <v>14200</v>
      </c>
      <c r="Y184">
        <v>3564</v>
      </c>
      <c r="AA184">
        <v>63</v>
      </c>
      <c r="AB184" s="31">
        <v>45750</v>
      </c>
      <c r="AC184" s="61">
        <v>0.64652777777777781</v>
      </c>
      <c r="AD184" t="s">
        <v>795</v>
      </c>
      <c r="AE184" s="31">
        <v>45813</v>
      </c>
      <c r="AF184" s="61">
        <v>0.43116898148148147</v>
      </c>
      <c r="AG184" t="s">
        <v>934</v>
      </c>
      <c r="AI184" t="s">
        <v>1672</v>
      </c>
      <c r="AJ184" t="s">
        <v>3809</v>
      </c>
      <c r="AR184">
        <v>1</v>
      </c>
    </row>
    <row r="185" spans="1:44" x14ac:dyDescent="0.3">
      <c r="A185" t="s">
        <v>31</v>
      </c>
      <c r="B185">
        <v>335</v>
      </c>
      <c r="C185">
        <v>204</v>
      </c>
      <c r="D185">
        <v>1979</v>
      </c>
      <c r="G185" t="s">
        <v>3810</v>
      </c>
      <c r="H185">
        <v>33071847000116</v>
      </c>
      <c r="I185" t="s">
        <v>3811</v>
      </c>
      <c r="J185" t="s">
        <v>3812</v>
      </c>
      <c r="K185" t="s">
        <v>3812</v>
      </c>
      <c r="L185" t="s">
        <v>3813</v>
      </c>
      <c r="N185" t="s">
        <v>3814</v>
      </c>
      <c r="P185" t="s">
        <v>3815</v>
      </c>
      <c r="Q185" t="s">
        <v>2589</v>
      </c>
      <c r="R185" t="s">
        <v>790</v>
      </c>
      <c r="U185" t="s">
        <v>319</v>
      </c>
      <c r="V185" t="s">
        <v>816</v>
      </c>
      <c r="X185">
        <v>720</v>
      </c>
      <c r="Y185">
        <v>0</v>
      </c>
      <c r="AA185">
        <v>0</v>
      </c>
      <c r="AB185" s="31">
        <v>45751</v>
      </c>
      <c r="AC185" s="61">
        <v>0.66421296296296295</v>
      </c>
      <c r="AD185" t="s">
        <v>818</v>
      </c>
      <c r="AE185" s="31">
        <v>45751</v>
      </c>
      <c r="AF185" s="61">
        <v>0.70851851851851855</v>
      </c>
      <c r="AI185" t="s">
        <v>1604</v>
      </c>
      <c r="AR185">
        <v>1</v>
      </c>
    </row>
    <row r="186" spans="1:44" x14ac:dyDescent="0.3">
      <c r="A186" t="s">
        <v>31</v>
      </c>
      <c r="B186">
        <v>337</v>
      </c>
      <c r="C186">
        <v>185</v>
      </c>
      <c r="D186">
        <v>1982</v>
      </c>
      <c r="G186" t="s">
        <v>3816</v>
      </c>
      <c r="H186">
        <v>51496785000176</v>
      </c>
      <c r="I186" t="s">
        <v>3599</v>
      </c>
      <c r="J186" t="s">
        <v>3600</v>
      </c>
      <c r="K186" t="s">
        <v>3600</v>
      </c>
      <c r="L186" t="s">
        <v>3601</v>
      </c>
      <c r="N186" t="s">
        <v>3602</v>
      </c>
      <c r="P186" t="s">
        <v>3603</v>
      </c>
      <c r="Q186" t="s">
        <v>847</v>
      </c>
      <c r="R186" t="s">
        <v>848</v>
      </c>
      <c r="U186" t="s">
        <v>319</v>
      </c>
      <c r="V186" t="s">
        <v>3417</v>
      </c>
      <c r="X186">
        <v>420</v>
      </c>
      <c r="Y186">
        <v>3564</v>
      </c>
      <c r="AA186">
        <v>10</v>
      </c>
      <c r="AB186" s="31">
        <v>45754</v>
      </c>
      <c r="AC186" s="61">
        <v>0.42759259259259258</v>
      </c>
      <c r="AD186" t="s">
        <v>795</v>
      </c>
      <c r="AE186" s="31">
        <v>45764</v>
      </c>
      <c r="AF186" s="61">
        <v>0.50528935185185186</v>
      </c>
      <c r="AG186" t="s">
        <v>3463</v>
      </c>
      <c r="AI186" t="s">
        <v>1576</v>
      </c>
      <c r="AJ186" t="s">
        <v>1603</v>
      </c>
      <c r="AR186">
        <v>1</v>
      </c>
    </row>
    <row r="187" spans="1:44" x14ac:dyDescent="0.3">
      <c r="A187" t="s">
        <v>31</v>
      </c>
      <c r="B187">
        <v>339</v>
      </c>
      <c r="C187">
        <v>183</v>
      </c>
      <c r="D187">
        <v>1615</v>
      </c>
      <c r="G187" t="s">
        <v>3817</v>
      </c>
      <c r="H187">
        <v>3204281000192</v>
      </c>
      <c r="I187" t="s">
        <v>3594</v>
      </c>
      <c r="J187" t="s">
        <v>3595</v>
      </c>
      <c r="K187" t="s">
        <v>3595</v>
      </c>
      <c r="L187" t="s">
        <v>3596</v>
      </c>
      <c r="N187" t="s">
        <v>2617</v>
      </c>
      <c r="P187" t="s">
        <v>3597</v>
      </c>
      <c r="Q187" t="s">
        <v>2618</v>
      </c>
      <c r="R187" t="s">
        <v>790</v>
      </c>
      <c r="U187" t="s">
        <v>319</v>
      </c>
      <c r="V187" t="s">
        <v>816</v>
      </c>
      <c r="X187">
        <v>1890</v>
      </c>
      <c r="Y187">
        <v>0</v>
      </c>
      <c r="AA187">
        <v>0</v>
      </c>
      <c r="AB187" s="31">
        <v>45755</v>
      </c>
      <c r="AC187" s="61">
        <v>0.64071759259259264</v>
      </c>
      <c r="AD187" t="s">
        <v>818</v>
      </c>
      <c r="AE187" s="31">
        <v>45755</v>
      </c>
      <c r="AF187" s="61">
        <v>0.65402777777777776</v>
      </c>
      <c r="AI187" t="s">
        <v>3798</v>
      </c>
      <c r="AR187">
        <v>1</v>
      </c>
    </row>
    <row r="188" spans="1:44" x14ac:dyDescent="0.3">
      <c r="A188" t="s">
        <v>31</v>
      </c>
      <c r="B188">
        <v>340</v>
      </c>
      <c r="C188">
        <v>205</v>
      </c>
      <c r="D188">
        <v>1984</v>
      </c>
      <c r="G188" t="s">
        <v>3818</v>
      </c>
      <c r="H188">
        <v>57464109000105</v>
      </c>
      <c r="I188" t="s">
        <v>3819</v>
      </c>
      <c r="J188" t="s">
        <v>3820</v>
      </c>
      <c r="K188" t="s">
        <v>3820</v>
      </c>
      <c r="L188" t="s">
        <v>3821</v>
      </c>
      <c r="M188">
        <v>11984320025</v>
      </c>
      <c r="N188" t="s">
        <v>3822</v>
      </c>
      <c r="P188" t="s">
        <v>3823</v>
      </c>
      <c r="Q188" t="s">
        <v>1094</v>
      </c>
      <c r="R188" t="s">
        <v>790</v>
      </c>
      <c r="U188" t="s">
        <v>319</v>
      </c>
      <c r="V188" t="s">
        <v>3417</v>
      </c>
      <c r="X188">
        <v>3360</v>
      </c>
      <c r="Y188">
        <v>7128</v>
      </c>
      <c r="AA188">
        <v>0</v>
      </c>
      <c r="AB188" s="31">
        <v>45755</v>
      </c>
      <c r="AC188" s="61">
        <v>0.65628472222222223</v>
      </c>
      <c r="AD188" t="s">
        <v>795</v>
      </c>
      <c r="AE188" s="31">
        <v>45755</v>
      </c>
      <c r="AF188" s="61">
        <v>0.694849537037037</v>
      </c>
      <c r="AG188" t="s">
        <v>3463</v>
      </c>
      <c r="AI188" t="s">
        <v>3804</v>
      </c>
      <c r="AJ188" t="s">
        <v>3804</v>
      </c>
      <c r="AR188">
        <v>1</v>
      </c>
    </row>
    <row r="189" spans="1:44" x14ac:dyDescent="0.3">
      <c r="A189" t="s">
        <v>31</v>
      </c>
      <c r="B189">
        <v>341</v>
      </c>
      <c r="C189">
        <v>170</v>
      </c>
      <c r="D189">
        <v>1985</v>
      </c>
      <c r="G189" t="s">
        <v>460</v>
      </c>
      <c r="H189">
        <v>4150555001304</v>
      </c>
      <c r="I189" t="s">
        <v>3477</v>
      </c>
      <c r="J189" t="s">
        <v>3478</v>
      </c>
      <c r="K189" t="s">
        <v>3478</v>
      </c>
      <c r="L189" t="s">
        <v>3569</v>
      </c>
      <c r="N189" t="s">
        <v>3480</v>
      </c>
      <c r="P189" t="s">
        <v>3481</v>
      </c>
      <c r="Q189" t="s">
        <v>3482</v>
      </c>
      <c r="R189" t="s">
        <v>1699</v>
      </c>
      <c r="U189" t="s">
        <v>319</v>
      </c>
      <c r="V189" t="s">
        <v>816</v>
      </c>
      <c r="X189">
        <v>838823</v>
      </c>
      <c r="Y189">
        <v>0</v>
      </c>
      <c r="AA189">
        <v>7</v>
      </c>
      <c r="AB189" s="31">
        <v>45757</v>
      </c>
      <c r="AC189" s="61">
        <v>0.37377314814814822</v>
      </c>
      <c r="AD189" t="s">
        <v>818</v>
      </c>
      <c r="AE189" s="31">
        <v>45764</v>
      </c>
      <c r="AF189" s="61">
        <v>0.41208333333333341</v>
      </c>
      <c r="AI189" t="s">
        <v>3824</v>
      </c>
      <c r="AR189">
        <v>1</v>
      </c>
    </row>
    <row r="190" spans="1:44" x14ac:dyDescent="0.3">
      <c r="A190" t="s">
        <v>31</v>
      </c>
      <c r="B190">
        <v>342</v>
      </c>
      <c r="C190">
        <v>206</v>
      </c>
      <c r="D190">
        <v>1987</v>
      </c>
      <c r="G190" t="s">
        <v>3825</v>
      </c>
      <c r="H190">
        <v>37075503000136</v>
      </c>
      <c r="I190" t="s">
        <v>3826</v>
      </c>
      <c r="J190" t="s">
        <v>1481</v>
      </c>
      <c r="K190" t="s">
        <v>1481</v>
      </c>
      <c r="L190" t="s">
        <v>1475</v>
      </c>
      <c r="N190" t="s">
        <v>1476</v>
      </c>
      <c r="P190" t="s">
        <v>3827</v>
      </c>
      <c r="Q190" t="s">
        <v>1477</v>
      </c>
      <c r="R190" t="s">
        <v>932</v>
      </c>
      <c r="U190" t="s">
        <v>319</v>
      </c>
      <c r="V190" t="s">
        <v>3417</v>
      </c>
      <c r="X190">
        <v>0</v>
      </c>
      <c r="Y190">
        <v>3564</v>
      </c>
      <c r="AA190">
        <v>4</v>
      </c>
      <c r="AB190" s="31">
        <v>45757</v>
      </c>
      <c r="AC190" s="61">
        <v>0.70687500000000003</v>
      </c>
      <c r="AD190" t="s">
        <v>795</v>
      </c>
      <c r="AE190" s="31">
        <v>45761</v>
      </c>
      <c r="AF190" s="61">
        <v>0.64089120370370367</v>
      </c>
      <c r="AG190" t="s">
        <v>3463</v>
      </c>
      <c r="AI190" t="s">
        <v>3824</v>
      </c>
      <c r="AJ190" t="s">
        <v>3824</v>
      </c>
      <c r="AR190">
        <v>1</v>
      </c>
    </row>
    <row r="191" spans="1:44" x14ac:dyDescent="0.3">
      <c r="A191" t="s">
        <v>31</v>
      </c>
      <c r="B191">
        <v>344</v>
      </c>
      <c r="C191">
        <v>134</v>
      </c>
      <c r="D191">
        <v>1989</v>
      </c>
      <c r="G191" t="s">
        <v>3828</v>
      </c>
      <c r="I191" t="s">
        <v>3377</v>
      </c>
      <c r="J191" t="s">
        <v>3829</v>
      </c>
      <c r="K191" t="s">
        <v>3829</v>
      </c>
      <c r="L191" t="s">
        <v>3830</v>
      </c>
      <c r="N191" t="s">
        <v>3379</v>
      </c>
      <c r="P191" t="s">
        <v>778</v>
      </c>
      <c r="U191" t="s">
        <v>319</v>
      </c>
      <c r="V191" t="s">
        <v>816</v>
      </c>
      <c r="X191">
        <v>1680</v>
      </c>
      <c r="Y191">
        <v>0</v>
      </c>
      <c r="AA191">
        <v>2</v>
      </c>
      <c r="AB191" s="31">
        <v>45761</v>
      </c>
      <c r="AC191" s="61">
        <v>0.46211805555555557</v>
      </c>
      <c r="AD191" t="s">
        <v>818</v>
      </c>
      <c r="AE191" s="31">
        <v>45763</v>
      </c>
      <c r="AF191" s="61">
        <v>0.43277777777777782</v>
      </c>
      <c r="AI191" t="s">
        <v>1619</v>
      </c>
      <c r="AR191">
        <v>1</v>
      </c>
    </row>
    <row r="192" spans="1:44" x14ac:dyDescent="0.3">
      <c r="A192" t="s">
        <v>31</v>
      </c>
      <c r="B192">
        <v>345</v>
      </c>
      <c r="C192">
        <v>171</v>
      </c>
      <c r="D192">
        <v>1990</v>
      </c>
      <c r="G192" t="s">
        <v>3663</v>
      </c>
      <c r="H192">
        <v>39955762000187</v>
      </c>
      <c r="I192" t="s">
        <v>3484</v>
      </c>
      <c r="J192" t="s">
        <v>3664</v>
      </c>
      <c r="K192" t="s">
        <v>3664</v>
      </c>
      <c r="L192" t="s">
        <v>3665</v>
      </c>
      <c r="N192" t="s">
        <v>3487</v>
      </c>
      <c r="P192" t="s">
        <v>3488</v>
      </c>
      <c r="Q192" t="s">
        <v>1094</v>
      </c>
      <c r="R192" t="s">
        <v>790</v>
      </c>
      <c r="U192" t="s">
        <v>319</v>
      </c>
      <c r="V192" t="s">
        <v>816</v>
      </c>
      <c r="X192">
        <v>491408</v>
      </c>
      <c r="Y192">
        <v>0</v>
      </c>
      <c r="AA192">
        <v>3</v>
      </c>
      <c r="AB192" s="31">
        <v>45761</v>
      </c>
      <c r="AC192" s="61">
        <v>0.64141203703703709</v>
      </c>
      <c r="AD192" t="s">
        <v>818</v>
      </c>
      <c r="AE192" s="31">
        <v>45764</v>
      </c>
      <c r="AF192" s="61">
        <v>0.67682870370370374</v>
      </c>
      <c r="AI192" t="s">
        <v>3831</v>
      </c>
      <c r="AR192">
        <v>1</v>
      </c>
    </row>
    <row r="193" spans="1:44" x14ac:dyDescent="0.3">
      <c r="A193" t="s">
        <v>31</v>
      </c>
      <c r="B193">
        <v>349</v>
      </c>
      <c r="C193">
        <v>202</v>
      </c>
      <c r="D193">
        <v>1995</v>
      </c>
      <c r="G193" t="s">
        <v>3777</v>
      </c>
      <c r="H193">
        <v>16939440000149</v>
      </c>
      <c r="I193" t="s">
        <v>3778</v>
      </c>
      <c r="J193" t="s">
        <v>3832</v>
      </c>
      <c r="K193" t="s">
        <v>3832</v>
      </c>
      <c r="L193" t="s">
        <v>3779</v>
      </c>
      <c r="N193" t="s">
        <v>3780</v>
      </c>
      <c r="P193" t="s">
        <v>3781</v>
      </c>
      <c r="Q193" t="s">
        <v>3782</v>
      </c>
      <c r="R193" t="s">
        <v>790</v>
      </c>
      <c r="U193" t="s">
        <v>319</v>
      </c>
      <c r="V193" t="s">
        <v>816</v>
      </c>
      <c r="X193">
        <v>2996</v>
      </c>
      <c r="Y193">
        <v>0</v>
      </c>
      <c r="AA193">
        <v>0</v>
      </c>
      <c r="AB193" s="31">
        <v>45763</v>
      </c>
      <c r="AC193" s="61">
        <v>0.63655092592592588</v>
      </c>
      <c r="AD193" t="s">
        <v>818</v>
      </c>
      <c r="AE193" s="31">
        <v>45763</v>
      </c>
      <c r="AF193" s="61">
        <v>0.63858796296296294</v>
      </c>
      <c r="AI193" t="s">
        <v>3833</v>
      </c>
      <c r="AR193">
        <v>1</v>
      </c>
    </row>
    <row r="194" spans="1:44" x14ac:dyDescent="0.3">
      <c r="A194" t="s">
        <v>31</v>
      </c>
      <c r="B194">
        <v>350</v>
      </c>
      <c r="C194">
        <v>130</v>
      </c>
      <c r="D194">
        <v>1996</v>
      </c>
      <c r="G194" t="s">
        <v>3834</v>
      </c>
      <c r="I194" t="s">
        <v>141</v>
      </c>
      <c r="J194" t="s">
        <v>3675</v>
      </c>
      <c r="K194" t="s">
        <v>3675</v>
      </c>
      <c r="L194" t="s">
        <v>3676</v>
      </c>
      <c r="N194" t="s">
        <v>3368</v>
      </c>
      <c r="P194" t="s">
        <v>778</v>
      </c>
      <c r="Q194" t="s">
        <v>923</v>
      </c>
      <c r="R194" t="s">
        <v>790</v>
      </c>
      <c r="U194" t="s">
        <v>319</v>
      </c>
      <c r="V194" t="s">
        <v>816</v>
      </c>
      <c r="X194">
        <v>447164</v>
      </c>
      <c r="Y194">
        <v>0</v>
      </c>
      <c r="AA194">
        <v>0</v>
      </c>
      <c r="AB194" s="31">
        <v>45764</v>
      </c>
      <c r="AC194" s="61">
        <v>0.40780092592592587</v>
      </c>
      <c r="AD194" t="s">
        <v>818</v>
      </c>
      <c r="AE194" s="31">
        <v>45764</v>
      </c>
      <c r="AF194" s="61">
        <v>0.5020486111111111</v>
      </c>
      <c r="AI194" t="s">
        <v>3835</v>
      </c>
      <c r="AR194">
        <v>1</v>
      </c>
    </row>
    <row r="195" spans="1:44" x14ac:dyDescent="0.3">
      <c r="A195" t="s">
        <v>31</v>
      </c>
      <c r="B195">
        <v>356</v>
      </c>
      <c r="C195">
        <v>197</v>
      </c>
      <c r="D195">
        <v>2006</v>
      </c>
      <c r="G195" t="s">
        <v>3836</v>
      </c>
      <c r="H195">
        <v>8616236000169</v>
      </c>
      <c r="I195" t="s">
        <v>3726</v>
      </c>
      <c r="J195" t="s">
        <v>704</v>
      </c>
      <c r="K195" t="s">
        <v>704</v>
      </c>
      <c r="L195" t="s">
        <v>3727</v>
      </c>
      <c r="N195" t="s">
        <v>3728</v>
      </c>
      <c r="P195" t="s">
        <v>3729</v>
      </c>
      <c r="Q195" t="s">
        <v>3687</v>
      </c>
      <c r="R195" t="s">
        <v>790</v>
      </c>
      <c r="U195" t="s">
        <v>319</v>
      </c>
      <c r="V195" t="s">
        <v>816</v>
      </c>
      <c r="X195">
        <v>1440</v>
      </c>
      <c r="Y195">
        <v>0</v>
      </c>
      <c r="AA195">
        <v>14</v>
      </c>
      <c r="AB195" s="31">
        <v>45770</v>
      </c>
      <c r="AC195" s="61">
        <v>0.63509259259259254</v>
      </c>
      <c r="AD195" t="s">
        <v>818</v>
      </c>
      <c r="AE195" s="31">
        <v>45784</v>
      </c>
      <c r="AF195" s="61">
        <v>0.66</v>
      </c>
      <c r="AI195" t="s">
        <v>3837</v>
      </c>
      <c r="AJ195" t="s">
        <v>3837</v>
      </c>
      <c r="AR195">
        <v>1</v>
      </c>
    </row>
    <row r="196" spans="1:44" x14ac:dyDescent="0.3">
      <c r="A196" t="s">
        <v>31</v>
      </c>
      <c r="B196">
        <v>357</v>
      </c>
      <c r="C196">
        <v>207</v>
      </c>
      <c r="D196">
        <v>2007</v>
      </c>
      <c r="G196" t="s">
        <v>3838</v>
      </c>
      <c r="H196">
        <v>43609706000168</v>
      </c>
      <c r="I196" t="s">
        <v>3839</v>
      </c>
      <c r="J196" t="s">
        <v>1804</v>
      </c>
      <c r="K196" t="s">
        <v>1804</v>
      </c>
      <c r="L196" t="s">
        <v>3840</v>
      </c>
      <c r="N196" t="s">
        <v>3841</v>
      </c>
      <c r="P196" t="s">
        <v>3842</v>
      </c>
      <c r="Q196" t="s">
        <v>3843</v>
      </c>
      <c r="R196" t="s">
        <v>932</v>
      </c>
      <c r="U196" t="s">
        <v>319</v>
      </c>
      <c r="V196" t="s">
        <v>816</v>
      </c>
      <c r="X196">
        <v>4000</v>
      </c>
      <c r="Y196">
        <v>0</v>
      </c>
      <c r="AA196">
        <v>1</v>
      </c>
      <c r="AB196" s="31">
        <v>45771</v>
      </c>
      <c r="AC196" s="61">
        <v>0.4306712962962963</v>
      </c>
      <c r="AD196" t="s">
        <v>818</v>
      </c>
      <c r="AE196" s="31">
        <v>45772</v>
      </c>
      <c r="AF196" s="61">
        <v>0.69015046296296301</v>
      </c>
      <c r="AI196" t="s">
        <v>1666</v>
      </c>
      <c r="AR196">
        <v>1</v>
      </c>
    </row>
    <row r="197" spans="1:44" x14ac:dyDescent="0.3">
      <c r="A197" t="s">
        <v>31</v>
      </c>
      <c r="B197">
        <v>363</v>
      </c>
      <c r="C197">
        <v>199</v>
      </c>
      <c r="D197">
        <v>2012</v>
      </c>
      <c r="G197" t="s">
        <v>3749</v>
      </c>
      <c r="H197">
        <v>50963243000101</v>
      </c>
      <c r="I197" t="s">
        <v>3750</v>
      </c>
      <c r="J197" t="s">
        <v>3844</v>
      </c>
      <c r="K197" t="s">
        <v>3844</v>
      </c>
      <c r="L197" t="s">
        <v>3752</v>
      </c>
      <c r="N197" t="s">
        <v>3753</v>
      </c>
      <c r="P197" t="s">
        <v>3754</v>
      </c>
      <c r="Q197" t="s">
        <v>1094</v>
      </c>
      <c r="R197" t="s">
        <v>790</v>
      </c>
      <c r="U197" t="s">
        <v>319</v>
      </c>
      <c r="V197" t="s">
        <v>816</v>
      </c>
      <c r="X197">
        <v>1890</v>
      </c>
      <c r="Y197">
        <v>0</v>
      </c>
      <c r="AA197">
        <v>0</v>
      </c>
      <c r="AB197" s="31">
        <v>45777</v>
      </c>
      <c r="AC197" s="61">
        <v>0.58546296296296296</v>
      </c>
      <c r="AD197" t="s">
        <v>818</v>
      </c>
      <c r="AE197" s="31">
        <v>45777</v>
      </c>
      <c r="AF197" s="61">
        <v>0.5869212962962963</v>
      </c>
      <c r="AI197" t="s">
        <v>3845</v>
      </c>
      <c r="AR197">
        <v>1</v>
      </c>
    </row>
    <row r="198" spans="1:44" x14ac:dyDescent="0.3">
      <c r="A198" t="s">
        <v>31</v>
      </c>
      <c r="B198">
        <v>364</v>
      </c>
      <c r="C198">
        <v>204</v>
      </c>
      <c r="D198">
        <v>2013</v>
      </c>
      <c r="G198" t="s">
        <v>3810</v>
      </c>
      <c r="H198">
        <v>33071847000116</v>
      </c>
      <c r="I198" t="s">
        <v>3811</v>
      </c>
      <c r="J198" t="s">
        <v>3846</v>
      </c>
      <c r="K198" t="s">
        <v>3846</v>
      </c>
      <c r="L198" t="s">
        <v>3813</v>
      </c>
      <c r="N198" t="s">
        <v>3814</v>
      </c>
      <c r="P198" t="s">
        <v>3815</v>
      </c>
      <c r="Q198" t="s">
        <v>2589</v>
      </c>
      <c r="R198" t="s">
        <v>790</v>
      </c>
      <c r="U198" t="s">
        <v>319</v>
      </c>
      <c r="V198" t="s">
        <v>816</v>
      </c>
      <c r="X198">
        <v>3360</v>
      </c>
      <c r="Y198">
        <v>0</v>
      </c>
      <c r="AA198">
        <v>0</v>
      </c>
      <c r="AB198" s="31">
        <v>45777</v>
      </c>
      <c r="AC198" s="61">
        <v>0.58721064814814816</v>
      </c>
      <c r="AD198" t="s">
        <v>818</v>
      </c>
      <c r="AE198" s="31">
        <v>45777</v>
      </c>
      <c r="AF198" s="61">
        <v>0.5879861111111111</v>
      </c>
      <c r="AI198" t="s">
        <v>3845</v>
      </c>
      <c r="AR198">
        <v>1</v>
      </c>
    </row>
    <row r="199" spans="1:44" x14ac:dyDescent="0.3">
      <c r="A199" t="s">
        <v>31</v>
      </c>
      <c r="B199">
        <v>365</v>
      </c>
      <c r="C199">
        <v>142</v>
      </c>
      <c r="D199">
        <v>2014</v>
      </c>
      <c r="G199" t="s">
        <v>3847</v>
      </c>
      <c r="I199" t="s">
        <v>3397</v>
      </c>
      <c r="J199" t="s">
        <v>3848</v>
      </c>
      <c r="K199" t="s">
        <v>3848</v>
      </c>
      <c r="L199" t="s">
        <v>3698</v>
      </c>
      <c r="N199" t="s">
        <v>3399</v>
      </c>
      <c r="P199" t="s">
        <v>778</v>
      </c>
      <c r="Q199" t="s">
        <v>3400</v>
      </c>
      <c r="R199" t="s">
        <v>1699</v>
      </c>
      <c r="U199" t="s">
        <v>319</v>
      </c>
      <c r="V199" t="s">
        <v>3417</v>
      </c>
      <c r="X199">
        <v>26200</v>
      </c>
      <c r="Y199">
        <v>3400</v>
      </c>
      <c r="AA199">
        <v>27</v>
      </c>
      <c r="AB199" s="31">
        <v>45777</v>
      </c>
      <c r="AC199" s="61">
        <v>0.58881944444444445</v>
      </c>
      <c r="AD199" t="s">
        <v>795</v>
      </c>
      <c r="AE199" s="31">
        <v>45804</v>
      </c>
      <c r="AF199" s="61">
        <v>0.79233796296296299</v>
      </c>
      <c r="AG199" t="s">
        <v>974</v>
      </c>
      <c r="AI199" t="s">
        <v>1374</v>
      </c>
      <c r="AJ199" t="s">
        <v>3845</v>
      </c>
      <c r="AR199">
        <v>1</v>
      </c>
    </row>
    <row r="200" spans="1:44" x14ac:dyDescent="0.3">
      <c r="A200" t="s">
        <v>31</v>
      </c>
      <c r="B200">
        <v>371</v>
      </c>
      <c r="C200">
        <v>178</v>
      </c>
      <c r="D200">
        <v>2021</v>
      </c>
      <c r="G200" t="s">
        <v>3849</v>
      </c>
      <c r="H200">
        <v>54124158000100</v>
      </c>
      <c r="I200" t="s">
        <v>3539</v>
      </c>
      <c r="J200" t="s">
        <v>1243</v>
      </c>
      <c r="K200" t="s">
        <v>1243</v>
      </c>
      <c r="L200" t="s">
        <v>3850</v>
      </c>
      <c r="N200" t="s">
        <v>3542</v>
      </c>
      <c r="P200" t="s">
        <v>3543</v>
      </c>
      <c r="Q200" t="s">
        <v>1837</v>
      </c>
      <c r="R200" t="s">
        <v>790</v>
      </c>
      <c r="U200" t="s">
        <v>319</v>
      </c>
      <c r="V200" t="s">
        <v>3417</v>
      </c>
      <c r="AA200">
        <v>18</v>
      </c>
      <c r="AB200" s="31">
        <v>45782</v>
      </c>
      <c r="AC200" s="61">
        <v>0.66790509259259256</v>
      </c>
      <c r="AD200" t="s">
        <v>795</v>
      </c>
      <c r="AE200" s="31">
        <v>45800</v>
      </c>
      <c r="AF200" s="61">
        <v>0.52974537037037039</v>
      </c>
      <c r="AG200" t="s">
        <v>796</v>
      </c>
      <c r="AI200" t="s">
        <v>3851</v>
      </c>
      <c r="AJ200" t="s">
        <v>3851</v>
      </c>
      <c r="AR200">
        <v>1</v>
      </c>
    </row>
    <row r="201" spans="1:44" x14ac:dyDescent="0.3">
      <c r="A201" t="s">
        <v>31</v>
      </c>
      <c r="B201">
        <v>372</v>
      </c>
      <c r="C201">
        <v>199</v>
      </c>
      <c r="D201">
        <v>2022</v>
      </c>
      <c r="G201" t="s">
        <v>3852</v>
      </c>
      <c r="H201">
        <v>50963243000101</v>
      </c>
      <c r="I201" t="s">
        <v>3750</v>
      </c>
      <c r="J201" t="s">
        <v>3853</v>
      </c>
      <c r="K201" t="s">
        <v>3853</v>
      </c>
      <c r="L201" t="s">
        <v>3752</v>
      </c>
      <c r="N201" t="s">
        <v>3753</v>
      </c>
      <c r="P201" t="s">
        <v>3754</v>
      </c>
      <c r="Q201" t="s">
        <v>1094</v>
      </c>
      <c r="R201" t="s">
        <v>790</v>
      </c>
      <c r="U201" t="s">
        <v>319</v>
      </c>
      <c r="V201" t="s">
        <v>3417</v>
      </c>
      <c r="X201">
        <v>0</v>
      </c>
      <c r="Y201">
        <v>1496</v>
      </c>
      <c r="AA201">
        <v>30</v>
      </c>
      <c r="AB201" s="31">
        <v>45783</v>
      </c>
      <c r="AC201" s="61">
        <v>0.48534722222222221</v>
      </c>
      <c r="AD201" t="s">
        <v>795</v>
      </c>
      <c r="AE201" s="31">
        <v>45813</v>
      </c>
      <c r="AF201" s="61">
        <v>0.47509259259259262</v>
      </c>
      <c r="AG201" t="s">
        <v>934</v>
      </c>
      <c r="AI201" t="s">
        <v>3854</v>
      </c>
      <c r="AJ201" t="s">
        <v>3855</v>
      </c>
      <c r="AR201">
        <v>1</v>
      </c>
    </row>
    <row r="202" spans="1:44" x14ac:dyDescent="0.3">
      <c r="A202" t="s">
        <v>31</v>
      </c>
      <c r="B202">
        <v>373</v>
      </c>
      <c r="C202">
        <v>178</v>
      </c>
      <c r="D202">
        <v>1614</v>
      </c>
      <c r="G202" t="s">
        <v>3591</v>
      </c>
      <c r="H202">
        <v>54124158000100</v>
      </c>
      <c r="I202" t="s">
        <v>3539</v>
      </c>
      <c r="J202" t="s">
        <v>1243</v>
      </c>
      <c r="K202" t="s">
        <v>1243</v>
      </c>
      <c r="L202" t="s">
        <v>3541</v>
      </c>
      <c r="N202" t="s">
        <v>3542</v>
      </c>
      <c r="P202" t="s">
        <v>3543</v>
      </c>
      <c r="Q202" t="s">
        <v>1837</v>
      </c>
      <c r="R202" t="s">
        <v>790</v>
      </c>
      <c r="U202" t="s">
        <v>319</v>
      </c>
      <c r="V202" t="s">
        <v>816</v>
      </c>
      <c r="X202">
        <v>44651</v>
      </c>
      <c r="Y202">
        <v>0</v>
      </c>
      <c r="AA202">
        <v>5</v>
      </c>
      <c r="AB202" s="31">
        <v>45784</v>
      </c>
      <c r="AC202" s="61">
        <v>0.51723379629629629</v>
      </c>
      <c r="AD202" t="s">
        <v>818</v>
      </c>
      <c r="AE202" s="31">
        <v>45789</v>
      </c>
      <c r="AF202" s="61">
        <v>0.39689814814814822</v>
      </c>
      <c r="AI202" t="s">
        <v>3856</v>
      </c>
      <c r="AR202">
        <v>1</v>
      </c>
    </row>
    <row r="203" spans="1:44" x14ac:dyDescent="0.3">
      <c r="A203" t="s">
        <v>31</v>
      </c>
      <c r="B203">
        <v>374</v>
      </c>
      <c r="C203">
        <v>134</v>
      </c>
      <c r="D203">
        <v>161</v>
      </c>
      <c r="G203" t="s">
        <v>3857</v>
      </c>
      <c r="I203" t="s">
        <v>3377</v>
      </c>
      <c r="J203" t="s">
        <v>3377</v>
      </c>
      <c r="K203" t="s">
        <v>3377</v>
      </c>
      <c r="L203">
        <v>11992475223</v>
      </c>
      <c r="N203" t="s">
        <v>3379</v>
      </c>
      <c r="P203" t="s">
        <v>778</v>
      </c>
      <c r="U203" t="s">
        <v>319</v>
      </c>
      <c r="V203" t="s">
        <v>3417</v>
      </c>
      <c r="AA203">
        <v>6</v>
      </c>
      <c r="AB203" s="31">
        <v>45785</v>
      </c>
      <c r="AC203" s="61">
        <v>0.64045138888888886</v>
      </c>
      <c r="AD203" t="s">
        <v>795</v>
      </c>
      <c r="AE203" s="31">
        <v>45791</v>
      </c>
      <c r="AF203" s="61">
        <v>0.4856712962962963</v>
      </c>
      <c r="AG203" t="s">
        <v>934</v>
      </c>
      <c r="AI203" t="s">
        <v>3858</v>
      </c>
      <c r="AR203">
        <v>1</v>
      </c>
    </row>
    <row r="204" spans="1:44" x14ac:dyDescent="0.3">
      <c r="A204" t="s">
        <v>31</v>
      </c>
      <c r="B204">
        <v>377</v>
      </c>
      <c r="C204">
        <v>123</v>
      </c>
      <c r="D204">
        <v>2026</v>
      </c>
      <c r="G204" t="s">
        <v>3859</v>
      </c>
      <c r="I204" t="s">
        <v>647</v>
      </c>
      <c r="J204" t="s">
        <v>3860</v>
      </c>
      <c r="K204" t="s">
        <v>3860</v>
      </c>
      <c r="L204" t="s">
        <v>3861</v>
      </c>
      <c r="N204" t="s">
        <v>3353</v>
      </c>
      <c r="P204" t="s">
        <v>778</v>
      </c>
      <c r="U204" t="s">
        <v>319</v>
      </c>
      <c r="V204" t="s">
        <v>816</v>
      </c>
      <c r="X204">
        <v>1428</v>
      </c>
      <c r="Y204">
        <v>550</v>
      </c>
      <c r="AA204">
        <v>17</v>
      </c>
      <c r="AB204" s="31">
        <v>45786</v>
      </c>
      <c r="AC204" s="61">
        <v>0.41125</v>
      </c>
      <c r="AD204" t="s">
        <v>818</v>
      </c>
      <c r="AE204" s="31">
        <v>45803</v>
      </c>
      <c r="AF204" s="61">
        <v>0.80402777777777779</v>
      </c>
      <c r="AI204" t="s">
        <v>3862</v>
      </c>
      <c r="AJ204" t="s">
        <v>3862</v>
      </c>
      <c r="AR204">
        <v>1</v>
      </c>
    </row>
    <row r="205" spans="1:44" x14ac:dyDescent="0.3">
      <c r="A205" t="s">
        <v>31</v>
      </c>
      <c r="B205">
        <v>378</v>
      </c>
      <c r="C205">
        <v>134</v>
      </c>
      <c r="D205">
        <v>2027</v>
      </c>
      <c r="G205" t="s">
        <v>3863</v>
      </c>
      <c r="I205" t="s">
        <v>3377</v>
      </c>
      <c r="J205" t="s">
        <v>3864</v>
      </c>
      <c r="K205" t="s">
        <v>3864</v>
      </c>
      <c r="L205" t="s">
        <v>3830</v>
      </c>
      <c r="N205" t="s">
        <v>3379</v>
      </c>
      <c r="P205" t="s">
        <v>778</v>
      </c>
      <c r="U205" t="s">
        <v>319</v>
      </c>
      <c r="V205" t="s">
        <v>3417</v>
      </c>
      <c r="AA205">
        <v>5</v>
      </c>
      <c r="AB205" s="31">
        <v>45786</v>
      </c>
      <c r="AC205" s="61">
        <v>0.60530092592592588</v>
      </c>
      <c r="AD205" t="s">
        <v>795</v>
      </c>
      <c r="AE205" s="31">
        <v>45791</v>
      </c>
      <c r="AF205" s="61">
        <v>0.48603009259259261</v>
      </c>
      <c r="AG205" t="s">
        <v>934</v>
      </c>
      <c r="AI205" t="s">
        <v>3862</v>
      </c>
      <c r="AJ205" t="s">
        <v>3856</v>
      </c>
      <c r="AR205">
        <v>1</v>
      </c>
    </row>
    <row r="206" spans="1:44" x14ac:dyDescent="0.3">
      <c r="A206" t="s">
        <v>31</v>
      </c>
      <c r="B206">
        <v>380</v>
      </c>
      <c r="C206">
        <v>122</v>
      </c>
      <c r="D206">
        <v>2029</v>
      </c>
      <c r="G206" t="s">
        <v>3865</v>
      </c>
      <c r="I206" t="s">
        <v>680</v>
      </c>
      <c r="J206" t="s">
        <v>3866</v>
      </c>
      <c r="K206" t="s">
        <v>3866</v>
      </c>
      <c r="L206" t="s">
        <v>3867</v>
      </c>
      <c r="N206" t="s">
        <v>3351</v>
      </c>
      <c r="P206" t="s">
        <v>778</v>
      </c>
      <c r="U206" t="s">
        <v>319</v>
      </c>
      <c r="V206" t="s">
        <v>3417</v>
      </c>
      <c r="X206">
        <v>2880</v>
      </c>
      <c r="Y206">
        <v>0</v>
      </c>
      <c r="AA206">
        <v>22</v>
      </c>
      <c r="AB206" s="31">
        <v>45789</v>
      </c>
      <c r="AC206" s="61">
        <v>0.42956018518518518</v>
      </c>
      <c r="AD206" t="s">
        <v>795</v>
      </c>
      <c r="AE206" s="31">
        <v>45811</v>
      </c>
      <c r="AF206" s="61">
        <v>0.5135763888888889</v>
      </c>
      <c r="AG206" t="s">
        <v>3463</v>
      </c>
      <c r="AI206" t="s">
        <v>3868</v>
      </c>
      <c r="AR206">
        <v>1</v>
      </c>
    </row>
    <row r="207" spans="1:44" x14ac:dyDescent="0.3">
      <c r="A207" t="s">
        <v>31</v>
      </c>
      <c r="B207">
        <v>381</v>
      </c>
      <c r="C207">
        <v>194</v>
      </c>
      <c r="D207">
        <v>2030</v>
      </c>
      <c r="G207" t="s">
        <v>233</v>
      </c>
      <c r="H207">
        <v>44580314000186</v>
      </c>
      <c r="I207" t="s">
        <v>3682</v>
      </c>
      <c r="J207" t="s">
        <v>704</v>
      </c>
      <c r="K207" t="s">
        <v>704</v>
      </c>
      <c r="L207" t="s">
        <v>3684</v>
      </c>
      <c r="N207" t="s">
        <v>3685</v>
      </c>
      <c r="P207" t="s">
        <v>3686</v>
      </c>
      <c r="Q207" t="s">
        <v>3687</v>
      </c>
      <c r="R207" t="s">
        <v>790</v>
      </c>
      <c r="U207" t="s">
        <v>319</v>
      </c>
      <c r="V207" t="s">
        <v>816</v>
      </c>
      <c r="X207">
        <v>2856</v>
      </c>
      <c r="Y207">
        <v>28512</v>
      </c>
      <c r="AA207">
        <v>28</v>
      </c>
      <c r="AB207" s="31">
        <v>45789</v>
      </c>
      <c r="AC207" s="61">
        <v>0.61649305555555556</v>
      </c>
      <c r="AD207" t="s">
        <v>818</v>
      </c>
      <c r="AE207" s="31">
        <v>45817</v>
      </c>
      <c r="AF207" s="61">
        <v>0.51645833333333335</v>
      </c>
      <c r="AI207" t="s">
        <v>3868</v>
      </c>
      <c r="AJ207" t="s">
        <v>3869</v>
      </c>
      <c r="AR207">
        <v>1</v>
      </c>
    </row>
    <row r="208" spans="1:44" x14ac:dyDescent="0.3">
      <c r="A208" t="s">
        <v>31</v>
      </c>
      <c r="B208">
        <v>386</v>
      </c>
      <c r="C208">
        <v>183</v>
      </c>
      <c r="D208">
        <v>2038</v>
      </c>
      <c r="G208" t="s">
        <v>3870</v>
      </c>
      <c r="H208">
        <v>3204281000192</v>
      </c>
      <c r="I208" t="s">
        <v>3594</v>
      </c>
      <c r="J208" t="s">
        <v>3595</v>
      </c>
      <c r="K208" t="s">
        <v>3595</v>
      </c>
      <c r="L208" t="s">
        <v>3596</v>
      </c>
      <c r="N208" t="s">
        <v>2617</v>
      </c>
      <c r="P208" t="s">
        <v>3597</v>
      </c>
      <c r="Q208" t="s">
        <v>2618</v>
      </c>
      <c r="R208" t="s">
        <v>790</v>
      </c>
      <c r="U208" t="s">
        <v>319</v>
      </c>
      <c r="V208" t="s">
        <v>816</v>
      </c>
      <c r="X208">
        <v>420</v>
      </c>
      <c r="Y208">
        <v>0</v>
      </c>
      <c r="AA208">
        <v>5</v>
      </c>
      <c r="AB208" s="31">
        <v>45791</v>
      </c>
      <c r="AC208" s="61">
        <v>0.63041666666666663</v>
      </c>
      <c r="AD208" t="s">
        <v>818</v>
      </c>
      <c r="AE208" s="31">
        <v>45796</v>
      </c>
      <c r="AF208" s="61">
        <v>0.37569444444444439</v>
      </c>
      <c r="AI208" t="s">
        <v>3871</v>
      </c>
      <c r="AJ208" t="s">
        <v>3872</v>
      </c>
      <c r="AR208">
        <v>1</v>
      </c>
    </row>
    <row r="209" spans="1:44" x14ac:dyDescent="0.3">
      <c r="A209" t="s">
        <v>31</v>
      </c>
      <c r="B209">
        <v>387</v>
      </c>
      <c r="C209">
        <v>197</v>
      </c>
      <c r="D209">
        <v>1888</v>
      </c>
      <c r="G209" t="s">
        <v>3873</v>
      </c>
      <c r="H209">
        <v>8616236000169</v>
      </c>
      <c r="I209" t="s">
        <v>3726</v>
      </c>
      <c r="J209" t="s">
        <v>704</v>
      </c>
      <c r="K209" t="s">
        <v>704</v>
      </c>
      <c r="L209" t="s">
        <v>3727</v>
      </c>
      <c r="N209" t="s">
        <v>3728</v>
      </c>
      <c r="P209" t="s">
        <v>3729</v>
      </c>
      <c r="Q209" t="s">
        <v>3687</v>
      </c>
      <c r="R209" t="s">
        <v>790</v>
      </c>
      <c r="U209" t="s">
        <v>319</v>
      </c>
      <c r="V209" t="s">
        <v>3417</v>
      </c>
      <c r="X209">
        <v>2880</v>
      </c>
      <c r="Y209">
        <v>0</v>
      </c>
      <c r="AA209">
        <v>19</v>
      </c>
      <c r="AB209" s="31">
        <v>45792</v>
      </c>
      <c r="AC209" s="61">
        <v>0.51618055555555553</v>
      </c>
      <c r="AD209" t="s">
        <v>795</v>
      </c>
      <c r="AE209" s="31">
        <v>45811</v>
      </c>
      <c r="AF209" s="61">
        <v>0.64978009259259262</v>
      </c>
      <c r="AG209" t="s">
        <v>796</v>
      </c>
      <c r="AI209" t="s">
        <v>3874</v>
      </c>
      <c r="AJ209" t="s">
        <v>1695</v>
      </c>
      <c r="AR209">
        <v>1</v>
      </c>
    </row>
    <row r="210" spans="1:44" x14ac:dyDescent="0.3">
      <c r="A210" t="s">
        <v>31</v>
      </c>
      <c r="B210">
        <v>388</v>
      </c>
      <c r="C210">
        <v>187</v>
      </c>
      <c r="D210">
        <v>2039</v>
      </c>
      <c r="G210" t="s">
        <v>3875</v>
      </c>
      <c r="H210">
        <v>17063632000105</v>
      </c>
      <c r="I210" t="s">
        <v>3631</v>
      </c>
      <c r="J210" t="s">
        <v>1966</v>
      </c>
      <c r="K210" t="s">
        <v>1966</v>
      </c>
      <c r="L210" t="s">
        <v>3633</v>
      </c>
      <c r="N210" t="s">
        <v>3634</v>
      </c>
      <c r="P210" t="s">
        <v>3635</v>
      </c>
      <c r="Q210" t="s">
        <v>3636</v>
      </c>
      <c r="R210" t="s">
        <v>1699</v>
      </c>
      <c r="U210" t="s">
        <v>319</v>
      </c>
      <c r="V210" t="s">
        <v>3417</v>
      </c>
      <c r="X210">
        <v>6300</v>
      </c>
      <c r="Y210">
        <v>0</v>
      </c>
      <c r="AA210">
        <v>8</v>
      </c>
      <c r="AB210" s="31">
        <v>45792</v>
      </c>
      <c r="AC210" s="61">
        <v>0.7066782407407407</v>
      </c>
      <c r="AD210" t="s">
        <v>795</v>
      </c>
      <c r="AE210" s="31">
        <v>45800</v>
      </c>
      <c r="AF210" s="61">
        <v>0.52802083333333338</v>
      </c>
      <c r="AG210" t="s">
        <v>934</v>
      </c>
      <c r="AI210" t="s">
        <v>3874</v>
      </c>
      <c r="AR210">
        <v>1</v>
      </c>
    </row>
    <row r="211" spans="1:44" x14ac:dyDescent="0.3">
      <c r="A211" t="s">
        <v>31</v>
      </c>
      <c r="B211">
        <v>389</v>
      </c>
      <c r="C211">
        <v>184</v>
      </c>
      <c r="D211">
        <v>2040</v>
      </c>
      <c r="G211" t="s">
        <v>3876</v>
      </c>
      <c r="H211">
        <v>11861121000144</v>
      </c>
      <c r="I211" t="s">
        <v>3877</v>
      </c>
      <c r="J211" t="s">
        <v>3878</v>
      </c>
      <c r="K211" t="s">
        <v>3878</v>
      </c>
      <c r="L211" t="s">
        <v>3879</v>
      </c>
      <c r="N211" t="s">
        <v>3880</v>
      </c>
      <c r="P211" t="s">
        <v>3881</v>
      </c>
      <c r="Q211" t="s">
        <v>1094</v>
      </c>
      <c r="R211" t="s">
        <v>790</v>
      </c>
      <c r="U211" t="s">
        <v>319</v>
      </c>
      <c r="V211" t="s">
        <v>781</v>
      </c>
      <c r="AA211">
        <v>6</v>
      </c>
      <c r="AB211" s="31">
        <v>45793</v>
      </c>
      <c r="AC211" s="61">
        <v>0.43585648148148148</v>
      </c>
      <c r="AD211" t="s">
        <v>795</v>
      </c>
      <c r="AE211" s="31">
        <v>45799</v>
      </c>
      <c r="AF211" s="61">
        <v>0.38090277777777781</v>
      </c>
      <c r="AG211" t="s">
        <v>934</v>
      </c>
      <c r="AJ211" t="s">
        <v>3882</v>
      </c>
      <c r="AR211">
        <v>1</v>
      </c>
    </row>
    <row r="212" spans="1:44" x14ac:dyDescent="0.3">
      <c r="A212" t="s">
        <v>31</v>
      </c>
      <c r="B212">
        <v>390</v>
      </c>
      <c r="C212">
        <v>148</v>
      </c>
      <c r="D212">
        <v>2041</v>
      </c>
      <c r="G212" t="s">
        <v>3883</v>
      </c>
      <c r="H212">
        <v>8530284000130</v>
      </c>
      <c r="I212" t="s">
        <v>3555</v>
      </c>
      <c r="J212" t="s">
        <v>2927</v>
      </c>
      <c r="K212" t="s">
        <v>2927</v>
      </c>
      <c r="L212" t="s">
        <v>3556</v>
      </c>
      <c r="N212" t="s">
        <v>3557</v>
      </c>
      <c r="P212" t="s">
        <v>778</v>
      </c>
      <c r="T212" t="s">
        <v>1718</v>
      </c>
      <c r="U212" t="s">
        <v>319</v>
      </c>
      <c r="V212" t="s">
        <v>3417</v>
      </c>
      <c r="X212">
        <v>2856</v>
      </c>
      <c r="Y212">
        <v>64152</v>
      </c>
      <c r="AA212">
        <v>101</v>
      </c>
      <c r="AB212" s="31">
        <v>45793</v>
      </c>
      <c r="AC212" s="61">
        <v>0.60055555555555551</v>
      </c>
      <c r="AD212" t="s">
        <v>795</v>
      </c>
      <c r="AE212" s="31">
        <v>45894</v>
      </c>
      <c r="AF212" s="61">
        <v>0.66383101851851856</v>
      </c>
      <c r="AG212" t="s">
        <v>3463</v>
      </c>
      <c r="AI212" t="s">
        <v>3884</v>
      </c>
      <c r="AJ212" t="s">
        <v>1885</v>
      </c>
      <c r="AR212">
        <v>1</v>
      </c>
    </row>
    <row r="213" spans="1:44" x14ac:dyDescent="0.3">
      <c r="A213" t="s">
        <v>31</v>
      </c>
      <c r="B213">
        <v>391</v>
      </c>
      <c r="C213">
        <v>210</v>
      </c>
      <c r="D213">
        <v>2042</v>
      </c>
      <c r="G213" t="s">
        <v>3885</v>
      </c>
      <c r="H213">
        <v>51781567000183</v>
      </c>
      <c r="I213" t="s">
        <v>3886</v>
      </c>
      <c r="J213" t="s">
        <v>3735</v>
      </c>
      <c r="K213" t="s">
        <v>3735</v>
      </c>
      <c r="L213" t="s">
        <v>3887</v>
      </c>
      <c r="N213" t="s">
        <v>3888</v>
      </c>
      <c r="P213" t="s">
        <v>3889</v>
      </c>
      <c r="Q213" t="s">
        <v>3890</v>
      </c>
      <c r="R213" t="s">
        <v>932</v>
      </c>
      <c r="U213" t="s">
        <v>319</v>
      </c>
      <c r="V213" t="s">
        <v>3417</v>
      </c>
      <c r="X213">
        <v>420</v>
      </c>
      <c r="Y213">
        <v>0</v>
      </c>
      <c r="AA213">
        <v>0</v>
      </c>
      <c r="AB213" s="31">
        <v>45793</v>
      </c>
      <c r="AC213" s="61">
        <v>0.61630787037037038</v>
      </c>
      <c r="AD213" t="s">
        <v>795</v>
      </c>
      <c r="AE213" s="31">
        <v>45793</v>
      </c>
      <c r="AF213" s="61">
        <v>0.62888888888888894</v>
      </c>
      <c r="AG213" t="s">
        <v>796</v>
      </c>
      <c r="AI213" t="s">
        <v>3891</v>
      </c>
      <c r="AR213">
        <v>1</v>
      </c>
    </row>
    <row r="214" spans="1:44" x14ac:dyDescent="0.3">
      <c r="A214" t="s">
        <v>31</v>
      </c>
      <c r="B214">
        <v>392</v>
      </c>
      <c r="C214">
        <v>209</v>
      </c>
      <c r="D214">
        <v>2043</v>
      </c>
      <c r="G214" t="s">
        <v>3892</v>
      </c>
      <c r="H214">
        <v>10682266000115</v>
      </c>
      <c r="I214" t="s">
        <v>3893</v>
      </c>
      <c r="J214" t="s">
        <v>3894</v>
      </c>
      <c r="K214" t="s">
        <v>3894</v>
      </c>
      <c r="L214" t="s">
        <v>3895</v>
      </c>
      <c r="N214" t="s">
        <v>3896</v>
      </c>
      <c r="P214" t="s">
        <v>3897</v>
      </c>
      <c r="Q214" t="s">
        <v>1596</v>
      </c>
      <c r="R214" t="s">
        <v>790</v>
      </c>
      <c r="U214" t="s">
        <v>319</v>
      </c>
      <c r="V214" t="s">
        <v>3606</v>
      </c>
      <c r="AA214">
        <v>7</v>
      </c>
      <c r="AB214" s="31">
        <v>45793</v>
      </c>
      <c r="AC214" s="61">
        <v>0.62921296296296292</v>
      </c>
      <c r="AD214" t="s">
        <v>795</v>
      </c>
      <c r="AE214" s="31">
        <v>45800</v>
      </c>
      <c r="AF214" s="61">
        <v>0.52667824074074077</v>
      </c>
      <c r="AG214" t="s">
        <v>796</v>
      </c>
      <c r="AJ214" t="s">
        <v>1730</v>
      </c>
      <c r="AK214" t="s">
        <v>1730</v>
      </c>
      <c r="AR214">
        <v>1</v>
      </c>
    </row>
    <row r="215" spans="1:44" x14ac:dyDescent="0.3">
      <c r="A215" t="s">
        <v>31</v>
      </c>
      <c r="B215">
        <v>393</v>
      </c>
      <c r="C215">
        <v>133</v>
      </c>
      <c r="D215">
        <v>2044</v>
      </c>
      <c r="G215" t="s">
        <v>3898</v>
      </c>
      <c r="I215" t="s">
        <v>625</v>
      </c>
      <c r="J215" t="s">
        <v>3899</v>
      </c>
      <c r="K215" t="s">
        <v>3899</v>
      </c>
      <c r="L215" t="s">
        <v>3584</v>
      </c>
      <c r="N215" t="s">
        <v>2207</v>
      </c>
      <c r="P215" t="s">
        <v>778</v>
      </c>
      <c r="T215" t="s">
        <v>1327</v>
      </c>
      <c r="U215" t="s">
        <v>319</v>
      </c>
      <c r="V215" t="s">
        <v>816</v>
      </c>
      <c r="X215">
        <v>0</v>
      </c>
      <c r="Y215">
        <v>325116</v>
      </c>
      <c r="AA215">
        <v>20</v>
      </c>
      <c r="AB215" s="31">
        <v>45793</v>
      </c>
      <c r="AC215" s="61">
        <v>0.68398148148148152</v>
      </c>
      <c r="AD215" t="s">
        <v>818</v>
      </c>
      <c r="AE215" s="31">
        <v>45813</v>
      </c>
      <c r="AF215" s="61">
        <v>0.47848379629629628</v>
      </c>
      <c r="AI215" t="s">
        <v>3900</v>
      </c>
      <c r="AJ215" t="s">
        <v>3901</v>
      </c>
      <c r="AR215">
        <v>1</v>
      </c>
    </row>
    <row r="216" spans="1:44" x14ac:dyDescent="0.3">
      <c r="A216" t="s">
        <v>31</v>
      </c>
      <c r="B216">
        <v>394</v>
      </c>
      <c r="C216">
        <v>208</v>
      </c>
      <c r="D216">
        <v>2045</v>
      </c>
      <c r="G216" t="s">
        <v>3902</v>
      </c>
      <c r="H216">
        <v>42830750000130</v>
      </c>
      <c r="I216" t="s">
        <v>3903</v>
      </c>
      <c r="J216" t="s">
        <v>3904</v>
      </c>
      <c r="K216" t="s">
        <v>3904</v>
      </c>
      <c r="L216" t="s">
        <v>3905</v>
      </c>
      <c r="N216" t="s">
        <v>4594</v>
      </c>
      <c r="P216" t="s">
        <v>3907</v>
      </c>
      <c r="Q216" t="s">
        <v>1094</v>
      </c>
      <c r="R216" t="s">
        <v>790</v>
      </c>
      <c r="U216" t="s">
        <v>319</v>
      </c>
      <c r="V216" t="s">
        <v>3417</v>
      </c>
      <c r="X216">
        <v>5040</v>
      </c>
      <c r="Y216">
        <v>0</v>
      </c>
      <c r="AA216">
        <v>18</v>
      </c>
      <c r="AB216" s="31">
        <v>45796</v>
      </c>
      <c r="AC216" s="61">
        <v>0.42694444444444452</v>
      </c>
      <c r="AD216" t="s">
        <v>795</v>
      </c>
      <c r="AE216" s="31">
        <v>45814</v>
      </c>
      <c r="AF216" s="61">
        <v>0.49690972222222218</v>
      </c>
      <c r="AG216" t="s">
        <v>3463</v>
      </c>
      <c r="AI216" t="s">
        <v>3901</v>
      </c>
      <c r="AJ216" t="s">
        <v>3871</v>
      </c>
      <c r="AR216">
        <v>1</v>
      </c>
    </row>
    <row r="217" spans="1:44" x14ac:dyDescent="0.3">
      <c r="A217" t="s">
        <v>31</v>
      </c>
      <c r="B217">
        <v>395</v>
      </c>
      <c r="C217">
        <v>179</v>
      </c>
      <c r="D217">
        <v>2046</v>
      </c>
      <c r="G217" t="s">
        <v>3908</v>
      </c>
      <c r="H217">
        <v>21736169000184</v>
      </c>
      <c r="I217" t="s">
        <v>3546</v>
      </c>
      <c r="J217" t="s">
        <v>3909</v>
      </c>
      <c r="K217" t="s">
        <v>3909</v>
      </c>
      <c r="L217" t="s">
        <v>3547</v>
      </c>
      <c r="N217" t="s">
        <v>3548</v>
      </c>
      <c r="P217" t="s">
        <v>3549</v>
      </c>
      <c r="Q217" t="s">
        <v>3550</v>
      </c>
      <c r="R217" t="s">
        <v>874</v>
      </c>
      <c r="U217" t="s">
        <v>319</v>
      </c>
      <c r="V217" t="s">
        <v>3417</v>
      </c>
      <c r="X217">
        <v>3360</v>
      </c>
      <c r="Y217">
        <v>7128</v>
      </c>
      <c r="AA217">
        <v>134</v>
      </c>
      <c r="AB217" s="31">
        <v>45796</v>
      </c>
      <c r="AC217" s="61">
        <v>0.46653935185185191</v>
      </c>
      <c r="AD217" t="s">
        <v>795</v>
      </c>
      <c r="AE217" s="31">
        <v>45930</v>
      </c>
      <c r="AF217" s="61">
        <v>0.38721064814814821</v>
      </c>
      <c r="AG217" t="s">
        <v>796</v>
      </c>
      <c r="AI217" t="s">
        <v>3910</v>
      </c>
      <c r="AJ217" t="s">
        <v>1885</v>
      </c>
      <c r="AR217">
        <v>1</v>
      </c>
    </row>
    <row r="218" spans="1:44" x14ac:dyDescent="0.3">
      <c r="A218" t="s">
        <v>31</v>
      </c>
      <c r="B218">
        <v>396</v>
      </c>
      <c r="C218">
        <v>211</v>
      </c>
      <c r="D218">
        <v>2047</v>
      </c>
      <c r="G218" t="s">
        <v>3911</v>
      </c>
      <c r="H218">
        <v>5691820000190</v>
      </c>
      <c r="I218" t="s">
        <v>3912</v>
      </c>
      <c r="J218" t="s">
        <v>1239</v>
      </c>
      <c r="K218" t="s">
        <v>1239</v>
      </c>
      <c r="L218" t="s">
        <v>3913</v>
      </c>
      <c r="N218" t="s">
        <v>3914</v>
      </c>
      <c r="P218" t="s">
        <v>3915</v>
      </c>
      <c r="Q218" t="s">
        <v>1026</v>
      </c>
      <c r="R218" t="s">
        <v>1027</v>
      </c>
      <c r="T218" t="s">
        <v>1718</v>
      </c>
      <c r="U218" t="s">
        <v>319</v>
      </c>
      <c r="V218" t="s">
        <v>816</v>
      </c>
      <c r="X218">
        <v>1123798</v>
      </c>
      <c r="Y218">
        <v>1404</v>
      </c>
      <c r="AA218">
        <v>52</v>
      </c>
      <c r="AB218" s="31">
        <v>45796</v>
      </c>
      <c r="AC218" s="61">
        <v>0.6614930555555556</v>
      </c>
      <c r="AD218" t="s">
        <v>818</v>
      </c>
      <c r="AE218" s="31">
        <v>45848</v>
      </c>
      <c r="AF218" s="61">
        <v>0.37546296296296289</v>
      </c>
      <c r="AI218" t="s">
        <v>3916</v>
      </c>
      <c r="AJ218" t="s">
        <v>1730</v>
      </c>
      <c r="AK218" t="s">
        <v>3916</v>
      </c>
      <c r="AR218">
        <v>1</v>
      </c>
    </row>
    <row r="219" spans="1:44" x14ac:dyDescent="0.3">
      <c r="A219" t="s">
        <v>31</v>
      </c>
      <c r="B219">
        <v>397</v>
      </c>
      <c r="C219">
        <v>149</v>
      </c>
      <c r="D219">
        <v>2048</v>
      </c>
      <c r="G219" t="s">
        <v>3644</v>
      </c>
      <c r="H219">
        <v>12418196000118</v>
      </c>
      <c r="I219" t="s">
        <v>3645</v>
      </c>
      <c r="J219" t="s">
        <v>3917</v>
      </c>
      <c r="K219" t="s">
        <v>3917</v>
      </c>
      <c r="L219" t="s">
        <v>3647</v>
      </c>
      <c r="N219" t="s">
        <v>3648</v>
      </c>
      <c r="P219" t="s">
        <v>778</v>
      </c>
      <c r="U219" t="s">
        <v>319</v>
      </c>
      <c r="V219" t="s">
        <v>3417</v>
      </c>
      <c r="X219">
        <v>1600</v>
      </c>
      <c r="Y219">
        <v>1939757</v>
      </c>
      <c r="AA219">
        <v>17</v>
      </c>
      <c r="AB219" s="31">
        <v>45796</v>
      </c>
      <c r="AC219" s="61">
        <v>0.68685185185185182</v>
      </c>
      <c r="AD219" t="s">
        <v>795</v>
      </c>
      <c r="AE219" s="31">
        <v>45813</v>
      </c>
      <c r="AF219" s="61">
        <v>0.43167824074074068</v>
      </c>
      <c r="AG219" t="s">
        <v>934</v>
      </c>
      <c r="AI219" t="s">
        <v>3901</v>
      </c>
      <c r="AJ219" t="s">
        <v>3900</v>
      </c>
      <c r="AR219">
        <v>1</v>
      </c>
    </row>
    <row r="220" spans="1:44" x14ac:dyDescent="0.3">
      <c r="A220" t="s">
        <v>31</v>
      </c>
      <c r="B220">
        <v>398</v>
      </c>
      <c r="C220">
        <v>98</v>
      </c>
      <c r="D220">
        <v>2049</v>
      </c>
      <c r="G220" t="s">
        <v>3918</v>
      </c>
      <c r="I220" t="s">
        <v>604</v>
      </c>
      <c r="J220" t="s">
        <v>1243</v>
      </c>
      <c r="K220" t="s">
        <v>1243</v>
      </c>
      <c r="N220" t="s">
        <v>3295</v>
      </c>
      <c r="P220" t="s">
        <v>778</v>
      </c>
      <c r="U220" t="s">
        <v>319</v>
      </c>
      <c r="V220" t="s">
        <v>3417</v>
      </c>
      <c r="AA220">
        <v>14</v>
      </c>
      <c r="AB220" s="31">
        <v>45797</v>
      </c>
      <c r="AC220" s="61">
        <v>0.40790509259259261</v>
      </c>
      <c r="AD220" t="s">
        <v>795</v>
      </c>
      <c r="AE220" s="31">
        <v>45811</v>
      </c>
      <c r="AF220" s="61">
        <v>0.65237268518518521</v>
      </c>
      <c r="AG220" t="s">
        <v>796</v>
      </c>
      <c r="AI220" t="s">
        <v>3919</v>
      </c>
      <c r="AJ220" t="s">
        <v>3920</v>
      </c>
      <c r="AR220">
        <v>1</v>
      </c>
    </row>
    <row r="221" spans="1:44" x14ac:dyDescent="0.3">
      <c r="A221" t="s">
        <v>31</v>
      </c>
      <c r="B221">
        <v>399</v>
      </c>
      <c r="C221">
        <v>180</v>
      </c>
      <c r="D221">
        <v>2052</v>
      </c>
      <c r="G221" t="s">
        <v>3921</v>
      </c>
      <c r="H221">
        <v>7287290000226</v>
      </c>
      <c r="I221" t="s">
        <v>3561</v>
      </c>
      <c r="J221" t="s">
        <v>3922</v>
      </c>
      <c r="K221" t="s">
        <v>3922</v>
      </c>
      <c r="L221" t="s">
        <v>3563</v>
      </c>
      <c r="N221" t="s">
        <v>3564</v>
      </c>
      <c r="P221" t="s">
        <v>3565</v>
      </c>
      <c r="Q221" t="s">
        <v>3566</v>
      </c>
      <c r="R221" t="s">
        <v>790</v>
      </c>
      <c r="U221" t="s">
        <v>319</v>
      </c>
      <c r="V221" t="s">
        <v>816</v>
      </c>
      <c r="X221">
        <v>840</v>
      </c>
      <c r="Y221">
        <v>0</v>
      </c>
      <c r="AA221">
        <v>0</v>
      </c>
      <c r="AB221" s="31">
        <v>45798</v>
      </c>
      <c r="AC221" s="61">
        <v>0.53145833333333337</v>
      </c>
      <c r="AD221" t="s">
        <v>818</v>
      </c>
      <c r="AE221" s="31">
        <v>45798</v>
      </c>
      <c r="AF221" s="61">
        <v>0.53222222222222226</v>
      </c>
      <c r="AI221" t="s">
        <v>3882</v>
      </c>
      <c r="AJ221" t="s">
        <v>3920</v>
      </c>
      <c r="AR221">
        <v>1</v>
      </c>
    </row>
    <row r="222" spans="1:44" x14ac:dyDescent="0.3">
      <c r="A222" t="s">
        <v>31</v>
      </c>
      <c r="B222">
        <v>400</v>
      </c>
      <c r="C222">
        <v>107</v>
      </c>
      <c r="D222">
        <v>2055</v>
      </c>
      <c r="G222" t="s">
        <v>3923</v>
      </c>
      <c r="H222">
        <v>7527737000297</v>
      </c>
      <c r="I222" t="s">
        <v>427</v>
      </c>
      <c r="J222" t="s">
        <v>914</v>
      </c>
      <c r="K222" t="s">
        <v>914</v>
      </c>
      <c r="N222" t="s">
        <v>3320</v>
      </c>
      <c r="P222" t="s">
        <v>778</v>
      </c>
      <c r="T222" t="s">
        <v>1718</v>
      </c>
      <c r="U222" t="s">
        <v>319</v>
      </c>
      <c r="V222" t="s">
        <v>781</v>
      </c>
      <c r="AA222">
        <v>132</v>
      </c>
      <c r="AB222" s="31">
        <v>45799</v>
      </c>
      <c r="AC222" s="61">
        <v>0.39634259259259258</v>
      </c>
      <c r="AD222" t="s">
        <v>795</v>
      </c>
      <c r="AE222" s="31">
        <v>45931</v>
      </c>
      <c r="AF222" s="61">
        <v>0.70456018518518515</v>
      </c>
      <c r="AG222" t="s">
        <v>1358</v>
      </c>
      <c r="AJ222" t="s">
        <v>3924</v>
      </c>
      <c r="AR222">
        <v>1</v>
      </c>
    </row>
    <row r="223" spans="1:44" x14ac:dyDescent="0.3">
      <c r="A223" t="s">
        <v>31</v>
      </c>
      <c r="B223">
        <v>401</v>
      </c>
      <c r="C223">
        <v>103</v>
      </c>
      <c r="D223">
        <v>2056</v>
      </c>
      <c r="G223" t="s">
        <v>3925</v>
      </c>
      <c r="H223">
        <v>12549273000179</v>
      </c>
      <c r="I223" t="s">
        <v>3309</v>
      </c>
      <c r="J223" t="s">
        <v>1804</v>
      </c>
      <c r="K223" t="s">
        <v>1804</v>
      </c>
      <c r="N223" t="s">
        <v>3312</v>
      </c>
      <c r="P223" t="s">
        <v>3313</v>
      </c>
      <c r="Q223" t="s">
        <v>1596</v>
      </c>
      <c r="R223" t="s">
        <v>790</v>
      </c>
      <c r="U223" t="s">
        <v>319</v>
      </c>
      <c r="V223" t="s">
        <v>816</v>
      </c>
      <c r="X223">
        <v>3780</v>
      </c>
      <c r="Y223">
        <v>0</v>
      </c>
      <c r="AA223">
        <v>13</v>
      </c>
      <c r="AB223" s="31">
        <v>45799</v>
      </c>
      <c r="AC223" s="61">
        <v>0.43107638888888888</v>
      </c>
      <c r="AD223" t="s">
        <v>818</v>
      </c>
      <c r="AE223" s="31">
        <v>45812</v>
      </c>
      <c r="AF223" s="61">
        <v>0.6988078703703704</v>
      </c>
      <c r="AI223" t="s">
        <v>3924</v>
      </c>
      <c r="AJ223" t="s">
        <v>1726</v>
      </c>
      <c r="AR223">
        <v>1</v>
      </c>
    </row>
    <row r="224" spans="1:44" x14ac:dyDescent="0.3">
      <c r="A224" t="s">
        <v>31</v>
      </c>
      <c r="B224">
        <v>402</v>
      </c>
      <c r="C224">
        <v>98</v>
      </c>
      <c r="D224">
        <v>2057</v>
      </c>
      <c r="G224" t="s">
        <v>3926</v>
      </c>
      <c r="I224" t="s">
        <v>604</v>
      </c>
      <c r="J224" t="s">
        <v>3927</v>
      </c>
      <c r="K224" t="s">
        <v>3927</v>
      </c>
      <c r="N224" t="s">
        <v>3295</v>
      </c>
      <c r="P224" t="s">
        <v>778</v>
      </c>
      <c r="U224" t="s">
        <v>319</v>
      </c>
      <c r="V224" t="s">
        <v>3417</v>
      </c>
      <c r="AA224">
        <v>1</v>
      </c>
      <c r="AB224" s="31">
        <v>45799</v>
      </c>
      <c r="AC224" s="61">
        <v>0.45256944444444452</v>
      </c>
      <c r="AD224" t="s">
        <v>795</v>
      </c>
      <c r="AE224" s="31">
        <v>45800</v>
      </c>
      <c r="AF224" s="61">
        <v>0.53533564814814816</v>
      </c>
      <c r="AG224" t="s">
        <v>1358</v>
      </c>
      <c r="AI224" t="s">
        <v>3924</v>
      </c>
      <c r="AJ224" t="s">
        <v>1726</v>
      </c>
      <c r="AR224">
        <v>1</v>
      </c>
    </row>
    <row r="225" spans="1:44" x14ac:dyDescent="0.3">
      <c r="A225" t="s">
        <v>31</v>
      </c>
      <c r="B225">
        <v>403</v>
      </c>
      <c r="C225">
        <v>76</v>
      </c>
      <c r="D225">
        <v>2059</v>
      </c>
      <c r="G225" t="s">
        <v>3928</v>
      </c>
      <c r="I225" t="s">
        <v>225</v>
      </c>
      <c r="J225" t="s">
        <v>3691</v>
      </c>
      <c r="K225" t="s">
        <v>3691</v>
      </c>
      <c r="L225" t="s">
        <v>3623</v>
      </c>
      <c r="N225" t="s">
        <v>3233</v>
      </c>
      <c r="P225" t="s">
        <v>778</v>
      </c>
      <c r="Q225" t="s">
        <v>3234</v>
      </c>
      <c r="R225" t="s">
        <v>1699</v>
      </c>
      <c r="U225" t="s">
        <v>319</v>
      </c>
      <c r="V225" t="s">
        <v>816</v>
      </c>
      <c r="X225">
        <v>1680</v>
      </c>
      <c r="Y225">
        <v>0</v>
      </c>
      <c r="AA225">
        <v>0</v>
      </c>
      <c r="AB225" s="31">
        <v>45804</v>
      </c>
      <c r="AC225" s="61">
        <v>0.78116898148148151</v>
      </c>
      <c r="AD225" t="s">
        <v>818</v>
      </c>
      <c r="AE225" s="31">
        <v>45804</v>
      </c>
      <c r="AF225" s="61">
        <v>0.78571759259259255</v>
      </c>
      <c r="AI225" t="s">
        <v>3929</v>
      </c>
      <c r="AJ225" t="s">
        <v>3929</v>
      </c>
      <c r="AR225">
        <v>1</v>
      </c>
    </row>
    <row r="226" spans="1:44" x14ac:dyDescent="0.3">
      <c r="A226" t="s">
        <v>31</v>
      </c>
      <c r="B226">
        <v>404</v>
      </c>
      <c r="C226">
        <v>107</v>
      </c>
      <c r="D226">
        <v>2060</v>
      </c>
      <c r="G226" t="s">
        <v>3930</v>
      </c>
      <c r="H226">
        <v>7527737000297</v>
      </c>
      <c r="I226" t="s">
        <v>427</v>
      </c>
      <c r="J226" t="s">
        <v>914</v>
      </c>
      <c r="K226" t="s">
        <v>914</v>
      </c>
      <c r="N226" t="s">
        <v>3320</v>
      </c>
      <c r="P226" t="s">
        <v>778</v>
      </c>
      <c r="U226" t="s">
        <v>319</v>
      </c>
      <c r="V226" t="s">
        <v>781</v>
      </c>
      <c r="AA226">
        <v>127</v>
      </c>
      <c r="AB226" s="31">
        <v>45804</v>
      </c>
      <c r="AC226" s="61">
        <v>0.79291666666666671</v>
      </c>
      <c r="AD226" t="s">
        <v>795</v>
      </c>
      <c r="AE226" s="31">
        <v>45931</v>
      </c>
      <c r="AF226" s="61">
        <v>0.70349537037037035</v>
      </c>
      <c r="AG226" t="s">
        <v>3463</v>
      </c>
      <c r="AR226">
        <v>1</v>
      </c>
    </row>
    <row r="227" spans="1:44" x14ac:dyDescent="0.3">
      <c r="A227" t="s">
        <v>31</v>
      </c>
      <c r="B227">
        <v>411</v>
      </c>
      <c r="C227">
        <v>103</v>
      </c>
      <c r="D227">
        <v>2074</v>
      </c>
      <c r="G227" t="s">
        <v>3931</v>
      </c>
      <c r="H227">
        <v>12549273000179</v>
      </c>
      <c r="I227" t="s">
        <v>3309</v>
      </c>
      <c r="J227" t="s">
        <v>3932</v>
      </c>
      <c r="K227" t="s">
        <v>3932</v>
      </c>
      <c r="L227" t="s">
        <v>3933</v>
      </c>
      <c r="N227" t="s">
        <v>3312</v>
      </c>
      <c r="P227" t="s">
        <v>3313</v>
      </c>
      <c r="Q227" t="s">
        <v>1596</v>
      </c>
      <c r="R227" t="s">
        <v>790</v>
      </c>
      <c r="T227" t="s">
        <v>1718</v>
      </c>
      <c r="U227" t="s">
        <v>319</v>
      </c>
      <c r="V227" t="s">
        <v>3417</v>
      </c>
      <c r="X227">
        <v>420</v>
      </c>
      <c r="Y227">
        <v>3564</v>
      </c>
      <c r="AA227">
        <v>29</v>
      </c>
      <c r="AB227" s="31">
        <v>45805</v>
      </c>
      <c r="AC227" s="61">
        <v>0.45006944444444452</v>
      </c>
      <c r="AD227" t="s">
        <v>795</v>
      </c>
      <c r="AE227" s="31">
        <v>45834</v>
      </c>
      <c r="AF227" s="61">
        <v>0.66600694444444442</v>
      </c>
      <c r="AG227" t="s">
        <v>3463</v>
      </c>
      <c r="AI227" t="s">
        <v>3934</v>
      </c>
      <c r="AJ227" t="s">
        <v>3934</v>
      </c>
      <c r="AR227">
        <v>1</v>
      </c>
    </row>
    <row r="228" spans="1:44" x14ac:dyDescent="0.3">
      <c r="A228" t="s">
        <v>31</v>
      </c>
      <c r="B228">
        <v>414</v>
      </c>
      <c r="C228">
        <v>187</v>
      </c>
      <c r="D228">
        <v>2102</v>
      </c>
      <c r="G228" t="s">
        <v>3935</v>
      </c>
      <c r="H228">
        <v>17063632000105</v>
      </c>
      <c r="I228" t="s">
        <v>3631</v>
      </c>
      <c r="J228" t="s">
        <v>3936</v>
      </c>
      <c r="K228" t="s">
        <v>3936</v>
      </c>
      <c r="L228" t="s">
        <v>3633</v>
      </c>
      <c r="N228" t="s">
        <v>3634</v>
      </c>
      <c r="P228" t="s">
        <v>3635</v>
      </c>
      <c r="Q228" t="s">
        <v>3636</v>
      </c>
      <c r="R228" t="s">
        <v>1699</v>
      </c>
      <c r="U228" t="s">
        <v>319</v>
      </c>
      <c r="V228" t="s">
        <v>3417</v>
      </c>
      <c r="X228">
        <v>4200</v>
      </c>
      <c r="Y228">
        <v>0</v>
      </c>
      <c r="AA228">
        <v>5</v>
      </c>
      <c r="AB228" s="31">
        <v>45806</v>
      </c>
      <c r="AC228" s="61">
        <v>0.6139930555555555</v>
      </c>
      <c r="AD228" t="s">
        <v>795</v>
      </c>
      <c r="AE228" s="31">
        <v>45811</v>
      </c>
      <c r="AF228" s="61">
        <v>0.64604166666666663</v>
      </c>
      <c r="AG228" t="s">
        <v>796</v>
      </c>
      <c r="AI228" t="s">
        <v>3937</v>
      </c>
      <c r="AR228">
        <v>1</v>
      </c>
    </row>
    <row r="229" spans="1:44" x14ac:dyDescent="0.3">
      <c r="A229" t="s">
        <v>31</v>
      </c>
      <c r="B229">
        <v>418</v>
      </c>
      <c r="C229">
        <v>196</v>
      </c>
      <c r="D229">
        <v>2143</v>
      </c>
      <c r="G229" t="s">
        <v>488</v>
      </c>
      <c r="H229">
        <v>32494222000102</v>
      </c>
      <c r="I229" t="s">
        <v>3715</v>
      </c>
      <c r="J229" t="s">
        <v>3716</v>
      </c>
      <c r="K229" t="s">
        <v>3716</v>
      </c>
      <c r="L229" t="s">
        <v>3717</v>
      </c>
      <c r="N229" t="s">
        <v>3718</v>
      </c>
      <c r="P229" t="s">
        <v>3719</v>
      </c>
      <c r="Q229" t="s">
        <v>3720</v>
      </c>
      <c r="R229" t="s">
        <v>790</v>
      </c>
      <c r="U229" t="s">
        <v>319</v>
      </c>
      <c r="V229" t="s">
        <v>3417</v>
      </c>
      <c r="X229">
        <v>1600</v>
      </c>
      <c r="Y229">
        <v>252621</v>
      </c>
      <c r="AA229">
        <v>4</v>
      </c>
      <c r="AB229" s="31">
        <v>45807</v>
      </c>
      <c r="AC229" s="61">
        <v>0.49321759259259262</v>
      </c>
      <c r="AD229" t="s">
        <v>795</v>
      </c>
      <c r="AE229" s="31">
        <v>45811</v>
      </c>
      <c r="AF229" s="61">
        <v>0.65384259259259259</v>
      </c>
      <c r="AG229" t="s">
        <v>3463</v>
      </c>
      <c r="AI229" t="s">
        <v>1590</v>
      </c>
      <c r="AJ229" t="s">
        <v>1590</v>
      </c>
      <c r="AR229">
        <v>1</v>
      </c>
    </row>
    <row r="230" spans="1:44" x14ac:dyDescent="0.3">
      <c r="A230" t="s">
        <v>31</v>
      </c>
      <c r="B230">
        <v>420</v>
      </c>
      <c r="C230">
        <v>73</v>
      </c>
      <c r="D230">
        <v>2145</v>
      </c>
      <c r="G230" t="s">
        <v>3938</v>
      </c>
      <c r="I230" t="s">
        <v>3218</v>
      </c>
      <c r="J230" t="s">
        <v>1474</v>
      </c>
      <c r="K230" t="s">
        <v>1474</v>
      </c>
      <c r="L230" t="s">
        <v>3939</v>
      </c>
      <c r="N230" t="s">
        <v>3220</v>
      </c>
      <c r="P230" t="s">
        <v>778</v>
      </c>
      <c r="U230" t="s">
        <v>319</v>
      </c>
      <c r="V230" t="s">
        <v>3417</v>
      </c>
      <c r="X230">
        <v>3024</v>
      </c>
      <c r="Y230">
        <v>3564</v>
      </c>
      <c r="AA230">
        <v>7</v>
      </c>
      <c r="AB230" s="31">
        <v>45807</v>
      </c>
      <c r="AC230" s="61">
        <v>0.59365740740740736</v>
      </c>
      <c r="AD230" t="s">
        <v>795</v>
      </c>
      <c r="AE230" s="31">
        <v>45814</v>
      </c>
      <c r="AF230" s="61">
        <v>0.47375</v>
      </c>
      <c r="AG230" t="s">
        <v>796</v>
      </c>
      <c r="AI230" t="s">
        <v>3940</v>
      </c>
      <c r="AJ230" t="s">
        <v>3940</v>
      </c>
      <c r="AR230">
        <v>1</v>
      </c>
    </row>
    <row r="231" spans="1:44" x14ac:dyDescent="0.3">
      <c r="A231" t="s">
        <v>31</v>
      </c>
      <c r="B231">
        <v>421</v>
      </c>
      <c r="C231">
        <v>148</v>
      </c>
      <c r="D231">
        <v>531</v>
      </c>
      <c r="G231" t="s">
        <v>3941</v>
      </c>
      <c r="H231">
        <v>8530284000130</v>
      </c>
      <c r="I231" t="s">
        <v>3555</v>
      </c>
      <c r="J231" t="s">
        <v>2927</v>
      </c>
      <c r="K231" t="s">
        <v>2927</v>
      </c>
      <c r="L231">
        <v>21987697145</v>
      </c>
      <c r="N231" t="s">
        <v>3557</v>
      </c>
      <c r="P231" t="s">
        <v>778</v>
      </c>
      <c r="U231" t="s">
        <v>319</v>
      </c>
      <c r="V231" t="s">
        <v>816</v>
      </c>
      <c r="X231">
        <v>714</v>
      </c>
      <c r="Y231">
        <v>32076</v>
      </c>
      <c r="AA231">
        <v>7</v>
      </c>
      <c r="AB231" s="31">
        <v>45807</v>
      </c>
      <c r="AC231" s="61">
        <v>0.61069444444444443</v>
      </c>
      <c r="AD231" t="s">
        <v>818</v>
      </c>
      <c r="AE231" s="31">
        <v>45814</v>
      </c>
      <c r="AF231" s="61">
        <v>0.70561342592592591</v>
      </c>
      <c r="AI231" t="s">
        <v>3916</v>
      </c>
      <c r="AJ231" t="s">
        <v>3940</v>
      </c>
      <c r="AR231">
        <v>1</v>
      </c>
    </row>
    <row r="232" spans="1:44" x14ac:dyDescent="0.3">
      <c r="A232" t="s">
        <v>31</v>
      </c>
      <c r="B232">
        <v>424</v>
      </c>
      <c r="C232">
        <v>122</v>
      </c>
      <c r="D232">
        <v>2180</v>
      </c>
      <c r="G232" t="s">
        <v>3865</v>
      </c>
      <c r="I232" t="s">
        <v>680</v>
      </c>
      <c r="J232" t="s">
        <v>680</v>
      </c>
      <c r="K232" t="s">
        <v>680</v>
      </c>
      <c r="L232" t="s">
        <v>3867</v>
      </c>
      <c r="N232" t="s">
        <v>3351</v>
      </c>
      <c r="P232" t="s">
        <v>778</v>
      </c>
      <c r="U232" t="s">
        <v>319</v>
      </c>
      <c r="V232" t="s">
        <v>816</v>
      </c>
      <c r="X232">
        <v>2000</v>
      </c>
      <c r="Y232">
        <v>0</v>
      </c>
      <c r="AA232">
        <v>0</v>
      </c>
      <c r="AB232" s="31">
        <v>45812</v>
      </c>
      <c r="AC232" s="61">
        <v>0.68781250000000005</v>
      </c>
      <c r="AD232" t="s">
        <v>818</v>
      </c>
      <c r="AE232" s="31">
        <v>45812</v>
      </c>
      <c r="AF232" s="61">
        <v>0.69079861111111107</v>
      </c>
      <c r="AI232" t="s">
        <v>3943</v>
      </c>
      <c r="AR232">
        <v>1</v>
      </c>
    </row>
    <row r="233" spans="1:44" x14ac:dyDescent="0.3">
      <c r="A233" t="s">
        <v>31</v>
      </c>
      <c r="B233">
        <v>427</v>
      </c>
      <c r="C233">
        <v>115</v>
      </c>
      <c r="D233">
        <v>2188</v>
      </c>
      <c r="G233" t="s">
        <v>3944</v>
      </c>
      <c r="I233" t="s">
        <v>3333</v>
      </c>
      <c r="J233" t="s">
        <v>3945</v>
      </c>
      <c r="K233" t="s">
        <v>3945</v>
      </c>
      <c r="L233" t="s">
        <v>3526</v>
      </c>
      <c r="N233" t="s">
        <v>3334</v>
      </c>
      <c r="P233" t="s">
        <v>778</v>
      </c>
      <c r="U233" t="s">
        <v>319</v>
      </c>
      <c r="V233" t="s">
        <v>3417</v>
      </c>
      <c r="AA233">
        <v>8</v>
      </c>
      <c r="AB233" s="31">
        <v>45813</v>
      </c>
      <c r="AC233" s="61">
        <v>0.61968749999999995</v>
      </c>
      <c r="AD233" t="s">
        <v>795</v>
      </c>
      <c r="AE233" s="31">
        <v>45821</v>
      </c>
      <c r="AF233" s="61">
        <v>0.69953703703703707</v>
      </c>
      <c r="AG233" t="s">
        <v>934</v>
      </c>
      <c r="AI233" t="s">
        <v>1854</v>
      </c>
      <c r="AJ233" t="s">
        <v>3946</v>
      </c>
      <c r="AR233">
        <v>1</v>
      </c>
    </row>
    <row r="234" spans="1:44" x14ac:dyDescent="0.3">
      <c r="A234" t="s">
        <v>31</v>
      </c>
      <c r="B234">
        <v>429</v>
      </c>
      <c r="C234">
        <v>119</v>
      </c>
      <c r="D234">
        <v>2191</v>
      </c>
      <c r="G234" t="s">
        <v>3947</v>
      </c>
      <c r="I234" t="s">
        <v>608</v>
      </c>
      <c r="J234" t="s">
        <v>844</v>
      </c>
      <c r="K234" t="s">
        <v>844</v>
      </c>
      <c r="L234" t="s">
        <v>3948</v>
      </c>
      <c r="N234" t="s">
        <v>3345</v>
      </c>
      <c r="P234" t="s">
        <v>778</v>
      </c>
      <c r="T234" t="s">
        <v>1419</v>
      </c>
      <c r="U234" t="s">
        <v>319</v>
      </c>
      <c r="V234" t="s">
        <v>3417</v>
      </c>
      <c r="X234">
        <v>26200</v>
      </c>
      <c r="Y234">
        <v>3400</v>
      </c>
      <c r="AA234">
        <v>102</v>
      </c>
      <c r="AB234" s="31">
        <v>45814</v>
      </c>
      <c r="AC234" s="61">
        <v>0.59260416666666671</v>
      </c>
      <c r="AD234" t="s">
        <v>795</v>
      </c>
      <c r="AE234" s="31">
        <v>45916</v>
      </c>
      <c r="AF234" s="61">
        <v>0.50366898148148154</v>
      </c>
      <c r="AG234" t="s">
        <v>934</v>
      </c>
      <c r="AR234">
        <v>1</v>
      </c>
    </row>
    <row r="235" spans="1:44" x14ac:dyDescent="0.3">
      <c r="A235" t="s">
        <v>31</v>
      </c>
      <c r="B235">
        <v>430</v>
      </c>
      <c r="C235">
        <v>134</v>
      </c>
      <c r="D235">
        <v>2192</v>
      </c>
      <c r="G235" t="s">
        <v>3949</v>
      </c>
      <c r="I235" t="s">
        <v>3377</v>
      </c>
      <c r="J235" t="s">
        <v>3950</v>
      </c>
      <c r="K235" t="s">
        <v>3950</v>
      </c>
      <c r="L235" t="s">
        <v>3830</v>
      </c>
      <c r="N235" t="s">
        <v>3379</v>
      </c>
      <c r="P235" t="s">
        <v>778</v>
      </c>
      <c r="T235" t="s">
        <v>1419</v>
      </c>
      <c r="U235" t="s">
        <v>319</v>
      </c>
      <c r="V235" t="s">
        <v>3417</v>
      </c>
      <c r="X235">
        <v>0</v>
      </c>
      <c r="Y235">
        <v>2016</v>
      </c>
      <c r="AA235">
        <v>81</v>
      </c>
      <c r="AB235" s="31">
        <v>45814</v>
      </c>
      <c r="AC235" s="61">
        <v>0.61868055555555557</v>
      </c>
      <c r="AD235" t="s">
        <v>795</v>
      </c>
      <c r="AE235" s="31">
        <v>45895</v>
      </c>
      <c r="AF235" s="61">
        <v>0.63534722222222217</v>
      </c>
      <c r="AG235" t="s">
        <v>934</v>
      </c>
      <c r="AI235" t="s">
        <v>3951</v>
      </c>
      <c r="AJ235" t="s">
        <v>3951</v>
      </c>
      <c r="AR235">
        <v>1</v>
      </c>
    </row>
    <row r="236" spans="1:44" x14ac:dyDescent="0.3">
      <c r="A236" t="s">
        <v>31</v>
      </c>
      <c r="B236">
        <v>432</v>
      </c>
      <c r="C236">
        <v>211</v>
      </c>
      <c r="D236">
        <v>2196</v>
      </c>
      <c r="G236" t="s">
        <v>3952</v>
      </c>
      <c r="H236">
        <v>5691820000190</v>
      </c>
      <c r="I236" t="s">
        <v>3912</v>
      </c>
      <c r="J236" t="s">
        <v>3953</v>
      </c>
      <c r="K236" t="s">
        <v>3953</v>
      </c>
      <c r="L236" t="s">
        <v>3913</v>
      </c>
      <c r="N236" t="s">
        <v>3914</v>
      </c>
      <c r="P236" t="s">
        <v>3915</v>
      </c>
      <c r="Q236" t="s">
        <v>1026</v>
      </c>
      <c r="R236" t="s">
        <v>1027</v>
      </c>
      <c r="U236" t="s">
        <v>319</v>
      </c>
      <c r="V236" t="s">
        <v>3417</v>
      </c>
      <c r="X236">
        <v>58143</v>
      </c>
      <c r="Y236">
        <v>0</v>
      </c>
      <c r="AA236">
        <v>3</v>
      </c>
      <c r="AB236" s="31">
        <v>45818</v>
      </c>
      <c r="AC236" s="61">
        <v>0.52453703703703702</v>
      </c>
      <c r="AD236" t="s">
        <v>795</v>
      </c>
      <c r="AE236" s="31">
        <v>45821</v>
      </c>
      <c r="AF236" s="61">
        <v>0.46098379629629632</v>
      </c>
      <c r="AG236" t="s">
        <v>3463</v>
      </c>
      <c r="AI236" t="s">
        <v>3954</v>
      </c>
      <c r="AR236">
        <v>1</v>
      </c>
    </row>
    <row r="237" spans="1:44" x14ac:dyDescent="0.3">
      <c r="A237" t="s">
        <v>31</v>
      </c>
      <c r="B237">
        <v>436</v>
      </c>
      <c r="C237">
        <v>207</v>
      </c>
      <c r="D237">
        <v>2201</v>
      </c>
      <c r="G237" t="s">
        <v>3955</v>
      </c>
      <c r="H237">
        <v>43609706000168</v>
      </c>
      <c r="I237" t="s">
        <v>3839</v>
      </c>
      <c r="J237" t="s">
        <v>3956</v>
      </c>
      <c r="K237" t="s">
        <v>3956</v>
      </c>
      <c r="L237" t="s">
        <v>3840</v>
      </c>
      <c r="N237" t="s">
        <v>3841</v>
      </c>
      <c r="P237" t="s">
        <v>3842</v>
      </c>
      <c r="Q237" t="s">
        <v>3843</v>
      </c>
      <c r="R237" t="s">
        <v>932</v>
      </c>
      <c r="T237" t="s">
        <v>1419</v>
      </c>
      <c r="U237" t="s">
        <v>319</v>
      </c>
      <c r="V237" t="s">
        <v>3417</v>
      </c>
      <c r="X237">
        <v>7140</v>
      </c>
      <c r="Y237">
        <v>0</v>
      </c>
      <c r="AA237">
        <v>12</v>
      </c>
      <c r="AB237" s="31">
        <v>45820</v>
      </c>
      <c r="AC237" s="61">
        <v>0.70355324074074077</v>
      </c>
      <c r="AD237" t="s">
        <v>795</v>
      </c>
      <c r="AE237" s="31">
        <v>45832</v>
      </c>
      <c r="AF237" s="61">
        <v>0.64807870370370368</v>
      </c>
      <c r="AG237" t="s">
        <v>934</v>
      </c>
      <c r="AI237" t="s">
        <v>3957</v>
      </c>
      <c r="AJ237" t="s">
        <v>3957</v>
      </c>
      <c r="AR237">
        <v>1</v>
      </c>
    </row>
    <row r="238" spans="1:44" x14ac:dyDescent="0.3">
      <c r="A238" t="s">
        <v>31</v>
      </c>
      <c r="B238">
        <v>437</v>
      </c>
      <c r="C238">
        <v>147</v>
      </c>
      <c r="D238">
        <v>2202</v>
      </c>
      <c r="G238" t="s">
        <v>3958</v>
      </c>
      <c r="H238">
        <v>7964558000136</v>
      </c>
      <c r="I238" t="s">
        <v>3430</v>
      </c>
      <c r="J238" t="s">
        <v>3959</v>
      </c>
      <c r="K238" t="s">
        <v>3959</v>
      </c>
      <c r="L238" t="s">
        <v>3515</v>
      </c>
      <c r="N238" t="s">
        <v>3433</v>
      </c>
      <c r="P238" t="s">
        <v>778</v>
      </c>
      <c r="T238" t="s">
        <v>1718</v>
      </c>
      <c r="U238" t="s">
        <v>319</v>
      </c>
      <c r="V238" t="s">
        <v>3417</v>
      </c>
      <c r="X238">
        <v>420</v>
      </c>
      <c r="Y238">
        <v>3564</v>
      </c>
      <c r="AA238">
        <v>52</v>
      </c>
      <c r="AB238" s="31">
        <v>45821</v>
      </c>
      <c r="AC238" s="61">
        <v>0.42613425925925918</v>
      </c>
      <c r="AD238" t="s">
        <v>795</v>
      </c>
      <c r="AE238" s="31">
        <v>45873</v>
      </c>
      <c r="AF238" s="61">
        <v>0.72765046296296299</v>
      </c>
      <c r="AG238" t="s">
        <v>1358</v>
      </c>
      <c r="AI238" t="s">
        <v>3960</v>
      </c>
      <c r="AJ238" t="s">
        <v>3960</v>
      </c>
      <c r="AR238">
        <v>1</v>
      </c>
    </row>
    <row r="239" spans="1:44" x14ac:dyDescent="0.3">
      <c r="A239" t="s">
        <v>31</v>
      </c>
      <c r="B239">
        <v>438</v>
      </c>
      <c r="C239">
        <v>182</v>
      </c>
      <c r="D239">
        <v>2203</v>
      </c>
      <c r="G239" t="s">
        <v>3961</v>
      </c>
      <c r="H239">
        <v>23873456000161</v>
      </c>
      <c r="I239" t="s">
        <v>3573</v>
      </c>
      <c r="J239" t="s">
        <v>3962</v>
      </c>
      <c r="K239" t="s">
        <v>3962</v>
      </c>
      <c r="L239" t="s">
        <v>3575</v>
      </c>
      <c r="N239" t="s">
        <v>3576</v>
      </c>
      <c r="P239" t="s">
        <v>3577</v>
      </c>
      <c r="Q239" t="s">
        <v>1837</v>
      </c>
      <c r="R239" t="s">
        <v>790</v>
      </c>
      <c r="T239" t="s">
        <v>1718</v>
      </c>
      <c r="U239" t="s">
        <v>319</v>
      </c>
      <c r="V239" t="s">
        <v>3417</v>
      </c>
      <c r="X239">
        <v>420</v>
      </c>
      <c r="Y239">
        <v>3564</v>
      </c>
      <c r="AA239">
        <v>10</v>
      </c>
      <c r="AB239" s="31">
        <v>45821</v>
      </c>
      <c r="AC239" s="61">
        <v>0.46237268518518521</v>
      </c>
      <c r="AD239" t="s">
        <v>795</v>
      </c>
      <c r="AE239" s="31">
        <v>45831</v>
      </c>
      <c r="AF239" s="61">
        <v>0.44872685185185179</v>
      </c>
      <c r="AG239" t="s">
        <v>934</v>
      </c>
      <c r="AI239" t="s">
        <v>3960</v>
      </c>
      <c r="AJ239" t="s">
        <v>3960</v>
      </c>
      <c r="AR239">
        <v>1</v>
      </c>
    </row>
    <row r="240" spans="1:44" x14ac:dyDescent="0.3">
      <c r="A240" t="s">
        <v>31</v>
      </c>
      <c r="B240">
        <v>439</v>
      </c>
      <c r="C240">
        <v>149</v>
      </c>
      <c r="D240">
        <v>2204</v>
      </c>
      <c r="G240" t="s">
        <v>3963</v>
      </c>
      <c r="H240">
        <v>12418196000118</v>
      </c>
      <c r="I240" t="s">
        <v>3645</v>
      </c>
      <c r="J240" t="s">
        <v>3688</v>
      </c>
      <c r="K240" t="s">
        <v>3688</v>
      </c>
      <c r="L240" t="s">
        <v>3647</v>
      </c>
      <c r="N240" t="s">
        <v>3648</v>
      </c>
      <c r="P240" t="s">
        <v>778</v>
      </c>
      <c r="T240" t="s">
        <v>1718</v>
      </c>
      <c r="U240" t="s">
        <v>319</v>
      </c>
      <c r="V240" t="s">
        <v>3606</v>
      </c>
      <c r="AA240">
        <v>13</v>
      </c>
      <c r="AB240" s="31">
        <v>45821</v>
      </c>
      <c r="AC240" s="61">
        <v>0.46744212962962961</v>
      </c>
      <c r="AD240" t="s">
        <v>795</v>
      </c>
      <c r="AE240" s="31">
        <v>45834</v>
      </c>
      <c r="AF240" s="61">
        <v>0.66707175925925921</v>
      </c>
      <c r="AG240" t="s">
        <v>3463</v>
      </c>
      <c r="AJ240" t="s">
        <v>3960</v>
      </c>
      <c r="AR240">
        <v>1</v>
      </c>
    </row>
    <row r="241" spans="1:44" x14ac:dyDescent="0.3">
      <c r="A241" t="s">
        <v>31</v>
      </c>
      <c r="B241">
        <v>440</v>
      </c>
      <c r="C241">
        <v>212</v>
      </c>
      <c r="D241">
        <v>2205</v>
      </c>
      <c r="G241" t="s">
        <v>3964</v>
      </c>
      <c r="H241">
        <v>54984976000175</v>
      </c>
      <c r="I241" t="s">
        <v>3965</v>
      </c>
      <c r="J241" t="s">
        <v>3966</v>
      </c>
      <c r="K241" t="s">
        <v>3966</v>
      </c>
      <c r="L241" t="s">
        <v>3967</v>
      </c>
      <c r="N241" t="s">
        <v>3968</v>
      </c>
      <c r="P241" t="s">
        <v>3969</v>
      </c>
      <c r="Q241" t="s">
        <v>1094</v>
      </c>
      <c r="R241" t="s">
        <v>790</v>
      </c>
      <c r="T241" t="s">
        <v>1718</v>
      </c>
      <c r="U241" t="s">
        <v>319</v>
      </c>
      <c r="V241" t="s">
        <v>816</v>
      </c>
      <c r="X241">
        <v>420</v>
      </c>
      <c r="Y241">
        <v>3564</v>
      </c>
      <c r="AA241">
        <v>10</v>
      </c>
      <c r="AB241" s="31">
        <v>45821</v>
      </c>
      <c r="AC241" s="61">
        <v>0.48508101851851848</v>
      </c>
      <c r="AD241" t="s">
        <v>795</v>
      </c>
      <c r="AE241" s="31">
        <v>45831</v>
      </c>
      <c r="AF241" s="61">
        <v>0.39015046296296302</v>
      </c>
      <c r="AG241" t="s">
        <v>934</v>
      </c>
      <c r="AI241" t="s">
        <v>3960</v>
      </c>
      <c r="AJ241" t="s">
        <v>3960</v>
      </c>
      <c r="AR241">
        <v>1</v>
      </c>
    </row>
    <row r="242" spans="1:44" x14ac:dyDescent="0.3">
      <c r="A242" t="s">
        <v>31</v>
      </c>
      <c r="B242">
        <v>442</v>
      </c>
      <c r="C242">
        <v>85</v>
      </c>
      <c r="D242">
        <v>2207</v>
      </c>
      <c r="G242" t="s">
        <v>3970</v>
      </c>
      <c r="I242" t="s">
        <v>3261</v>
      </c>
      <c r="J242" t="s">
        <v>3971</v>
      </c>
      <c r="K242" t="s">
        <v>3971</v>
      </c>
      <c r="L242" t="s">
        <v>3972</v>
      </c>
      <c r="N242" t="s">
        <v>3263</v>
      </c>
      <c r="P242" t="s">
        <v>778</v>
      </c>
      <c r="Q242" t="s">
        <v>3264</v>
      </c>
      <c r="U242" t="s">
        <v>319</v>
      </c>
      <c r="V242" t="s">
        <v>3417</v>
      </c>
      <c r="X242">
        <v>420</v>
      </c>
      <c r="Y242">
        <v>3564</v>
      </c>
      <c r="AA242">
        <v>71</v>
      </c>
      <c r="AB242" s="31">
        <v>45824</v>
      </c>
      <c r="AC242" s="61">
        <v>0.40819444444444453</v>
      </c>
      <c r="AD242" t="s">
        <v>795</v>
      </c>
      <c r="AE242" s="31">
        <v>45895</v>
      </c>
      <c r="AF242" s="61">
        <v>0.62921296296296292</v>
      </c>
      <c r="AG242" t="s">
        <v>3463</v>
      </c>
      <c r="AI242" t="s">
        <v>1769</v>
      </c>
      <c r="AJ242" t="s">
        <v>3973</v>
      </c>
      <c r="AR242">
        <v>1</v>
      </c>
    </row>
    <row r="243" spans="1:44" x14ac:dyDescent="0.3">
      <c r="A243" t="s">
        <v>31</v>
      </c>
      <c r="B243">
        <v>443</v>
      </c>
      <c r="C243">
        <v>108</v>
      </c>
      <c r="D243">
        <v>2208</v>
      </c>
      <c r="G243" t="s">
        <v>3974</v>
      </c>
      <c r="I243" t="s">
        <v>3321</v>
      </c>
      <c r="J243" t="s">
        <v>3975</v>
      </c>
      <c r="K243" t="s">
        <v>3975</v>
      </c>
      <c r="N243" t="s">
        <v>3322</v>
      </c>
      <c r="P243" t="s">
        <v>778</v>
      </c>
      <c r="U243" t="s">
        <v>319</v>
      </c>
      <c r="V243" t="s">
        <v>3417</v>
      </c>
      <c r="X243">
        <v>420</v>
      </c>
      <c r="Y243">
        <v>3564</v>
      </c>
      <c r="AA243">
        <v>2</v>
      </c>
      <c r="AB243" s="31">
        <v>45824</v>
      </c>
      <c r="AC243" s="61">
        <v>0.47565972222222219</v>
      </c>
      <c r="AD243" t="s">
        <v>795</v>
      </c>
      <c r="AE243" s="31">
        <v>45826</v>
      </c>
      <c r="AF243" s="61">
        <v>0.72990740740740745</v>
      </c>
      <c r="AG243" t="s">
        <v>3463</v>
      </c>
      <c r="AI243" t="s">
        <v>3973</v>
      </c>
      <c r="AJ243" t="s">
        <v>3973</v>
      </c>
      <c r="AR243">
        <v>1</v>
      </c>
    </row>
    <row r="244" spans="1:44" x14ac:dyDescent="0.3">
      <c r="A244" t="s">
        <v>31</v>
      </c>
      <c r="B244">
        <v>444</v>
      </c>
      <c r="C244">
        <v>137</v>
      </c>
      <c r="D244">
        <v>2209</v>
      </c>
      <c r="G244" t="s">
        <v>3976</v>
      </c>
      <c r="I244" t="s">
        <v>116</v>
      </c>
      <c r="J244" t="s">
        <v>704</v>
      </c>
      <c r="K244" t="s">
        <v>704</v>
      </c>
      <c r="L244" t="s">
        <v>3703</v>
      </c>
      <c r="N244" t="s">
        <v>3386</v>
      </c>
      <c r="P244" t="s">
        <v>778</v>
      </c>
      <c r="U244" t="s">
        <v>319</v>
      </c>
      <c r="V244" t="s">
        <v>3417</v>
      </c>
      <c r="X244">
        <v>420</v>
      </c>
      <c r="Y244">
        <v>3564</v>
      </c>
      <c r="AA244">
        <v>9</v>
      </c>
      <c r="AB244" s="31">
        <v>45824</v>
      </c>
      <c r="AC244" s="61">
        <v>0.48714120370370367</v>
      </c>
      <c r="AD244" t="s">
        <v>795</v>
      </c>
      <c r="AE244" s="31">
        <v>45833</v>
      </c>
      <c r="AF244" s="61">
        <v>0.46094907407407409</v>
      </c>
      <c r="AG244" t="s">
        <v>934</v>
      </c>
      <c r="AI244" t="s">
        <v>3973</v>
      </c>
      <c r="AJ244" t="s">
        <v>3973</v>
      </c>
      <c r="AR244">
        <v>1</v>
      </c>
    </row>
    <row r="245" spans="1:44" x14ac:dyDescent="0.3">
      <c r="A245" t="s">
        <v>31</v>
      </c>
      <c r="B245">
        <v>445</v>
      </c>
      <c r="C245">
        <v>116</v>
      </c>
      <c r="D245">
        <v>2211</v>
      </c>
      <c r="G245" t="s">
        <v>3977</v>
      </c>
      <c r="I245" t="s">
        <v>3335</v>
      </c>
      <c r="J245" t="s">
        <v>3978</v>
      </c>
      <c r="K245" t="s">
        <v>3978</v>
      </c>
      <c r="L245" t="s">
        <v>3979</v>
      </c>
      <c r="N245" t="s">
        <v>3337</v>
      </c>
      <c r="P245" t="s">
        <v>778</v>
      </c>
      <c r="Q245" t="s">
        <v>3338</v>
      </c>
      <c r="R245" t="s">
        <v>3339</v>
      </c>
      <c r="U245" t="s">
        <v>319</v>
      </c>
      <c r="V245" t="s">
        <v>816</v>
      </c>
      <c r="X245">
        <v>420</v>
      </c>
      <c r="Y245">
        <v>3564</v>
      </c>
      <c r="AA245">
        <v>39</v>
      </c>
      <c r="AB245" s="31">
        <v>45824</v>
      </c>
      <c r="AC245" s="61">
        <v>0.61697916666666663</v>
      </c>
      <c r="AD245" t="s">
        <v>795</v>
      </c>
      <c r="AE245" s="31">
        <v>45863</v>
      </c>
      <c r="AF245" s="61">
        <v>0.61900462962962965</v>
      </c>
      <c r="AG245" t="s">
        <v>934</v>
      </c>
      <c r="AI245" t="s">
        <v>3973</v>
      </c>
      <c r="AJ245" t="s">
        <v>3973</v>
      </c>
      <c r="AR245">
        <v>1</v>
      </c>
    </row>
    <row r="246" spans="1:44" x14ac:dyDescent="0.3">
      <c r="A246" t="s">
        <v>31</v>
      </c>
      <c r="B246">
        <v>446</v>
      </c>
      <c r="C246">
        <v>112</v>
      </c>
      <c r="D246">
        <v>2212</v>
      </c>
      <c r="G246" t="s">
        <v>3980</v>
      </c>
      <c r="I246" t="s">
        <v>3327</v>
      </c>
      <c r="J246" t="s">
        <v>3764</v>
      </c>
      <c r="K246" t="s">
        <v>3764</v>
      </c>
      <c r="N246" t="s">
        <v>3328</v>
      </c>
      <c r="P246" t="s">
        <v>778</v>
      </c>
      <c r="U246" t="s">
        <v>319</v>
      </c>
      <c r="V246" t="s">
        <v>816</v>
      </c>
      <c r="X246">
        <v>420</v>
      </c>
      <c r="Y246">
        <v>3564</v>
      </c>
      <c r="AA246">
        <v>2</v>
      </c>
      <c r="AB246" s="31">
        <v>45824</v>
      </c>
      <c r="AC246" s="61">
        <v>0.64842592592592596</v>
      </c>
      <c r="AD246" t="s">
        <v>795</v>
      </c>
      <c r="AE246" s="31">
        <v>45826</v>
      </c>
      <c r="AF246" s="61">
        <v>0.39716435185185178</v>
      </c>
      <c r="AG246" t="s">
        <v>3463</v>
      </c>
      <c r="AI246" t="s">
        <v>3973</v>
      </c>
      <c r="AJ246" t="s">
        <v>3973</v>
      </c>
      <c r="AR246">
        <v>1</v>
      </c>
    </row>
    <row r="247" spans="1:44" x14ac:dyDescent="0.3">
      <c r="A247" t="s">
        <v>31</v>
      </c>
      <c r="B247">
        <v>448</v>
      </c>
      <c r="C247">
        <v>153</v>
      </c>
      <c r="D247">
        <v>2214</v>
      </c>
      <c r="G247" t="s">
        <v>3981</v>
      </c>
      <c r="I247" t="s">
        <v>3451</v>
      </c>
      <c r="J247" t="s">
        <v>3982</v>
      </c>
      <c r="K247" t="s">
        <v>3982</v>
      </c>
      <c r="L247" t="s">
        <v>3983</v>
      </c>
      <c r="N247" t="s">
        <v>3454</v>
      </c>
      <c r="P247" t="s">
        <v>778</v>
      </c>
      <c r="U247" t="s">
        <v>319</v>
      </c>
      <c r="V247" t="s">
        <v>816</v>
      </c>
      <c r="X247">
        <v>420</v>
      </c>
      <c r="Y247">
        <v>3564</v>
      </c>
      <c r="AA247">
        <v>10</v>
      </c>
      <c r="AB247" s="31">
        <v>45824</v>
      </c>
      <c r="AC247" s="61">
        <v>0.73062499999999997</v>
      </c>
      <c r="AD247" t="s">
        <v>795</v>
      </c>
      <c r="AE247" s="31">
        <v>45834</v>
      </c>
      <c r="AF247" s="61">
        <v>0.48526620370370371</v>
      </c>
      <c r="AG247" t="s">
        <v>934</v>
      </c>
      <c r="AI247" t="s">
        <v>3973</v>
      </c>
      <c r="AJ247" t="s">
        <v>3973</v>
      </c>
      <c r="AR247">
        <v>1</v>
      </c>
    </row>
    <row r="248" spans="1:44" x14ac:dyDescent="0.3">
      <c r="A248" t="s">
        <v>31</v>
      </c>
      <c r="B248">
        <v>449</v>
      </c>
      <c r="C248">
        <v>134</v>
      </c>
      <c r="D248">
        <v>2215</v>
      </c>
      <c r="G248" t="s">
        <v>3984</v>
      </c>
      <c r="I248" t="s">
        <v>3377</v>
      </c>
      <c r="J248" t="s">
        <v>3985</v>
      </c>
      <c r="K248" t="s">
        <v>3985</v>
      </c>
      <c r="L248" t="s">
        <v>3830</v>
      </c>
      <c r="N248" t="s">
        <v>3379</v>
      </c>
      <c r="P248" t="s">
        <v>778</v>
      </c>
      <c r="U248" t="s">
        <v>319</v>
      </c>
      <c r="V248" t="s">
        <v>816</v>
      </c>
      <c r="X248">
        <v>1680</v>
      </c>
      <c r="Y248">
        <v>0</v>
      </c>
      <c r="AA248">
        <v>0</v>
      </c>
      <c r="AB248" s="31">
        <v>45826</v>
      </c>
      <c r="AC248" s="61">
        <v>0.39401620370370372</v>
      </c>
      <c r="AD248" t="s">
        <v>818</v>
      </c>
      <c r="AE248" s="31">
        <v>45826</v>
      </c>
      <c r="AF248" s="61">
        <v>0.39494212962962971</v>
      </c>
      <c r="AI248" t="s">
        <v>3986</v>
      </c>
      <c r="AR248">
        <v>1</v>
      </c>
    </row>
    <row r="249" spans="1:44" x14ac:dyDescent="0.3">
      <c r="A249" t="s">
        <v>31</v>
      </c>
      <c r="B249">
        <v>452</v>
      </c>
      <c r="C249">
        <v>134</v>
      </c>
      <c r="D249">
        <v>2215</v>
      </c>
      <c r="G249" t="s">
        <v>3987</v>
      </c>
      <c r="I249" t="s">
        <v>3377</v>
      </c>
      <c r="J249" t="s">
        <v>3985</v>
      </c>
      <c r="K249" t="s">
        <v>3985</v>
      </c>
      <c r="L249" t="s">
        <v>3830</v>
      </c>
      <c r="N249" t="s">
        <v>3379</v>
      </c>
      <c r="P249" t="s">
        <v>778</v>
      </c>
      <c r="U249" t="s">
        <v>319</v>
      </c>
      <c r="V249" t="s">
        <v>3409</v>
      </c>
      <c r="AA249">
        <v>8</v>
      </c>
      <c r="AB249" s="31">
        <v>45826</v>
      </c>
      <c r="AC249" s="61">
        <v>0.69927083333333329</v>
      </c>
      <c r="AD249" t="s">
        <v>795</v>
      </c>
      <c r="AE249" s="31">
        <v>45834</v>
      </c>
      <c r="AF249" s="61">
        <v>0.66675925925925927</v>
      </c>
      <c r="AG249" t="s">
        <v>3463</v>
      </c>
      <c r="AI249" t="s">
        <v>3986</v>
      </c>
      <c r="AJ249" t="s">
        <v>3986</v>
      </c>
      <c r="AR249">
        <v>1</v>
      </c>
    </row>
    <row r="250" spans="1:44" x14ac:dyDescent="0.3">
      <c r="A250" t="s">
        <v>31</v>
      </c>
      <c r="B250">
        <v>454</v>
      </c>
      <c r="C250">
        <v>170</v>
      </c>
      <c r="D250">
        <v>2220</v>
      </c>
      <c r="G250" t="s">
        <v>3988</v>
      </c>
      <c r="H250">
        <v>4150555001304</v>
      </c>
      <c r="I250" t="s">
        <v>3477</v>
      </c>
      <c r="J250" t="s">
        <v>3478</v>
      </c>
      <c r="K250" t="s">
        <v>3478</v>
      </c>
      <c r="L250" t="s">
        <v>3569</v>
      </c>
      <c r="N250" t="s">
        <v>3480</v>
      </c>
      <c r="P250" t="s">
        <v>3481</v>
      </c>
      <c r="Q250" t="s">
        <v>3482</v>
      </c>
      <c r="R250" t="s">
        <v>1699</v>
      </c>
      <c r="U250" t="s">
        <v>319</v>
      </c>
      <c r="V250" t="s">
        <v>816</v>
      </c>
      <c r="X250">
        <v>13000</v>
      </c>
      <c r="Y250">
        <v>64152</v>
      </c>
      <c r="AA250">
        <v>44</v>
      </c>
      <c r="AB250" s="31">
        <v>45832</v>
      </c>
      <c r="AC250" s="61">
        <v>0.41875000000000001</v>
      </c>
      <c r="AD250" t="s">
        <v>795</v>
      </c>
      <c r="AE250" s="31">
        <v>45876</v>
      </c>
      <c r="AF250" s="61">
        <v>0.48769675925925932</v>
      </c>
      <c r="AG250" t="s">
        <v>934</v>
      </c>
      <c r="AI250" t="s">
        <v>3989</v>
      </c>
      <c r="AJ250" t="s">
        <v>3989</v>
      </c>
      <c r="AR250">
        <v>1</v>
      </c>
    </row>
    <row r="251" spans="1:44" x14ac:dyDescent="0.3">
      <c r="A251" t="s">
        <v>31</v>
      </c>
      <c r="B251">
        <v>458</v>
      </c>
      <c r="C251">
        <v>170</v>
      </c>
      <c r="D251">
        <v>2233</v>
      </c>
      <c r="G251" t="s">
        <v>460</v>
      </c>
      <c r="H251">
        <v>4150555001304</v>
      </c>
      <c r="I251" t="s">
        <v>3477</v>
      </c>
      <c r="J251" t="s">
        <v>3478</v>
      </c>
      <c r="K251" t="s">
        <v>3478</v>
      </c>
      <c r="L251" t="s">
        <v>3569</v>
      </c>
      <c r="N251" t="s">
        <v>3480</v>
      </c>
      <c r="P251" t="s">
        <v>3481</v>
      </c>
      <c r="Q251" t="s">
        <v>3482</v>
      </c>
      <c r="R251" t="s">
        <v>1699</v>
      </c>
      <c r="U251" t="s">
        <v>319</v>
      </c>
      <c r="V251" t="s">
        <v>816</v>
      </c>
      <c r="X251">
        <v>838821</v>
      </c>
      <c r="Y251">
        <v>0</v>
      </c>
      <c r="AA251">
        <v>64</v>
      </c>
      <c r="AB251" s="31">
        <v>45832</v>
      </c>
      <c r="AC251" s="61">
        <v>0.64075231481481476</v>
      </c>
      <c r="AD251" t="s">
        <v>795</v>
      </c>
      <c r="AE251" s="31">
        <v>45896</v>
      </c>
      <c r="AF251" s="61">
        <v>0.65649305555555559</v>
      </c>
      <c r="AG251" t="s">
        <v>3463</v>
      </c>
      <c r="AI251" t="s">
        <v>3990</v>
      </c>
      <c r="AR251">
        <v>1</v>
      </c>
    </row>
    <row r="252" spans="1:44" x14ac:dyDescent="0.3">
      <c r="A252" t="s">
        <v>31</v>
      </c>
      <c r="B252">
        <v>459</v>
      </c>
      <c r="C252">
        <v>183</v>
      </c>
      <c r="D252">
        <v>2234</v>
      </c>
      <c r="G252" t="s">
        <v>3991</v>
      </c>
      <c r="H252">
        <v>3204281000192</v>
      </c>
      <c r="I252" t="s">
        <v>3594</v>
      </c>
      <c r="J252" t="s">
        <v>3595</v>
      </c>
      <c r="K252" t="s">
        <v>3595</v>
      </c>
      <c r="L252" t="s">
        <v>3596</v>
      </c>
      <c r="N252" t="s">
        <v>2617</v>
      </c>
      <c r="P252" t="s">
        <v>3597</v>
      </c>
      <c r="Q252" t="s">
        <v>2618</v>
      </c>
      <c r="R252" t="s">
        <v>790</v>
      </c>
      <c r="U252" t="s">
        <v>319</v>
      </c>
      <c r="V252" t="s">
        <v>3417</v>
      </c>
      <c r="X252">
        <v>420</v>
      </c>
      <c r="Y252">
        <v>3564</v>
      </c>
      <c r="AA252">
        <v>45</v>
      </c>
      <c r="AB252" s="31">
        <v>45832</v>
      </c>
      <c r="AC252" s="61">
        <v>0.65225694444444449</v>
      </c>
      <c r="AD252" t="s">
        <v>795</v>
      </c>
      <c r="AE252" s="31">
        <v>45877</v>
      </c>
      <c r="AF252" s="61">
        <v>0.42207175925925933</v>
      </c>
      <c r="AG252" t="s">
        <v>934</v>
      </c>
      <c r="AI252" t="s">
        <v>3989</v>
      </c>
      <c r="AJ252" t="s">
        <v>3989</v>
      </c>
      <c r="AR252">
        <v>1</v>
      </c>
    </row>
    <row r="253" spans="1:44" x14ac:dyDescent="0.3">
      <c r="A253" t="s">
        <v>31</v>
      </c>
      <c r="B253">
        <v>460</v>
      </c>
      <c r="C253">
        <v>88</v>
      </c>
      <c r="D253">
        <v>2235</v>
      </c>
      <c r="G253" t="s">
        <v>3992</v>
      </c>
      <c r="I253" t="s">
        <v>660</v>
      </c>
      <c r="J253" t="s">
        <v>1133</v>
      </c>
      <c r="K253" t="s">
        <v>1133</v>
      </c>
      <c r="L253" t="s">
        <v>3993</v>
      </c>
      <c r="N253" t="s">
        <v>3273</v>
      </c>
      <c r="P253" t="s">
        <v>778</v>
      </c>
      <c r="Q253" t="s">
        <v>3274</v>
      </c>
      <c r="R253" t="s">
        <v>932</v>
      </c>
      <c r="U253" t="s">
        <v>319</v>
      </c>
      <c r="V253" t="s">
        <v>816</v>
      </c>
      <c r="X253">
        <v>2100</v>
      </c>
      <c r="Y253">
        <v>0</v>
      </c>
      <c r="AA253">
        <v>0</v>
      </c>
      <c r="AB253" s="31">
        <v>45832</v>
      </c>
      <c r="AC253" s="61">
        <v>0.67142361111111115</v>
      </c>
      <c r="AD253" t="s">
        <v>818</v>
      </c>
      <c r="AE253" s="31">
        <v>45832</v>
      </c>
      <c r="AF253" s="61">
        <v>0.67877314814814815</v>
      </c>
      <c r="AI253" t="s">
        <v>3990</v>
      </c>
      <c r="AR253">
        <v>1</v>
      </c>
    </row>
    <row r="254" spans="1:44" x14ac:dyDescent="0.3">
      <c r="A254" t="s">
        <v>31</v>
      </c>
      <c r="B254">
        <v>461</v>
      </c>
      <c r="C254">
        <v>174</v>
      </c>
      <c r="D254">
        <v>2236</v>
      </c>
      <c r="G254" t="s">
        <v>3994</v>
      </c>
      <c r="H254">
        <v>45238441000164</v>
      </c>
      <c r="I254" t="s">
        <v>3507</v>
      </c>
      <c r="J254" t="s">
        <v>3995</v>
      </c>
      <c r="K254" t="s">
        <v>3995</v>
      </c>
      <c r="L254" t="s">
        <v>3509</v>
      </c>
      <c r="M254">
        <v>11973359869</v>
      </c>
      <c r="N254" t="s">
        <v>3510</v>
      </c>
      <c r="P254" t="s">
        <v>3511</v>
      </c>
      <c r="Q254" t="s">
        <v>1094</v>
      </c>
      <c r="R254" t="s">
        <v>790</v>
      </c>
      <c r="U254" t="s">
        <v>319</v>
      </c>
      <c r="V254" t="s">
        <v>816</v>
      </c>
      <c r="X254">
        <v>116661</v>
      </c>
      <c r="Y254">
        <v>0</v>
      </c>
      <c r="AA254">
        <v>0</v>
      </c>
      <c r="AB254" s="31">
        <v>45832</v>
      </c>
      <c r="AC254" s="61">
        <v>0.6791666666666667</v>
      </c>
      <c r="AD254" t="s">
        <v>818</v>
      </c>
      <c r="AE254" s="31">
        <v>45832</v>
      </c>
      <c r="AF254" s="61">
        <v>0.68104166666666666</v>
      </c>
      <c r="AI254" t="s">
        <v>3990</v>
      </c>
      <c r="AR254">
        <v>1</v>
      </c>
    </row>
    <row r="255" spans="1:44" x14ac:dyDescent="0.3">
      <c r="A255" t="s">
        <v>31</v>
      </c>
      <c r="B255">
        <v>464</v>
      </c>
      <c r="C255">
        <v>206</v>
      </c>
      <c r="D255">
        <v>2241</v>
      </c>
      <c r="G255" t="s">
        <v>3996</v>
      </c>
      <c r="H255">
        <v>37075503000136</v>
      </c>
      <c r="I255" t="s">
        <v>3826</v>
      </c>
      <c r="J255" t="s">
        <v>1474</v>
      </c>
      <c r="K255" t="s">
        <v>1474</v>
      </c>
      <c r="L255" t="s">
        <v>1475</v>
      </c>
      <c r="N255" t="s">
        <v>1476</v>
      </c>
      <c r="P255" t="s">
        <v>3827</v>
      </c>
      <c r="Q255" t="s">
        <v>1477</v>
      </c>
      <c r="R255" t="s">
        <v>932</v>
      </c>
      <c r="U255" t="s">
        <v>319</v>
      </c>
      <c r="V255" t="s">
        <v>3417</v>
      </c>
      <c r="AA255">
        <v>30</v>
      </c>
      <c r="AB255" s="31">
        <v>45833</v>
      </c>
      <c r="AC255" s="61">
        <v>0.45314814814814808</v>
      </c>
      <c r="AD255" t="s">
        <v>795</v>
      </c>
      <c r="AE255" s="31">
        <v>45863</v>
      </c>
      <c r="AF255" s="61">
        <v>0.4473611111111111</v>
      </c>
      <c r="AG255" t="s">
        <v>3463</v>
      </c>
      <c r="AI255" t="s">
        <v>3997</v>
      </c>
      <c r="AR255">
        <v>1</v>
      </c>
    </row>
    <row r="256" spans="1:44" x14ac:dyDescent="0.3">
      <c r="A256" t="s">
        <v>31</v>
      </c>
      <c r="B256">
        <v>465</v>
      </c>
      <c r="C256">
        <v>169</v>
      </c>
      <c r="D256">
        <v>2242</v>
      </c>
      <c r="G256" t="s">
        <v>3998</v>
      </c>
      <c r="H256">
        <v>11458315000101</v>
      </c>
      <c r="I256" t="s">
        <v>3465</v>
      </c>
      <c r="J256" t="s">
        <v>707</v>
      </c>
      <c r="K256" t="s">
        <v>707</v>
      </c>
      <c r="L256" t="s">
        <v>3467</v>
      </c>
      <c r="N256" t="s">
        <v>3468</v>
      </c>
      <c r="P256" t="s">
        <v>3469</v>
      </c>
      <c r="Q256" t="s">
        <v>3470</v>
      </c>
      <c r="R256" t="s">
        <v>790</v>
      </c>
      <c r="U256" t="s">
        <v>319</v>
      </c>
      <c r="V256" t="s">
        <v>816</v>
      </c>
      <c r="X256">
        <v>1701</v>
      </c>
      <c r="Y256">
        <v>32076</v>
      </c>
      <c r="AA256">
        <v>44</v>
      </c>
      <c r="AB256" s="31">
        <v>45833</v>
      </c>
      <c r="AC256" s="61">
        <v>0.50416666666666665</v>
      </c>
      <c r="AD256" t="s">
        <v>818</v>
      </c>
      <c r="AE256" s="31">
        <v>45877</v>
      </c>
      <c r="AF256" s="61">
        <v>0.60512731481481485</v>
      </c>
      <c r="AI256" t="s">
        <v>3997</v>
      </c>
      <c r="AJ256" t="s">
        <v>3999</v>
      </c>
      <c r="AR256">
        <v>1</v>
      </c>
    </row>
    <row r="257" spans="1:44" x14ac:dyDescent="0.3">
      <c r="A257" t="s">
        <v>31</v>
      </c>
      <c r="B257">
        <v>471</v>
      </c>
      <c r="C257">
        <v>133</v>
      </c>
      <c r="D257">
        <v>2279</v>
      </c>
      <c r="G257" t="s">
        <v>4000</v>
      </c>
      <c r="I257" t="s">
        <v>625</v>
      </c>
      <c r="J257" t="s">
        <v>3899</v>
      </c>
      <c r="K257" t="s">
        <v>3899</v>
      </c>
      <c r="L257" t="s">
        <v>3584</v>
      </c>
      <c r="N257" t="s">
        <v>2207</v>
      </c>
      <c r="P257" t="s">
        <v>778</v>
      </c>
      <c r="U257" t="s">
        <v>319</v>
      </c>
      <c r="V257" t="s">
        <v>3417</v>
      </c>
      <c r="X257">
        <v>840</v>
      </c>
      <c r="Y257">
        <v>0</v>
      </c>
      <c r="AA257">
        <v>63</v>
      </c>
      <c r="AB257" s="31">
        <v>45838</v>
      </c>
      <c r="AC257" s="61">
        <v>0.64850694444444446</v>
      </c>
      <c r="AD257" t="s">
        <v>795</v>
      </c>
      <c r="AE257" s="31">
        <v>45901</v>
      </c>
      <c r="AF257" s="61">
        <v>0.49880787037037039</v>
      </c>
      <c r="AG257" t="s">
        <v>796</v>
      </c>
      <c r="AI257" t="s">
        <v>1901</v>
      </c>
      <c r="AR257">
        <v>1</v>
      </c>
    </row>
    <row r="258" spans="1:44" x14ac:dyDescent="0.3">
      <c r="A258" t="s">
        <v>31</v>
      </c>
      <c r="B258">
        <v>472</v>
      </c>
      <c r="C258">
        <v>206</v>
      </c>
      <c r="D258">
        <v>2280</v>
      </c>
      <c r="G258" t="s">
        <v>4001</v>
      </c>
      <c r="H258">
        <v>37075503000136</v>
      </c>
      <c r="I258" t="s">
        <v>3826</v>
      </c>
      <c r="J258" t="s">
        <v>1474</v>
      </c>
      <c r="K258" t="s">
        <v>1474</v>
      </c>
      <c r="L258" t="s">
        <v>1475</v>
      </c>
      <c r="N258" t="s">
        <v>1476</v>
      </c>
      <c r="P258" t="s">
        <v>3827</v>
      </c>
      <c r="Q258" t="s">
        <v>1477</v>
      </c>
      <c r="R258" t="s">
        <v>932</v>
      </c>
      <c r="U258" t="s">
        <v>319</v>
      </c>
      <c r="V258" t="s">
        <v>816</v>
      </c>
      <c r="X258">
        <v>0</v>
      </c>
      <c r="Y258">
        <v>264</v>
      </c>
      <c r="AA258">
        <v>1</v>
      </c>
      <c r="AB258" s="31">
        <v>45838</v>
      </c>
      <c r="AC258" s="61">
        <v>0.67339120370370376</v>
      </c>
      <c r="AD258" t="s">
        <v>818</v>
      </c>
      <c r="AE258" s="31">
        <v>45839</v>
      </c>
      <c r="AF258" s="61">
        <v>0.64826388888888886</v>
      </c>
      <c r="AI258" t="s">
        <v>1866</v>
      </c>
      <c r="AJ258" t="s">
        <v>1866</v>
      </c>
      <c r="AR258">
        <v>1</v>
      </c>
    </row>
    <row r="259" spans="1:44" x14ac:dyDescent="0.3">
      <c r="A259" t="s">
        <v>31</v>
      </c>
      <c r="B259">
        <v>473</v>
      </c>
      <c r="C259">
        <v>154</v>
      </c>
      <c r="D259">
        <v>2296</v>
      </c>
      <c r="G259" t="s">
        <v>4002</v>
      </c>
      <c r="H259">
        <v>790751000159</v>
      </c>
      <c r="I259" t="s">
        <v>3456</v>
      </c>
      <c r="J259" t="s">
        <v>4003</v>
      </c>
      <c r="K259" t="s">
        <v>4003</v>
      </c>
      <c r="L259" t="s">
        <v>3580</v>
      </c>
      <c r="N259" t="s">
        <v>3459</v>
      </c>
      <c r="P259" t="s">
        <v>778</v>
      </c>
      <c r="U259" t="s">
        <v>319</v>
      </c>
      <c r="V259" t="s">
        <v>781</v>
      </c>
      <c r="AA259">
        <v>59</v>
      </c>
      <c r="AB259" s="31">
        <v>45839</v>
      </c>
      <c r="AC259" s="61">
        <v>0.65577546296296296</v>
      </c>
      <c r="AD259" t="s">
        <v>795</v>
      </c>
      <c r="AE259" s="31">
        <v>45898</v>
      </c>
      <c r="AF259" s="61">
        <v>0.68674768518518514</v>
      </c>
      <c r="AG259" t="s">
        <v>3463</v>
      </c>
      <c r="AR259">
        <v>1</v>
      </c>
    </row>
    <row r="260" spans="1:44" x14ac:dyDescent="0.3">
      <c r="A260" t="s">
        <v>31</v>
      </c>
      <c r="B260">
        <v>474</v>
      </c>
      <c r="C260">
        <v>203</v>
      </c>
      <c r="D260">
        <v>2298</v>
      </c>
      <c r="G260" t="s">
        <v>4004</v>
      </c>
      <c r="H260">
        <v>11806036000183</v>
      </c>
      <c r="I260" t="s">
        <v>3791</v>
      </c>
      <c r="J260" t="s">
        <v>2600</v>
      </c>
      <c r="K260" t="s">
        <v>2600</v>
      </c>
      <c r="L260" t="s">
        <v>3792</v>
      </c>
      <c r="N260" t="s">
        <v>3793</v>
      </c>
      <c r="P260" t="s">
        <v>3794</v>
      </c>
      <c r="Q260" t="s">
        <v>3636</v>
      </c>
      <c r="R260" t="s">
        <v>1699</v>
      </c>
      <c r="U260" t="s">
        <v>319</v>
      </c>
      <c r="V260" t="s">
        <v>3417</v>
      </c>
      <c r="AA260">
        <v>13</v>
      </c>
      <c r="AB260" s="31">
        <v>45841</v>
      </c>
      <c r="AC260" s="61">
        <v>0.67476851851851849</v>
      </c>
      <c r="AD260" t="s">
        <v>795</v>
      </c>
      <c r="AE260" s="31">
        <v>45854</v>
      </c>
      <c r="AF260" s="61">
        <v>0.45506944444444453</v>
      </c>
      <c r="AG260" t="s">
        <v>1358</v>
      </c>
      <c r="AI260" t="s">
        <v>1878</v>
      </c>
      <c r="AJ260" t="s">
        <v>4005</v>
      </c>
      <c r="AR260">
        <v>1</v>
      </c>
    </row>
    <row r="261" spans="1:44" x14ac:dyDescent="0.3">
      <c r="A261" t="s">
        <v>31</v>
      </c>
      <c r="B261">
        <v>476</v>
      </c>
      <c r="D261">
        <v>2323</v>
      </c>
      <c r="G261" t="s">
        <v>4006</v>
      </c>
      <c r="H261">
        <v>16939440000149</v>
      </c>
      <c r="J261" t="s">
        <v>4007</v>
      </c>
      <c r="K261" t="s">
        <v>4007</v>
      </c>
      <c r="L261" t="s">
        <v>3779</v>
      </c>
      <c r="N261" t="s">
        <v>3780</v>
      </c>
      <c r="P261" t="s">
        <v>778</v>
      </c>
      <c r="U261" t="s">
        <v>319</v>
      </c>
      <c r="V261" t="s">
        <v>816</v>
      </c>
      <c r="X261">
        <v>2880</v>
      </c>
      <c r="Y261">
        <v>0</v>
      </c>
      <c r="AA261">
        <v>0</v>
      </c>
      <c r="AB261" s="31">
        <v>45845</v>
      </c>
      <c r="AC261" s="61">
        <v>0.71598379629629627</v>
      </c>
      <c r="AD261" t="s">
        <v>818</v>
      </c>
      <c r="AE261" s="31">
        <v>45845</v>
      </c>
      <c r="AF261" s="61">
        <v>0.71729166666666666</v>
      </c>
      <c r="AI261" t="s">
        <v>4008</v>
      </c>
      <c r="AJ261" t="s">
        <v>4008</v>
      </c>
      <c r="AR261">
        <v>1</v>
      </c>
    </row>
    <row r="262" spans="1:44" x14ac:dyDescent="0.3">
      <c r="A262" t="s">
        <v>31</v>
      </c>
      <c r="B262">
        <v>477</v>
      </c>
      <c r="C262">
        <v>202</v>
      </c>
      <c r="D262">
        <v>2325</v>
      </c>
      <c r="G262" t="s">
        <v>4009</v>
      </c>
      <c r="H262">
        <v>16939440000149</v>
      </c>
      <c r="I262" t="s">
        <v>3778</v>
      </c>
      <c r="J262" t="s">
        <v>4007</v>
      </c>
      <c r="K262" t="s">
        <v>4007</v>
      </c>
      <c r="L262" t="s">
        <v>3779</v>
      </c>
      <c r="N262" t="s">
        <v>3780</v>
      </c>
      <c r="P262" t="s">
        <v>3781</v>
      </c>
      <c r="Q262" t="s">
        <v>3782</v>
      </c>
      <c r="R262" t="s">
        <v>790</v>
      </c>
      <c r="U262" t="s">
        <v>319</v>
      </c>
      <c r="V262" t="s">
        <v>816</v>
      </c>
      <c r="X262">
        <v>1440</v>
      </c>
      <c r="Y262">
        <v>0</v>
      </c>
      <c r="AA262">
        <v>0</v>
      </c>
      <c r="AB262" s="31">
        <v>45845</v>
      </c>
      <c r="AC262" s="61">
        <v>0.73579861111111111</v>
      </c>
      <c r="AD262" t="s">
        <v>818</v>
      </c>
      <c r="AE262" s="31">
        <v>45845</v>
      </c>
      <c r="AF262" s="61">
        <v>0.73719907407407403</v>
      </c>
      <c r="AI262" t="s">
        <v>4008</v>
      </c>
      <c r="AR262">
        <v>1</v>
      </c>
    </row>
    <row r="263" spans="1:44" x14ac:dyDescent="0.3">
      <c r="A263" t="s">
        <v>31</v>
      </c>
      <c r="B263">
        <v>478</v>
      </c>
      <c r="D263">
        <v>2326</v>
      </c>
      <c r="G263" t="s">
        <v>4010</v>
      </c>
      <c r="H263">
        <v>21922850000117</v>
      </c>
      <c r="J263" t="s">
        <v>4011</v>
      </c>
      <c r="K263" t="s">
        <v>4011</v>
      </c>
      <c r="L263" t="s">
        <v>4012</v>
      </c>
      <c r="P263" t="s">
        <v>778</v>
      </c>
      <c r="U263" t="s">
        <v>319</v>
      </c>
      <c r="V263" t="s">
        <v>816</v>
      </c>
      <c r="X263">
        <v>275352</v>
      </c>
      <c r="Y263">
        <v>0</v>
      </c>
      <c r="AA263">
        <v>0</v>
      </c>
      <c r="AB263" s="31">
        <v>45846</v>
      </c>
      <c r="AC263" s="61">
        <v>0.71418981481481481</v>
      </c>
      <c r="AD263" t="s">
        <v>818</v>
      </c>
      <c r="AE263" s="31">
        <v>45846</v>
      </c>
      <c r="AF263" s="61">
        <v>0.71649305555555554</v>
      </c>
      <c r="AI263" t="s">
        <v>4013</v>
      </c>
      <c r="AJ263" t="s">
        <v>4013</v>
      </c>
      <c r="AR263">
        <v>1</v>
      </c>
    </row>
    <row r="264" spans="1:44" x14ac:dyDescent="0.3">
      <c r="A264" t="s">
        <v>31</v>
      </c>
      <c r="B264">
        <v>479</v>
      </c>
      <c r="C264">
        <v>187</v>
      </c>
      <c r="D264">
        <v>2330</v>
      </c>
      <c r="G264" t="s">
        <v>439</v>
      </c>
      <c r="H264">
        <v>17063632000105</v>
      </c>
      <c r="I264" t="s">
        <v>3631</v>
      </c>
      <c r="J264" t="s">
        <v>4014</v>
      </c>
      <c r="K264" t="s">
        <v>4014</v>
      </c>
      <c r="L264" t="s">
        <v>3633</v>
      </c>
      <c r="N264" t="s">
        <v>3634</v>
      </c>
      <c r="P264" t="s">
        <v>3635</v>
      </c>
      <c r="Q264" t="s">
        <v>3636</v>
      </c>
      <c r="R264" t="s">
        <v>1699</v>
      </c>
      <c r="U264" t="s">
        <v>319</v>
      </c>
      <c r="V264" t="s">
        <v>816</v>
      </c>
      <c r="X264">
        <v>41275</v>
      </c>
      <c r="Y264">
        <v>0</v>
      </c>
      <c r="AA264">
        <v>2</v>
      </c>
      <c r="AB264" s="31">
        <v>45846</v>
      </c>
      <c r="AC264" s="61">
        <v>0.71885416666666668</v>
      </c>
      <c r="AD264" t="s">
        <v>818</v>
      </c>
      <c r="AE264" s="31">
        <v>45848</v>
      </c>
      <c r="AF264" s="61">
        <v>0.4230902777777778</v>
      </c>
      <c r="AI264" t="s">
        <v>4013</v>
      </c>
      <c r="AR264">
        <v>1</v>
      </c>
    </row>
    <row r="265" spans="1:44" x14ac:dyDescent="0.3">
      <c r="A265" t="s">
        <v>31</v>
      </c>
      <c r="B265">
        <v>480</v>
      </c>
      <c r="D265">
        <v>2331</v>
      </c>
      <c r="G265" t="s">
        <v>4015</v>
      </c>
      <c r="H265">
        <v>21922850000117</v>
      </c>
      <c r="J265" t="s">
        <v>4016</v>
      </c>
      <c r="K265" t="s">
        <v>4016</v>
      </c>
      <c r="L265" t="s">
        <v>4012</v>
      </c>
      <c r="P265" t="s">
        <v>778</v>
      </c>
      <c r="U265" t="s">
        <v>319</v>
      </c>
      <c r="V265" t="s">
        <v>816</v>
      </c>
      <c r="X265">
        <v>25200</v>
      </c>
      <c r="Y265">
        <v>68904</v>
      </c>
      <c r="AA265">
        <v>27</v>
      </c>
      <c r="AB265" s="31">
        <v>45846</v>
      </c>
      <c r="AC265" s="61">
        <v>0.71953703703703709</v>
      </c>
      <c r="AD265" t="s">
        <v>795</v>
      </c>
      <c r="AE265" s="31">
        <v>45873</v>
      </c>
      <c r="AF265" s="61">
        <v>0.4752777777777778</v>
      </c>
      <c r="AG265" t="s">
        <v>1358</v>
      </c>
      <c r="AI265" t="s">
        <v>4013</v>
      </c>
      <c r="AJ265" t="s">
        <v>4017</v>
      </c>
      <c r="AR265">
        <v>1</v>
      </c>
    </row>
    <row r="266" spans="1:44" x14ac:dyDescent="0.3">
      <c r="A266" t="s">
        <v>31</v>
      </c>
      <c r="B266">
        <v>481</v>
      </c>
      <c r="C266">
        <v>152</v>
      </c>
      <c r="D266">
        <v>2337</v>
      </c>
      <c r="G266" t="s">
        <v>4018</v>
      </c>
      <c r="I266" t="s">
        <v>3445</v>
      </c>
      <c r="J266" t="s">
        <v>3620</v>
      </c>
      <c r="K266" t="s">
        <v>3620</v>
      </c>
      <c r="L266" t="s">
        <v>3621</v>
      </c>
      <c r="N266" t="s">
        <v>3448</v>
      </c>
      <c r="P266" t="s">
        <v>778</v>
      </c>
      <c r="U266" t="s">
        <v>319</v>
      </c>
      <c r="V266" t="s">
        <v>3409</v>
      </c>
      <c r="AA266">
        <v>81</v>
      </c>
      <c r="AB266" s="31">
        <v>45849</v>
      </c>
      <c r="AC266" s="61">
        <v>0.64908564814814818</v>
      </c>
      <c r="AD266" t="s">
        <v>795</v>
      </c>
      <c r="AE266" s="31">
        <v>45930</v>
      </c>
      <c r="AF266" s="61">
        <v>0.39872685185185192</v>
      </c>
      <c r="AG266" t="s">
        <v>796</v>
      </c>
      <c r="AJ266" t="s">
        <v>4019</v>
      </c>
      <c r="AR266">
        <v>1</v>
      </c>
    </row>
    <row r="267" spans="1:44" x14ac:dyDescent="0.3">
      <c r="A267" t="s">
        <v>31</v>
      </c>
      <c r="B267">
        <v>482</v>
      </c>
      <c r="C267">
        <v>149</v>
      </c>
      <c r="D267">
        <v>2338</v>
      </c>
      <c r="G267" t="s">
        <v>4020</v>
      </c>
      <c r="H267">
        <v>12418196000118</v>
      </c>
      <c r="I267" t="s">
        <v>3645</v>
      </c>
      <c r="J267" t="s">
        <v>1115</v>
      </c>
      <c r="K267" t="s">
        <v>1115</v>
      </c>
      <c r="L267" t="s">
        <v>3647</v>
      </c>
      <c r="N267" t="s">
        <v>3648</v>
      </c>
      <c r="P267" t="s">
        <v>778</v>
      </c>
      <c r="U267" t="s">
        <v>319</v>
      </c>
      <c r="V267" t="s">
        <v>3417</v>
      </c>
      <c r="X267">
        <v>0</v>
      </c>
      <c r="Y267">
        <v>0</v>
      </c>
      <c r="AA267">
        <v>17</v>
      </c>
      <c r="AB267" s="31">
        <v>45849</v>
      </c>
      <c r="AC267" s="61">
        <v>0.65001157407407406</v>
      </c>
      <c r="AD267" t="s">
        <v>795</v>
      </c>
      <c r="AE267" s="31">
        <v>45866</v>
      </c>
      <c r="AF267" s="61">
        <v>0.72260416666666671</v>
      </c>
      <c r="AG267" t="s">
        <v>1358</v>
      </c>
      <c r="AI267" t="s">
        <v>4021</v>
      </c>
      <c r="AJ267" t="s">
        <v>4019</v>
      </c>
      <c r="AR267">
        <v>1</v>
      </c>
    </row>
    <row r="268" spans="1:44" x14ac:dyDescent="0.3">
      <c r="A268" t="s">
        <v>31</v>
      </c>
      <c r="B268">
        <v>483</v>
      </c>
      <c r="C268">
        <v>147</v>
      </c>
      <c r="D268">
        <v>2339</v>
      </c>
      <c r="G268" t="s">
        <v>4022</v>
      </c>
      <c r="H268">
        <v>7964558000136</v>
      </c>
      <c r="I268" t="s">
        <v>3430</v>
      </c>
      <c r="J268" t="s">
        <v>1317</v>
      </c>
      <c r="K268" t="s">
        <v>1317</v>
      </c>
      <c r="L268" t="s">
        <v>3515</v>
      </c>
      <c r="N268" t="s">
        <v>3433</v>
      </c>
      <c r="P268" t="s">
        <v>778</v>
      </c>
      <c r="U268" t="s">
        <v>319</v>
      </c>
      <c r="V268" t="s">
        <v>816</v>
      </c>
      <c r="AA268">
        <v>27</v>
      </c>
      <c r="AB268" s="31">
        <v>45849</v>
      </c>
      <c r="AC268" s="61">
        <v>0.65327546296296302</v>
      </c>
      <c r="AD268" t="s">
        <v>795</v>
      </c>
      <c r="AE268" s="31">
        <v>45876</v>
      </c>
      <c r="AF268" s="61">
        <v>0.59097222222222223</v>
      </c>
      <c r="AG268" t="s">
        <v>1358</v>
      </c>
      <c r="AI268" t="s">
        <v>4019</v>
      </c>
      <c r="AR268">
        <v>1</v>
      </c>
    </row>
    <row r="269" spans="1:44" x14ac:dyDescent="0.3">
      <c r="A269" t="s">
        <v>31</v>
      </c>
      <c r="B269">
        <v>489</v>
      </c>
      <c r="C269">
        <v>181</v>
      </c>
      <c r="D269">
        <v>2349</v>
      </c>
      <c r="G269" t="s">
        <v>4023</v>
      </c>
      <c r="H269">
        <v>43204189000147</v>
      </c>
      <c r="I269" t="s">
        <v>3612</v>
      </c>
      <c r="J269" t="s">
        <v>990</v>
      </c>
      <c r="K269" t="s">
        <v>990</v>
      </c>
      <c r="L269" t="s">
        <v>3613</v>
      </c>
      <c r="N269" t="s">
        <v>3614</v>
      </c>
      <c r="P269" t="s">
        <v>3615</v>
      </c>
      <c r="Q269" t="s">
        <v>3616</v>
      </c>
      <c r="R269" t="s">
        <v>790</v>
      </c>
      <c r="U269" t="s">
        <v>319</v>
      </c>
      <c r="V269" t="s">
        <v>816</v>
      </c>
      <c r="X269">
        <v>4320</v>
      </c>
      <c r="Y269">
        <v>0</v>
      </c>
      <c r="AA269">
        <v>0</v>
      </c>
      <c r="AB269" s="31">
        <v>45854</v>
      </c>
      <c r="AC269" s="61">
        <v>0.70699074074074075</v>
      </c>
      <c r="AD269" t="s">
        <v>818</v>
      </c>
      <c r="AE269" s="31">
        <v>45854</v>
      </c>
      <c r="AF269" s="61">
        <v>0.70780092592592592</v>
      </c>
      <c r="AI269" t="s">
        <v>4024</v>
      </c>
      <c r="AJ269" t="s">
        <v>4025</v>
      </c>
      <c r="AR269">
        <v>1</v>
      </c>
    </row>
    <row r="270" spans="1:44" x14ac:dyDescent="0.3">
      <c r="A270" t="s">
        <v>31</v>
      </c>
      <c r="B270">
        <v>490</v>
      </c>
      <c r="C270">
        <v>182</v>
      </c>
      <c r="D270">
        <v>2350</v>
      </c>
      <c r="G270" t="s">
        <v>4026</v>
      </c>
      <c r="H270">
        <v>23873456000161</v>
      </c>
      <c r="I270" t="s">
        <v>3573</v>
      </c>
      <c r="J270" t="s">
        <v>3802</v>
      </c>
      <c r="K270" t="s">
        <v>3802</v>
      </c>
      <c r="L270" t="s">
        <v>3575</v>
      </c>
      <c r="N270" t="s">
        <v>3576</v>
      </c>
      <c r="P270" t="s">
        <v>3577</v>
      </c>
      <c r="Q270" t="s">
        <v>1837</v>
      </c>
      <c r="R270" t="s">
        <v>790</v>
      </c>
      <c r="U270" t="s">
        <v>319</v>
      </c>
      <c r="V270" t="s">
        <v>816</v>
      </c>
      <c r="X270">
        <v>4200</v>
      </c>
      <c r="Y270">
        <v>0</v>
      </c>
      <c r="AA270">
        <v>6</v>
      </c>
      <c r="AB270" s="31">
        <v>45854</v>
      </c>
      <c r="AC270" s="61">
        <v>0.70843750000000005</v>
      </c>
      <c r="AD270" t="s">
        <v>818</v>
      </c>
      <c r="AE270" s="31">
        <v>45860</v>
      </c>
      <c r="AF270" s="61">
        <v>0.52978009259259262</v>
      </c>
      <c r="AI270" t="s">
        <v>4024</v>
      </c>
      <c r="AR270">
        <v>1</v>
      </c>
    </row>
    <row r="271" spans="1:44" x14ac:dyDescent="0.3">
      <c r="A271" t="s">
        <v>31</v>
      </c>
      <c r="B271">
        <v>491</v>
      </c>
      <c r="C271">
        <v>209</v>
      </c>
      <c r="D271">
        <v>2351</v>
      </c>
      <c r="G271" t="s">
        <v>4027</v>
      </c>
      <c r="H271">
        <v>10682266000115</v>
      </c>
      <c r="I271" t="s">
        <v>3893</v>
      </c>
      <c r="J271" t="s">
        <v>4028</v>
      </c>
      <c r="K271" t="s">
        <v>4028</v>
      </c>
      <c r="L271" t="s">
        <v>3895</v>
      </c>
      <c r="N271" t="s">
        <v>3896</v>
      </c>
      <c r="P271" t="s">
        <v>3897</v>
      </c>
      <c r="Q271" t="s">
        <v>1596</v>
      </c>
      <c r="R271" t="s">
        <v>790</v>
      </c>
      <c r="U271" t="s">
        <v>319</v>
      </c>
      <c r="V271" t="s">
        <v>816</v>
      </c>
      <c r="X271">
        <v>6720</v>
      </c>
      <c r="Y271">
        <v>0</v>
      </c>
      <c r="AA271">
        <v>15</v>
      </c>
      <c r="AB271" s="31">
        <v>45855</v>
      </c>
      <c r="AC271" s="61">
        <v>0.42640046296296302</v>
      </c>
      <c r="AD271" t="s">
        <v>818</v>
      </c>
      <c r="AE271" s="31">
        <v>45870</v>
      </c>
      <c r="AF271" s="61">
        <v>0.61040509259259257</v>
      </c>
      <c r="AI271" t="s">
        <v>4029</v>
      </c>
      <c r="AJ271" t="s">
        <v>1945</v>
      </c>
      <c r="AR271">
        <v>1</v>
      </c>
    </row>
    <row r="272" spans="1:44" x14ac:dyDescent="0.3">
      <c r="A272" t="s">
        <v>31</v>
      </c>
      <c r="B272">
        <v>492</v>
      </c>
      <c r="C272">
        <v>147</v>
      </c>
      <c r="D272">
        <v>848</v>
      </c>
      <c r="G272" t="s">
        <v>4030</v>
      </c>
      <c r="H272">
        <v>7964558000136</v>
      </c>
      <c r="I272" t="s">
        <v>3430</v>
      </c>
      <c r="J272" t="s">
        <v>3431</v>
      </c>
      <c r="K272" t="s">
        <v>3431</v>
      </c>
      <c r="L272" t="s">
        <v>3432</v>
      </c>
      <c r="N272" t="s">
        <v>3433</v>
      </c>
      <c r="P272" t="s">
        <v>778</v>
      </c>
      <c r="U272" t="s">
        <v>319</v>
      </c>
      <c r="V272" t="s">
        <v>3417</v>
      </c>
      <c r="X272">
        <v>716156</v>
      </c>
      <c r="Y272">
        <v>0</v>
      </c>
      <c r="AA272">
        <v>11</v>
      </c>
      <c r="AB272" s="31">
        <v>45855</v>
      </c>
      <c r="AC272" s="61">
        <v>0.43496527777777783</v>
      </c>
      <c r="AD272" t="s">
        <v>795</v>
      </c>
      <c r="AE272" s="31">
        <v>45866</v>
      </c>
      <c r="AF272" s="61">
        <v>0.5060069444444445</v>
      </c>
      <c r="AG272" t="s">
        <v>3463</v>
      </c>
      <c r="AI272" t="s">
        <v>4029</v>
      </c>
      <c r="AR272">
        <v>1</v>
      </c>
    </row>
    <row r="273" spans="1:44" x14ac:dyDescent="0.3">
      <c r="A273" t="s">
        <v>31</v>
      </c>
      <c r="B273">
        <v>498</v>
      </c>
      <c r="C273">
        <v>171</v>
      </c>
      <c r="D273">
        <v>2383</v>
      </c>
      <c r="G273" t="s">
        <v>3663</v>
      </c>
      <c r="H273">
        <v>39955762000187</v>
      </c>
      <c r="I273" t="s">
        <v>3484</v>
      </c>
      <c r="J273" t="s">
        <v>4031</v>
      </c>
      <c r="K273" t="s">
        <v>4031</v>
      </c>
      <c r="L273" t="s">
        <v>3665</v>
      </c>
      <c r="N273" t="s">
        <v>3487</v>
      </c>
      <c r="P273" t="s">
        <v>3488</v>
      </c>
      <c r="Q273" t="s">
        <v>1094</v>
      </c>
      <c r="R273" t="s">
        <v>790</v>
      </c>
      <c r="U273" t="s">
        <v>319</v>
      </c>
      <c r="V273" t="s">
        <v>816</v>
      </c>
      <c r="X273">
        <v>245704</v>
      </c>
      <c r="Y273">
        <v>0</v>
      </c>
      <c r="AA273">
        <v>0</v>
      </c>
      <c r="AB273" s="31">
        <v>45861</v>
      </c>
      <c r="AC273" s="61">
        <v>0.71406250000000004</v>
      </c>
      <c r="AD273" t="s">
        <v>818</v>
      </c>
      <c r="AE273" s="31">
        <v>45861</v>
      </c>
      <c r="AF273" s="61">
        <v>0.71575231481481483</v>
      </c>
      <c r="AI273" t="s">
        <v>4032</v>
      </c>
      <c r="AR273">
        <v>1</v>
      </c>
    </row>
    <row r="274" spans="1:44" x14ac:dyDescent="0.3">
      <c r="A274" t="s">
        <v>31</v>
      </c>
      <c r="B274">
        <v>499</v>
      </c>
      <c r="C274">
        <v>97</v>
      </c>
      <c r="D274">
        <v>2390</v>
      </c>
      <c r="G274" t="s">
        <v>4033</v>
      </c>
      <c r="H274">
        <v>22500484000170</v>
      </c>
      <c r="I274" t="s">
        <v>669</v>
      </c>
      <c r="J274" t="s">
        <v>4034</v>
      </c>
      <c r="K274" t="s">
        <v>4034</v>
      </c>
      <c r="L274" t="s">
        <v>4035</v>
      </c>
      <c r="N274" t="s">
        <v>3294</v>
      </c>
      <c r="P274" t="s">
        <v>778</v>
      </c>
      <c r="U274" t="s">
        <v>319</v>
      </c>
      <c r="V274" t="s">
        <v>816</v>
      </c>
      <c r="X274">
        <v>840</v>
      </c>
      <c r="Y274">
        <v>0</v>
      </c>
      <c r="AA274">
        <v>0</v>
      </c>
      <c r="AB274" s="31">
        <v>45862</v>
      </c>
      <c r="AC274" s="61">
        <v>0.58165509259259263</v>
      </c>
      <c r="AD274" t="s">
        <v>818</v>
      </c>
      <c r="AE274" s="31">
        <v>45862</v>
      </c>
      <c r="AF274" s="61">
        <v>0.65292824074074074</v>
      </c>
      <c r="AI274" t="s">
        <v>4036</v>
      </c>
      <c r="AR274">
        <v>1</v>
      </c>
    </row>
    <row r="275" spans="1:44" x14ac:dyDescent="0.3">
      <c r="A275" t="s">
        <v>31</v>
      </c>
      <c r="B275">
        <v>500</v>
      </c>
      <c r="C275">
        <v>96</v>
      </c>
      <c r="D275">
        <v>2391</v>
      </c>
      <c r="G275" t="s">
        <v>4037</v>
      </c>
      <c r="I275" t="s">
        <v>3291</v>
      </c>
      <c r="J275" t="s">
        <v>4038</v>
      </c>
      <c r="K275" t="s">
        <v>4038</v>
      </c>
      <c r="L275" t="s">
        <v>3672</v>
      </c>
      <c r="N275" t="s">
        <v>3293</v>
      </c>
      <c r="P275" t="s">
        <v>778</v>
      </c>
      <c r="U275" t="s">
        <v>319</v>
      </c>
      <c r="V275" t="s">
        <v>816</v>
      </c>
      <c r="X275">
        <v>1440</v>
      </c>
      <c r="Y275">
        <v>0</v>
      </c>
      <c r="AA275">
        <v>0</v>
      </c>
      <c r="AB275" s="31">
        <v>45862</v>
      </c>
      <c r="AC275" s="61">
        <v>0.62880787037037034</v>
      </c>
      <c r="AD275" t="s">
        <v>818</v>
      </c>
      <c r="AE275" s="31">
        <v>45862</v>
      </c>
      <c r="AF275" s="61">
        <v>0.63013888888888892</v>
      </c>
      <c r="AI275" t="s">
        <v>4036</v>
      </c>
      <c r="AR275">
        <v>1</v>
      </c>
    </row>
    <row r="276" spans="1:44" x14ac:dyDescent="0.3">
      <c r="A276" t="s">
        <v>31</v>
      </c>
      <c r="B276">
        <v>501</v>
      </c>
      <c r="C276">
        <v>147</v>
      </c>
      <c r="D276">
        <v>2392</v>
      </c>
      <c r="G276" t="s">
        <v>4039</v>
      </c>
      <c r="H276">
        <v>7964558000136</v>
      </c>
      <c r="I276" t="s">
        <v>3430</v>
      </c>
      <c r="J276" t="s">
        <v>704</v>
      </c>
      <c r="K276" t="s">
        <v>704</v>
      </c>
      <c r="L276" t="s">
        <v>3515</v>
      </c>
      <c r="N276" t="s">
        <v>3433</v>
      </c>
      <c r="P276" t="s">
        <v>778</v>
      </c>
      <c r="U276" t="s">
        <v>319</v>
      </c>
      <c r="V276" t="s">
        <v>816</v>
      </c>
      <c r="X276">
        <v>6720</v>
      </c>
      <c r="Y276">
        <v>0</v>
      </c>
      <c r="AA276">
        <v>0</v>
      </c>
      <c r="AB276" s="31">
        <v>45862</v>
      </c>
      <c r="AC276" s="61">
        <v>0.63891203703703703</v>
      </c>
      <c r="AD276" t="s">
        <v>818</v>
      </c>
      <c r="AE276" s="31">
        <v>45862</v>
      </c>
      <c r="AF276" s="61">
        <v>0.65201388888888889</v>
      </c>
      <c r="AI276" t="s">
        <v>4036</v>
      </c>
      <c r="AR276">
        <v>1</v>
      </c>
    </row>
    <row r="277" spans="1:44" x14ac:dyDescent="0.3">
      <c r="A277" t="s">
        <v>31</v>
      </c>
      <c r="B277">
        <v>502</v>
      </c>
      <c r="C277">
        <v>112</v>
      </c>
      <c r="D277">
        <v>2429</v>
      </c>
      <c r="G277" t="s">
        <v>4040</v>
      </c>
      <c r="I277" t="s">
        <v>3327</v>
      </c>
      <c r="J277" t="s">
        <v>704</v>
      </c>
      <c r="K277" t="s">
        <v>704</v>
      </c>
      <c r="N277" t="s">
        <v>3328</v>
      </c>
      <c r="P277" t="s">
        <v>778</v>
      </c>
      <c r="U277" t="s">
        <v>319</v>
      </c>
      <c r="V277" t="s">
        <v>3417</v>
      </c>
      <c r="X277">
        <v>1600</v>
      </c>
      <c r="Y277">
        <v>774415</v>
      </c>
      <c r="AA277">
        <v>34</v>
      </c>
      <c r="AB277" s="31">
        <v>45868</v>
      </c>
      <c r="AC277" s="61">
        <v>0.48775462962962962</v>
      </c>
      <c r="AD277" t="s">
        <v>795</v>
      </c>
      <c r="AE277" s="31">
        <v>45902</v>
      </c>
      <c r="AF277" s="61">
        <v>0.49239583333333331</v>
      </c>
      <c r="AG277" t="s">
        <v>867</v>
      </c>
      <c r="AI277" t="s">
        <v>4041</v>
      </c>
      <c r="AJ277" t="s">
        <v>4041</v>
      </c>
      <c r="AR277">
        <v>1</v>
      </c>
    </row>
    <row r="278" spans="1:44" x14ac:dyDescent="0.3">
      <c r="A278" t="s">
        <v>31</v>
      </c>
      <c r="B278">
        <v>511</v>
      </c>
      <c r="C278">
        <v>93</v>
      </c>
      <c r="D278">
        <v>986</v>
      </c>
      <c r="G278" t="s">
        <v>4042</v>
      </c>
      <c r="I278" t="s">
        <v>3285</v>
      </c>
      <c r="J278" t="s">
        <v>3490</v>
      </c>
      <c r="K278" t="s">
        <v>3490</v>
      </c>
      <c r="L278" t="s">
        <v>3491</v>
      </c>
      <c r="N278" t="s">
        <v>3286</v>
      </c>
      <c r="P278" t="s">
        <v>778</v>
      </c>
      <c r="U278" t="s">
        <v>319</v>
      </c>
      <c r="V278" t="s">
        <v>3417</v>
      </c>
      <c r="X278">
        <v>3360</v>
      </c>
      <c r="Y278">
        <v>7128</v>
      </c>
      <c r="AA278">
        <v>28</v>
      </c>
      <c r="AB278" s="31">
        <v>45870</v>
      </c>
      <c r="AC278" s="61">
        <v>0.65550925925925929</v>
      </c>
      <c r="AD278" t="s">
        <v>795</v>
      </c>
      <c r="AE278" s="31">
        <v>45898</v>
      </c>
      <c r="AF278" s="61">
        <v>0.60733796296296294</v>
      </c>
      <c r="AG278" t="s">
        <v>3463</v>
      </c>
      <c r="AI278" t="s">
        <v>4043</v>
      </c>
      <c r="AJ278" t="s">
        <v>4044</v>
      </c>
      <c r="AR278">
        <v>1</v>
      </c>
    </row>
    <row r="279" spans="1:44" x14ac:dyDescent="0.3">
      <c r="A279" t="s">
        <v>31</v>
      </c>
      <c r="B279">
        <v>512</v>
      </c>
      <c r="C279">
        <v>149</v>
      </c>
      <c r="D279">
        <v>2450</v>
      </c>
      <c r="G279" t="s">
        <v>4045</v>
      </c>
      <c r="H279">
        <v>12418196000118</v>
      </c>
      <c r="I279" t="s">
        <v>3645</v>
      </c>
      <c r="J279" t="s">
        <v>1115</v>
      </c>
      <c r="K279" t="s">
        <v>1115</v>
      </c>
      <c r="L279" t="s">
        <v>3647</v>
      </c>
      <c r="N279" t="s">
        <v>3648</v>
      </c>
      <c r="P279" t="s">
        <v>778</v>
      </c>
      <c r="U279" t="s">
        <v>319</v>
      </c>
      <c r="V279" t="s">
        <v>816</v>
      </c>
      <c r="X279">
        <v>3360</v>
      </c>
      <c r="Y279">
        <v>0</v>
      </c>
      <c r="AA279">
        <v>3</v>
      </c>
      <c r="AB279" s="31">
        <v>45873</v>
      </c>
      <c r="AC279" s="61">
        <v>0.43699074074074068</v>
      </c>
      <c r="AD279" t="s">
        <v>818</v>
      </c>
      <c r="AE279" s="31">
        <v>45876</v>
      </c>
      <c r="AF279" s="61">
        <v>0.64539351851851856</v>
      </c>
      <c r="AI279" t="s">
        <v>4046</v>
      </c>
      <c r="AR279">
        <v>1</v>
      </c>
    </row>
    <row r="280" spans="1:44" x14ac:dyDescent="0.3">
      <c r="A280" t="s">
        <v>31</v>
      </c>
      <c r="B280">
        <v>513</v>
      </c>
      <c r="C280">
        <v>150</v>
      </c>
      <c r="D280">
        <v>2451</v>
      </c>
      <c r="G280" t="s">
        <v>4047</v>
      </c>
      <c r="H280">
        <v>32258848000101</v>
      </c>
      <c r="I280" t="s">
        <v>3435</v>
      </c>
      <c r="J280" t="s">
        <v>1804</v>
      </c>
      <c r="K280" t="s">
        <v>1804</v>
      </c>
      <c r="L280" t="s">
        <v>3493</v>
      </c>
      <c r="N280" t="s">
        <v>3437</v>
      </c>
      <c r="P280" t="s">
        <v>778</v>
      </c>
      <c r="U280" t="s">
        <v>319</v>
      </c>
      <c r="V280" t="s">
        <v>816</v>
      </c>
      <c r="X280">
        <v>1680</v>
      </c>
      <c r="Y280">
        <v>0</v>
      </c>
      <c r="AA280">
        <v>3</v>
      </c>
      <c r="AB280" s="31">
        <v>45873</v>
      </c>
      <c r="AC280" s="61">
        <v>0.62299768518518517</v>
      </c>
      <c r="AD280" t="s">
        <v>818</v>
      </c>
      <c r="AE280" s="31">
        <v>45876</v>
      </c>
      <c r="AF280" s="61">
        <v>0.69701388888888893</v>
      </c>
      <c r="AI280" t="s">
        <v>4046</v>
      </c>
      <c r="AR280">
        <v>1</v>
      </c>
    </row>
    <row r="281" spans="1:44" x14ac:dyDescent="0.3">
      <c r="A281" t="s">
        <v>31</v>
      </c>
      <c r="B281">
        <v>514</v>
      </c>
      <c r="C281">
        <v>190</v>
      </c>
      <c r="D281">
        <v>1769</v>
      </c>
      <c r="G281" t="s">
        <v>4048</v>
      </c>
      <c r="H281">
        <v>18203215000175</v>
      </c>
      <c r="I281" t="s">
        <v>3690</v>
      </c>
      <c r="J281" t="s">
        <v>3691</v>
      </c>
      <c r="K281" t="s">
        <v>3691</v>
      </c>
      <c r="L281" t="s">
        <v>3692</v>
      </c>
      <c r="N281" t="s">
        <v>3693</v>
      </c>
      <c r="P281" t="s">
        <v>3694</v>
      </c>
      <c r="Q281" t="s">
        <v>3695</v>
      </c>
      <c r="R281" t="s">
        <v>790</v>
      </c>
      <c r="U281" t="s">
        <v>319</v>
      </c>
      <c r="V281" t="s">
        <v>816</v>
      </c>
      <c r="X281">
        <v>3024</v>
      </c>
      <c r="Y281">
        <v>605</v>
      </c>
      <c r="AA281">
        <v>14</v>
      </c>
      <c r="AB281" s="31">
        <v>45874</v>
      </c>
      <c r="AC281" s="61">
        <v>0.66400462962962958</v>
      </c>
      <c r="AD281" t="s">
        <v>818</v>
      </c>
      <c r="AE281" s="31">
        <v>45888</v>
      </c>
      <c r="AF281" s="61">
        <v>0.48135416666666669</v>
      </c>
      <c r="AI281" t="s">
        <v>1981</v>
      </c>
      <c r="AJ281" t="s">
        <v>1981</v>
      </c>
      <c r="AR281">
        <v>1</v>
      </c>
    </row>
    <row r="282" spans="1:44" x14ac:dyDescent="0.3">
      <c r="A282" t="s">
        <v>31</v>
      </c>
      <c r="B282">
        <v>515</v>
      </c>
      <c r="C282">
        <v>170</v>
      </c>
      <c r="D282">
        <v>2455</v>
      </c>
      <c r="G282" t="s">
        <v>4049</v>
      </c>
      <c r="H282">
        <v>4150555001304</v>
      </c>
      <c r="I282" t="s">
        <v>3477</v>
      </c>
      <c r="J282" t="s">
        <v>3478</v>
      </c>
      <c r="K282" t="s">
        <v>3478</v>
      </c>
      <c r="L282" t="s">
        <v>3569</v>
      </c>
      <c r="N282" t="s">
        <v>3480</v>
      </c>
      <c r="P282" t="s">
        <v>3481</v>
      </c>
      <c r="Q282" t="s">
        <v>3482</v>
      </c>
      <c r="R282" t="s">
        <v>1699</v>
      </c>
      <c r="U282" t="s">
        <v>319</v>
      </c>
      <c r="V282" t="s">
        <v>816</v>
      </c>
      <c r="X282">
        <v>1847759</v>
      </c>
      <c r="Y282">
        <v>1590</v>
      </c>
      <c r="AA282">
        <v>28</v>
      </c>
      <c r="AB282" s="31">
        <v>45876</v>
      </c>
      <c r="AC282" s="61">
        <v>0.48866898148148152</v>
      </c>
      <c r="AD282" t="s">
        <v>818</v>
      </c>
      <c r="AE282" s="31">
        <v>45904</v>
      </c>
      <c r="AF282" s="61">
        <v>0.71673611111111113</v>
      </c>
      <c r="AI282" t="s">
        <v>4050</v>
      </c>
      <c r="AR282">
        <v>1</v>
      </c>
    </row>
    <row r="283" spans="1:44" x14ac:dyDescent="0.3">
      <c r="A283" t="s">
        <v>31</v>
      </c>
      <c r="B283">
        <v>522</v>
      </c>
      <c r="C283">
        <v>149</v>
      </c>
      <c r="D283">
        <v>2460</v>
      </c>
      <c r="G283" t="s">
        <v>4051</v>
      </c>
      <c r="H283">
        <v>12418196000118</v>
      </c>
      <c r="I283" t="s">
        <v>3645</v>
      </c>
      <c r="J283" t="s">
        <v>4052</v>
      </c>
      <c r="K283" t="s">
        <v>4052</v>
      </c>
      <c r="L283" t="s">
        <v>3647</v>
      </c>
      <c r="N283" t="s">
        <v>3648</v>
      </c>
      <c r="P283" t="s">
        <v>778</v>
      </c>
      <c r="U283" t="s">
        <v>319</v>
      </c>
      <c r="V283" t="s">
        <v>3409</v>
      </c>
      <c r="AA283">
        <v>21</v>
      </c>
      <c r="AB283" s="31">
        <v>45877</v>
      </c>
      <c r="AC283" s="61">
        <v>0.51511574074074074</v>
      </c>
      <c r="AD283" t="s">
        <v>795</v>
      </c>
      <c r="AE283" s="31">
        <v>45898</v>
      </c>
      <c r="AF283" s="61">
        <v>0.68209490740740741</v>
      </c>
      <c r="AG283" t="s">
        <v>3463</v>
      </c>
      <c r="AJ283" t="s">
        <v>4043</v>
      </c>
      <c r="AR283">
        <v>1</v>
      </c>
    </row>
    <row r="284" spans="1:44" x14ac:dyDescent="0.3">
      <c r="A284" t="s">
        <v>31</v>
      </c>
      <c r="B284">
        <v>523</v>
      </c>
      <c r="C284">
        <v>183</v>
      </c>
      <c r="D284">
        <v>2461</v>
      </c>
      <c r="G284" t="s">
        <v>4053</v>
      </c>
      <c r="H284">
        <v>3204281000192</v>
      </c>
      <c r="I284" t="s">
        <v>3594</v>
      </c>
      <c r="J284" t="s">
        <v>3595</v>
      </c>
      <c r="K284" t="s">
        <v>3595</v>
      </c>
      <c r="L284" t="s">
        <v>3596</v>
      </c>
      <c r="N284" t="s">
        <v>2617</v>
      </c>
      <c r="P284" t="s">
        <v>3597</v>
      </c>
      <c r="Q284" t="s">
        <v>2618</v>
      </c>
      <c r="R284" t="s">
        <v>790</v>
      </c>
      <c r="U284" t="s">
        <v>319</v>
      </c>
      <c r="V284" t="s">
        <v>816</v>
      </c>
      <c r="X284">
        <v>26200</v>
      </c>
      <c r="Y284">
        <v>3400</v>
      </c>
      <c r="AA284">
        <v>43</v>
      </c>
      <c r="AB284" s="31">
        <v>45880</v>
      </c>
      <c r="AC284" s="61">
        <v>0.49128472222222219</v>
      </c>
      <c r="AD284" t="s">
        <v>795</v>
      </c>
      <c r="AE284" s="31">
        <v>45923</v>
      </c>
      <c r="AF284" s="61">
        <v>0.65136574074074072</v>
      </c>
      <c r="AG284" t="s">
        <v>974</v>
      </c>
      <c r="AI284" t="s">
        <v>1959</v>
      </c>
      <c r="AJ284" t="s">
        <v>1959</v>
      </c>
      <c r="AR284">
        <v>1</v>
      </c>
    </row>
    <row r="285" spans="1:44" x14ac:dyDescent="0.3">
      <c r="A285" t="s">
        <v>31</v>
      </c>
      <c r="B285">
        <v>524</v>
      </c>
      <c r="C285">
        <v>146</v>
      </c>
      <c r="D285">
        <v>2462</v>
      </c>
      <c r="G285" t="s">
        <v>4054</v>
      </c>
      <c r="I285" t="s">
        <v>3425</v>
      </c>
      <c r="J285" t="s">
        <v>3426</v>
      </c>
      <c r="K285" t="s">
        <v>3426</v>
      </c>
      <c r="L285" t="s">
        <v>3515</v>
      </c>
      <c r="N285" t="s">
        <v>3428</v>
      </c>
      <c r="P285" t="s">
        <v>778</v>
      </c>
      <c r="U285" t="s">
        <v>319</v>
      </c>
      <c r="V285" t="s">
        <v>3417</v>
      </c>
      <c r="X285">
        <v>3360</v>
      </c>
      <c r="Y285">
        <v>7128</v>
      </c>
      <c r="AA285">
        <v>14</v>
      </c>
      <c r="AB285" s="31">
        <v>45880</v>
      </c>
      <c r="AC285" s="61">
        <v>0.49332175925925931</v>
      </c>
      <c r="AD285" t="s">
        <v>795</v>
      </c>
      <c r="AE285" s="31">
        <v>45894</v>
      </c>
      <c r="AF285" s="61">
        <v>0.66289351851851852</v>
      </c>
      <c r="AG285" t="s">
        <v>3463</v>
      </c>
      <c r="AI285" t="s">
        <v>1959</v>
      </c>
      <c r="AJ285" t="s">
        <v>4055</v>
      </c>
      <c r="AR285">
        <v>1</v>
      </c>
    </row>
    <row r="286" spans="1:44" x14ac:dyDescent="0.3">
      <c r="A286" t="s">
        <v>31</v>
      </c>
      <c r="B286">
        <v>525</v>
      </c>
      <c r="C286">
        <v>202</v>
      </c>
      <c r="D286">
        <v>2467</v>
      </c>
      <c r="G286" t="s">
        <v>4056</v>
      </c>
      <c r="H286">
        <v>16939440000149</v>
      </c>
      <c r="I286" t="s">
        <v>3778</v>
      </c>
      <c r="J286" t="s">
        <v>707</v>
      </c>
      <c r="K286" t="s">
        <v>707</v>
      </c>
      <c r="L286" t="s">
        <v>3779</v>
      </c>
      <c r="N286" t="s">
        <v>3780</v>
      </c>
      <c r="P286" t="s">
        <v>3781</v>
      </c>
      <c r="Q286" t="s">
        <v>3782</v>
      </c>
      <c r="R286" t="s">
        <v>790</v>
      </c>
      <c r="U286" t="s">
        <v>319</v>
      </c>
      <c r="V286" t="s">
        <v>816</v>
      </c>
      <c r="X286">
        <v>6048</v>
      </c>
      <c r="Y286">
        <v>0</v>
      </c>
      <c r="AA286">
        <v>0</v>
      </c>
      <c r="AB286" s="31">
        <v>45887</v>
      </c>
      <c r="AC286" s="61">
        <v>0.39128472222222221</v>
      </c>
      <c r="AD286" t="s">
        <v>818</v>
      </c>
      <c r="AE286" s="31">
        <v>45887</v>
      </c>
      <c r="AF286" s="61">
        <v>0.39361111111111108</v>
      </c>
      <c r="AI286" t="s">
        <v>1959</v>
      </c>
      <c r="AR286">
        <v>1</v>
      </c>
    </row>
    <row r="287" spans="1:44" x14ac:dyDescent="0.3">
      <c r="A287" t="s">
        <v>31</v>
      </c>
      <c r="B287">
        <v>526</v>
      </c>
      <c r="C287">
        <v>186</v>
      </c>
      <c r="D287">
        <v>2468</v>
      </c>
      <c r="G287" t="s">
        <v>4057</v>
      </c>
      <c r="H287">
        <v>10899939000193</v>
      </c>
      <c r="I287" t="s">
        <v>3625</v>
      </c>
      <c r="J287" t="s">
        <v>704</v>
      </c>
      <c r="K287" t="s">
        <v>704</v>
      </c>
      <c r="L287" t="s">
        <v>3626</v>
      </c>
      <c r="N287" t="s">
        <v>3627</v>
      </c>
      <c r="P287" t="s">
        <v>3628</v>
      </c>
      <c r="Q287" t="s">
        <v>3629</v>
      </c>
      <c r="R287" t="s">
        <v>932</v>
      </c>
      <c r="U287" t="s">
        <v>319</v>
      </c>
      <c r="V287" t="s">
        <v>3417</v>
      </c>
      <c r="X287">
        <v>0</v>
      </c>
      <c r="Y287">
        <v>3564</v>
      </c>
      <c r="AA287">
        <v>28</v>
      </c>
      <c r="AB287" s="31">
        <v>45887</v>
      </c>
      <c r="AC287" s="61">
        <v>0.40155092592592601</v>
      </c>
      <c r="AD287" t="s">
        <v>795</v>
      </c>
      <c r="AE287" s="31">
        <v>45915</v>
      </c>
      <c r="AF287" s="61">
        <v>0.63196759259259261</v>
      </c>
      <c r="AG287" t="s">
        <v>934</v>
      </c>
      <c r="AI287" t="s">
        <v>2042</v>
      </c>
      <c r="AJ287" t="s">
        <v>2042</v>
      </c>
      <c r="AR287">
        <v>1</v>
      </c>
    </row>
    <row r="288" spans="1:44" x14ac:dyDescent="0.3">
      <c r="A288" t="s">
        <v>31</v>
      </c>
      <c r="B288">
        <v>527</v>
      </c>
      <c r="C288">
        <v>195</v>
      </c>
      <c r="D288">
        <v>2469</v>
      </c>
      <c r="G288" t="s">
        <v>4058</v>
      </c>
      <c r="H288">
        <v>49682710000138</v>
      </c>
      <c r="I288" t="s">
        <v>4059</v>
      </c>
      <c r="J288" t="s">
        <v>4060</v>
      </c>
      <c r="K288" t="s">
        <v>4060</v>
      </c>
      <c r="L288" t="s">
        <v>4061</v>
      </c>
      <c r="N288" t="s">
        <v>4062</v>
      </c>
      <c r="P288" t="s">
        <v>4063</v>
      </c>
      <c r="Q288" t="s">
        <v>1633</v>
      </c>
      <c r="R288" t="s">
        <v>848</v>
      </c>
      <c r="U288" t="s">
        <v>319</v>
      </c>
      <c r="V288" t="s">
        <v>816</v>
      </c>
      <c r="X288">
        <v>0</v>
      </c>
      <c r="Y288">
        <v>7524</v>
      </c>
      <c r="AA288">
        <v>7</v>
      </c>
      <c r="AB288" s="31">
        <v>45887</v>
      </c>
      <c r="AC288" s="61">
        <v>0.4024652777777778</v>
      </c>
      <c r="AD288" t="s">
        <v>818</v>
      </c>
      <c r="AE288" s="31">
        <v>45894</v>
      </c>
      <c r="AF288" s="61">
        <v>0.49158564814814809</v>
      </c>
      <c r="AI288" t="s">
        <v>4064</v>
      </c>
      <c r="AJ288" t="s">
        <v>4064</v>
      </c>
      <c r="AR288">
        <v>1</v>
      </c>
    </row>
    <row r="289" spans="1:44" x14ac:dyDescent="0.3">
      <c r="A289" t="s">
        <v>31</v>
      </c>
      <c r="B289">
        <v>528</v>
      </c>
      <c r="C289">
        <v>88</v>
      </c>
      <c r="D289">
        <v>2470</v>
      </c>
      <c r="G289" t="s">
        <v>4065</v>
      </c>
      <c r="I289" t="s">
        <v>660</v>
      </c>
      <c r="J289" t="s">
        <v>1133</v>
      </c>
      <c r="K289" t="s">
        <v>1133</v>
      </c>
      <c r="L289" t="s">
        <v>3993</v>
      </c>
      <c r="N289" t="s">
        <v>3273</v>
      </c>
      <c r="P289" t="s">
        <v>778</v>
      </c>
      <c r="Q289" t="s">
        <v>3274</v>
      </c>
      <c r="R289" t="s">
        <v>932</v>
      </c>
      <c r="U289" t="s">
        <v>319</v>
      </c>
      <c r="V289" t="s">
        <v>3417</v>
      </c>
      <c r="X289">
        <v>3360</v>
      </c>
      <c r="Y289">
        <v>7128</v>
      </c>
      <c r="AA289">
        <v>43</v>
      </c>
      <c r="AB289" s="31">
        <v>45887</v>
      </c>
      <c r="AC289" s="61">
        <v>0.43887731481481479</v>
      </c>
      <c r="AD289" t="s">
        <v>795</v>
      </c>
      <c r="AE289" s="31">
        <v>45930</v>
      </c>
      <c r="AF289" s="61">
        <v>0.38685185185185178</v>
      </c>
      <c r="AG289" t="s">
        <v>3463</v>
      </c>
      <c r="AI289" t="s">
        <v>2042</v>
      </c>
      <c r="AJ289" t="s">
        <v>2042</v>
      </c>
      <c r="AR289">
        <v>1</v>
      </c>
    </row>
    <row r="290" spans="1:44" x14ac:dyDescent="0.3">
      <c r="A290" t="s">
        <v>31</v>
      </c>
      <c r="B290">
        <v>529</v>
      </c>
      <c r="C290">
        <v>103</v>
      </c>
      <c r="D290">
        <v>2471</v>
      </c>
      <c r="G290" t="s">
        <v>4066</v>
      </c>
      <c r="H290">
        <v>12549273000179</v>
      </c>
      <c r="I290" t="s">
        <v>3309</v>
      </c>
      <c r="J290" t="s">
        <v>4067</v>
      </c>
      <c r="K290" t="s">
        <v>4067</v>
      </c>
      <c r="N290" t="s">
        <v>3312</v>
      </c>
      <c r="P290" t="s">
        <v>3313</v>
      </c>
      <c r="Q290" t="s">
        <v>1596</v>
      </c>
      <c r="R290" t="s">
        <v>790</v>
      </c>
      <c r="U290" t="s">
        <v>319</v>
      </c>
      <c r="V290" t="s">
        <v>3417</v>
      </c>
      <c r="X290">
        <v>420</v>
      </c>
      <c r="Y290">
        <v>3564</v>
      </c>
      <c r="AA290">
        <v>25</v>
      </c>
      <c r="AB290" s="31">
        <v>45887</v>
      </c>
      <c r="AC290" s="61">
        <v>0.52501157407407406</v>
      </c>
      <c r="AD290" t="s">
        <v>795</v>
      </c>
      <c r="AE290" s="31">
        <v>45912</v>
      </c>
      <c r="AF290" s="61">
        <v>0.71452546296296293</v>
      </c>
      <c r="AG290" t="s">
        <v>934</v>
      </c>
      <c r="AI290" t="s">
        <v>2042</v>
      </c>
      <c r="AJ290" t="s">
        <v>4068</v>
      </c>
      <c r="AR290">
        <v>1</v>
      </c>
    </row>
    <row r="291" spans="1:44" x14ac:dyDescent="0.3">
      <c r="A291" t="s">
        <v>31</v>
      </c>
      <c r="B291">
        <v>530</v>
      </c>
      <c r="C291">
        <v>154</v>
      </c>
      <c r="D291">
        <v>2472</v>
      </c>
      <c r="G291" t="s">
        <v>4069</v>
      </c>
      <c r="H291">
        <v>790751000159</v>
      </c>
      <c r="I291" t="s">
        <v>3456</v>
      </c>
      <c r="J291" t="s">
        <v>4003</v>
      </c>
      <c r="K291" t="s">
        <v>4003</v>
      </c>
      <c r="L291" t="s">
        <v>3580</v>
      </c>
      <c r="N291" t="s">
        <v>3459</v>
      </c>
      <c r="P291" t="s">
        <v>778</v>
      </c>
      <c r="U291" t="s">
        <v>319</v>
      </c>
      <c r="V291" t="s">
        <v>816</v>
      </c>
      <c r="X291">
        <v>5800</v>
      </c>
      <c r="Y291">
        <v>0</v>
      </c>
      <c r="AA291">
        <v>10</v>
      </c>
      <c r="AB291" s="31">
        <v>45887</v>
      </c>
      <c r="AC291" s="61">
        <v>0.59663194444444445</v>
      </c>
      <c r="AD291" t="s">
        <v>818</v>
      </c>
      <c r="AE291" s="31">
        <v>45897</v>
      </c>
      <c r="AF291" s="61">
        <v>0.6378125</v>
      </c>
      <c r="AI291" t="s">
        <v>4064</v>
      </c>
      <c r="AR291">
        <v>1</v>
      </c>
    </row>
    <row r="292" spans="1:44" x14ac:dyDescent="0.3">
      <c r="A292" t="s">
        <v>31</v>
      </c>
      <c r="B292">
        <v>533</v>
      </c>
      <c r="C292">
        <v>167</v>
      </c>
      <c r="D292">
        <v>2480</v>
      </c>
      <c r="G292" t="s">
        <v>4070</v>
      </c>
      <c r="H292">
        <v>7973104000121</v>
      </c>
      <c r="I292" t="s">
        <v>979</v>
      </c>
      <c r="J292" t="s">
        <v>952</v>
      </c>
      <c r="K292" t="s">
        <v>952</v>
      </c>
      <c r="L292" t="s">
        <v>4071</v>
      </c>
      <c r="N292" t="s">
        <v>982</v>
      </c>
      <c r="P292" t="s">
        <v>778</v>
      </c>
      <c r="Q292" t="s">
        <v>983</v>
      </c>
      <c r="R292" t="s">
        <v>932</v>
      </c>
      <c r="U292" t="s">
        <v>319</v>
      </c>
      <c r="V292" t="s">
        <v>781</v>
      </c>
      <c r="AA292">
        <v>23</v>
      </c>
      <c r="AB292" s="31">
        <v>45889</v>
      </c>
      <c r="AC292" s="61">
        <v>0.41270833333333329</v>
      </c>
      <c r="AD292" t="s">
        <v>795</v>
      </c>
      <c r="AE292" s="31">
        <v>45912</v>
      </c>
      <c r="AF292" s="61">
        <v>0.71810185185185182</v>
      </c>
      <c r="AG292" t="s">
        <v>934</v>
      </c>
      <c r="AR292">
        <v>1</v>
      </c>
    </row>
    <row r="293" spans="1:44" x14ac:dyDescent="0.3">
      <c r="A293" t="s">
        <v>31</v>
      </c>
      <c r="B293">
        <v>535</v>
      </c>
      <c r="C293">
        <v>175</v>
      </c>
      <c r="D293">
        <v>2483</v>
      </c>
      <c r="G293" t="s">
        <v>4072</v>
      </c>
      <c r="H293">
        <v>52362985000107</v>
      </c>
      <c r="I293" t="s">
        <v>3519</v>
      </c>
      <c r="J293" t="s">
        <v>4073</v>
      </c>
      <c r="K293" t="s">
        <v>4073</v>
      </c>
      <c r="L293" t="s">
        <v>4074</v>
      </c>
      <c r="N293" t="s">
        <v>3521</v>
      </c>
      <c r="P293" t="s">
        <v>3522</v>
      </c>
      <c r="Q293" t="s">
        <v>3523</v>
      </c>
      <c r="R293" t="s">
        <v>790</v>
      </c>
      <c r="U293" t="s">
        <v>319</v>
      </c>
      <c r="V293" t="s">
        <v>3417</v>
      </c>
      <c r="X293">
        <v>3360</v>
      </c>
      <c r="Y293">
        <v>0</v>
      </c>
      <c r="AA293">
        <v>41</v>
      </c>
      <c r="AB293" s="31">
        <v>45889</v>
      </c>
      <c r="AC293" s="61">
        <v>0.42591435185185178</v>
      </c>
      <c r="AD293" t="s">
        <v>795</v>
      </c>
      <c r="AE293" s="31">
        <v>45930</v>
      </c>
      <c r="AF293" s="61">
        <v>0.39935185185185179</v>
      </c>
      <c r="AG293" t="s">
        <v>796</v>
      </c>
      <c r="AJ293" t="s">
        <v>4075</v>
      </c>
      <c r="AR293">
        <v>1</v>
      </c>
    </row>
    <row r="294" spans="1:44" x14ac:dyDescent="0.3">
      <c r="A294" t="s">
        <v>31</v>
      </c>
      <c r="B294">
        <v>536</v>
      </c>
      <c r="D294">
        <v>2484</v>
      </c>
      <c r="G294" t="s">
        <v>4076</v>
      </c>
      <c r="H294">
        <v>8037413000152</v>
      </c>
      <c r="J294" t="s">
        <v>4077</v>
      </c>
      <c r="K294" t="s">
        <v>4077</v>
      </c>
      <c r="L294" t="s">
        <v>4078</v>
      </c>
      <c r="N294" t="s">
        <v>4079</v>
      </c>
      <c r="P294" t="s">
        <v>778</v>
      </c>
      <c r="U294" t="s">
        <v>319</v>
      </c>
      <c r="V294" t="s">
        <v>3417</v>
      </c>
      <c r="X294">
        <v>3360</v>
      </c>
      <c r="Y294">
        <v>7128</v>
      </c>
      <c r="AA294">
        <v>37</v>
      </c>
      <c r="AB294" s="31">
        <v>45889</v>
      </c>
      <c r="AC294" s="61">
        <v>0.43030092592592589</v>
      </c>
      <c r="AD294" t="s">
        <v>795</v>
      </c>
      <c r="AE294" s="31">
        <v>45926</v>
      </c>
      <c r="AF294" s="61">
        <v>0.67302083333333329</v>
      </c>
      <c r="AG294" t="s">
        <v>796</v>
      </c>
      <c r="AI294" t="s">
        <v>4080</v>
      </c>
      <c r="AR294">
        <v>1</v>
      </c>
    </row>
    <row r="295" spans="1:44" x14ac:dyDescent="0.3">
      <c r="A295" t="s">
        <v>31</v>
      </c>
      <c r="B295">
        <v>538</v>
      </c>
      <c r="C295">
        <v>132</v>
      </c>
      <c r="D295">
        <v>2489</v>
      </c>
      <c r="G295" t="s">
        <v>4081</v>
      </c>
      <c r="I295" t="s">
        <v>3373</v>
      </c>
      <c r="J295" t="s">
        <v>3588</v>
      </c>
      <c r="K295" t="s">
        <v>3588</v>
      </c>
      <c r="L295" t="s">
        <v>3553</v>
      </c>
      <c r="N295" t="s">
        <v>3375</v>
      </c>
      <c r="P295" t="s">
        <v>778</v>
      </c>
      <c r="U295" t="s">
        <v>319</v>
      </c>
      <c r="V295" t="s">
        <v>3417</v>
      </c>
      <c r="X295">
        <v>3360</v>
      </c>
      <c r="Y295">
        <v>7128</v>
      </c>
      <c r="AA295">
        <v>5</v>
      </c>
      <c r="AB295" s="31">
        <v>45889</v>
      </c>
      <c r="AC295" s="61">
        <v>0.46584490740740742</v>
      </c>
      <c r="AD295" t="s">
        <v>795</v>
      </c>
      <c r="AE295" s="31">
        <v>45894</v>
      </c>
      <c r="AF295" s="61">
        <v>0.70057870370370368</v>
      </c>
      <c r="AG295" t="s">
        <v>3463</v>
      </c>
      <c r="AI295" t="s">
        <v>4080</v>
      </c>
      <c r="AJ295" t="s">
        <v>4080</v>
      </c>
      <c r="AR295">
        <v>1</v>
      </c>
    </row>
    <row r="296" spans="1:44" x14ac:dyDescent="0.3">
      <c r="A296" t="s">
        <v>31</v>
      </c>
      <c r="B296">
        <v>541</v>
      </c>
      <c r="C296">
        <v>97</v>
      </c>
      <c r="D296">
        <v>2495</v>
      </c>
      <c r="G296" t="s">
        <v>4082</v>
      </c>
      <c r="H296">
        <v>22500484000170</v>
      </c>
      <c r="I296" t="s">
        <v>669</v>
      </c>
      <c r="J296" t="s">
        <v>4034</v>
      </c>
      <c r="K296" t="s">
        <v>4034</v>
      </c>
      <c r="L296" t="s">
        <v>4035</v>
      </c>
      <c r="N296" t="s">
        <v>3294</v>
      </c>
      <c r="P296" t="s">
        <v>778</v>
      </c>
      <c r="U296" t="s">
        <v>319</v>
      </c>
      <c r="V296" t="s">
        <v>816</v>
      </c>
      <c r="X296">
        <v>630</v>
      </c>
      <c r="Y296">
        <v>0</v>
      </c>
      <c r="AA296">
        <v>0</v>
      </c>
      <c r="AB296" s="31">
        <v>45889</v>
      </c>
      <c r="AC296" s="61">
        <v>0.69578703703703704</v>
      </c>
      <c r="AD296" t="s">
        <v>818</v>
      </c>
      <c r="AE296" s="31">
        <v>45889</v>
      </c>
      <c r="AF296" s="61">
        <v>0.69665509259259262</v>
      </c>
      <c r="AI296" t="s">
        <v>4080</v>
      </c>
      <c r="AR296">
        <v>1</v>
      </c>
    </row>
    <row r="297" spans="1:44" x14ac:dyDescent="0.3">
      <c r="A297" t="s">
        <v>31</v>
      </c>
      <c r="B297">
        <v>543</v>
      </c>
      <c r="C297">
        <v>179</v>
      </c>
      <c r="D297">
        <v>2500</v>
      </c>
      <c r="G297" t="s">
        <v>4083</v>
      </c>
      <c r="H297">
        <v>21736169000184</v>
      </c>
      <c r="I297" t="s">
        <v>3546</v>
      </c>
      <c r="J297" t="s">
        <v>1243</v>
      </c>
      <c r="K297" t="s">
        <v>1243</v>
      </c>
      <c r="L297" t="s">
        <v>3547</v>
      </c>
      <c r="N297" t="s">
        <v>3548</v>
      </c>
      <c r="P297" t="s">
        <v>3549</v>
      </c>
      <c r="Q297" t="s">
        <v>3550</v>
      </c>
      <c r="R297" t="s">
        <v>874</v>
      </c>
      <c r="U297" t="s">
        <v>319</v>
      </c>
      <c r="V297" t="s">
        <v>816</v>
      </c>
      <c r="X297">
        <v>4200</v>
      </c>
      <c r="Y297">
        <v>0</v>
      </c>
      <c r="AA297">
        <v>39</v>
      </c>
      <c r="AB297" s="31">
        <v>45890</v>
      </c>
      <c r="AC297" s="61">
        <v>0.4518287037037037</v>
      </c>
      <c r="AD297" t="s">
        <v>795</v>
      </c>
      <c r="AE297" s="31">
        <v>45929</v>
      </c>
      <c r="AF297" s="61">
        <v>0.44091435185185179</v>
      </c>
      <c r="AG297" t="s">
        <v>796</v>
      </c>
      <c r="AI297" t="s">
        <v>4084</v>
      </c>
      <c r="AR297">
        <v>1</v>
      </c>
    </row>
    <row r="298" spans="1:44" x14ac:dyDescent="0.3">
      <c r="A298" t="s">
        <v>31</v>
      </c>
      <c r="B298">
        <v>544</v>
      </c>
      <c r="C298">
        <v>76</v>
      </c>
      <c r="D298">
        <v>2501</v>
      </c>
      <c r="G298" t="s">
        <v>4085</v>
      </c>
      <c r="I298" t="s">
        <v>225</v>
      </c>
      <c r="J298" t="s">
        <v>4086</v>
      </c>
      <c r="K298" t="s">
        <v>4086</v>
      </c>
      <c r="L298" t="s">
        <v>3623</v>
      </c>
      <c r="N298" t="s">
        <v>3233</v>
      </c>
      <c r="P298" t="s">
        <v>778</v>
      </c>
      <c r="Q298" t="s">
        <v>3234</v>
      </c>
      <c r="R298" t="s">
        <v>1699</v>
      </c>
      <c r="U298" t="s">
        <v>319</v>
      </c>
      <c r="V298" t="s">
        <v>816</v>
      </c>
      <c r="X298">
        <v>1680</v>
      </c>
      <c r="Y298">
        <v>0</v>
      </c>
      <c r="AA298">
        <v>0</v>
      </c>
      <c r="AB298" s="31">
        <v>45890</v>
      </c>
      <c r="AC298" s="61">
        <v>0.4753472222222222</v>
      </c>
      <c r="AD298" t="s">
        <v>818</v>
      </c>
      <c r="AE298" s="31">
        <v>45890</v>
      </c>
      <c r="AF298" s="61">
        <v>0.66390046296296301</v>
      </c>
      <c r="AI298" t="s">
        <v>4084</v>
      </c>
      <c r="AR298">
        <v>1</v>
      </c>
    </row>
    <row r="299" spans="1:44" x14ac:dyDescent="0.3">
      <c r="A299" t="s">
        <v>31</v>
      </c>
      <c r="B299">
        <v>547</v>
      </c>
      <c r="C299">
        <v>76</v>
      </c>
      <c r="D299">
        <v>2503</v>
      </c>
      <c r="G299" t="s">
        <v>4087</v>
      </c>
      <c r="I299" t="s">
        <v>225</v>
      </c>
      <c r="J299" t="s">
        <v>3691</v>
      </c>
      <c r="K299" t="s">
        <v>3691</v>
      </c>
      <c r="L299" t="s">
        <v>3623</v>
      </c>
      <c r="N299" t="s">
        <v>3233</v>
      </c>
      <c r="P299" t="s">
        <v>778</v>
      </c>
      <c r="Q299" t="s">
        <v>3234</v>
      </c>
      <c r="R299" t="s">
        <v>1699</v>
      </c>
      <c r="U299" t="s">
        <v>319</v>
      </c>
      <c r="V299" t="s">
        <v>816</v>
      </c>
      <c r="X299">
        <v>1680</v>
      </c>
      <c r="Y299">
        <v>64152</v>
      </c>
      <c r="AA299">
        <v>21</v>
      </c>
      <c r="AB299" s="31">
        <v>45894</v>
      </c>
      <c r="AC299" s="61">
        <v>0.41486111111111112</v>
      </c>
      <c r="AD299" t="s">
        <v>818</v>
      </c>
      <c r="AE299" s="31">
        <v>45915</v>
      </c>
      <c r="AF299" s="61">
        <v>0.47063657407407411</v>
      </c>
      <c r="AI299" t="s">
        <v>2048</v>
      </c>
      <c r="AJ299" t="s">
        <v>2048</v>
      </c>
      <c r="AR299">
        <v>1</v>
      </c>
    </row>
    <row r="300" spans="1:44" x14ac:dyDescent="0.3">
      <c r="A300" t="s">
        <v>31</v>
      </c>
      <c r="B300">
        <v>548</v>
      </c>
      <c r="C300">
        <v>190</v>
      </c>
      <c r="D300">
        <v>2504</v>
      </c>
      <c r="G300" t="s">
        <v>4088</v>
      </c>
      <c r="H300">
        <v>18203215000175</v>
      </c>
      <c r="I300" t="s">
        <v>3690</v>
      </c>
      <c r="J300" t="s">
        <v>4089</v>
      </c>
      <c r="K300" t="s">
        <v>4089</v>
      </c>
      <c r="L300" t="s">
        <v>3692</v>
      </c>
      <c r="N300" t="s">
        <v>3693</v>
      </c>
      <c r="P300" t="s">
        <v>3694</v>
      </c>
      <c r="Q300" t="s">
        <v>3695</v>
      </c>
      <c r="R300" t="s">
        <v>790</v>
      </c>
      <c r="U300" t="s">
        <v>319</v>
      </c>
      <c r="V300" t="s">
        <v>816</v>
      </c>
      <c r="X300">
        <v>3360</v>
      </c>
      <c r="Y300">
        <v>0</v>
      </c>
      <c r="AA300">
        <v>9</v>
      </c>
      <c r="AB300" s="31">
        <v>45894</v>
      </c>
      <c r="AC300" s="61">
        <v>0.43626157407407412</v>
      </c>
      <c r="AD300" t="s">
        <v>818</v>
      </c>
      <c r="AE300" s="31">
        <v>45903</v>
      </c>
      <c r="AF300" s="61">
        <v>0.51253472222222218</v>
      </c>
      <c r="AI300" t="s">
        <v>2048</v>
      </c>
      <c r="AR300">
        <v>1</v>
      </c>
    </row>
    <row r="301" spans="1:44" x14ac:dyDescent="0.3">
      <c r="A301" t="s">
        <v>31</v>
      </c>
      <c r="B301">
        <v>549</v>
      </c>
      <c r="C301">
        <v>208</v>
      </c>
      <c r="D301">
        <v>2505</v>
      </c>
      <c r="G301" t="s">
        <v>4090</v>
      </c>
      <c r="H301">
        <v>42830750000130</v>
      </c>
      <c r="I301" t="s">
        <v>3903</v>
      </c>
      <c r="J301" t="s">
        <v>4091</v>
      </c>
      <c r="K301" t="s">
        <v>4091</v>
      </c>
      <c r="L301" t="s">
        <v>3905</v>
      </c>
      <c r="N301" t="s">
        <v>4594</v>
      </c>
      <c r="P301" t="s">
        <v>3907</v>
      </c>
      <c r="Q301" t="s">
        <v>1094</v>
      </c>
      <c r="R301" t="s">
        <v>790</v>
      </c>
      <c r="U301" t="s">
        <v>319</v>
      </c>
      <c r="V301" t="s">
        <v>3417</v>
      </c>
      <c r="X301">
        <v>3360</v>
      </c>
      <c r="Y301">
        <v>7128</v>
      </c>
      <c r="AA301">
        <v>7</v>
      </c>
      <c r="AB301" s="31">
        <v>45894</v>
      </c>
      <c r="AC301" s="61">
        <v>0.49232638888888891</v>
      </c>
      <c r="AD301" t="s">
        <v>795</v>
      </c>
      <c r="AE301" s="31">
        <v>45901</v>
      </c>
      <c r="AF301" s="61">
        <v>0.45027777777777778</v>
      </c>
      <c r="AG301" t="s">
        <v>934</v>
      </c>
      <c r="AI301" t="s">
        <v>2048</v>
      </c>
      <c r="AJ301" t="s">
        <v>2048</v>
      </c>
      <c r="AR301">
        <v>1</v>
      </c>
    </row>
    <row r="302" spans="1:44" x14ac:dyDescent="0.3">
      <c r="A302" t="s">
        <v>31</v>
      </c>
      <c r="B302">
        <v>551</v>
      </c>
      <c r="C302">
        <v>130</v>
      </c>
      <c r="D302">
        <v>2507</v>
      </c>
      <c r="G302" t="s">
        <v>4092</v>
      </c>
      <c r="I302" t="s">
        <v>141</v>
      </c>
      <c r="J302" t="s">
        <v>3675</v>
      </c>
      <c r="K302" t="s">
        <v>3675</v>
      </c>
      <c r="L302" t="s">
        <v>3676</v>
      </c>
      <c r="N302" t="s">
        <v>3368</v>
      </c>
      <c r="P302" t="s">
        <v>778</v>
      </c>
      <c r="Q302" t="s">
        <v>923</v>
      </c>
      <c r="R302" t="s">
        <v>790</v>
      </c>
      <c r="U302" t="s">
        <v>319</v>
      </c>
      <c r="V302" t="s">
        <v>816</v>
      </c>
      <c r="X302">
        <v>2000</v>
      </c>
      <c r="Y302">
        <v>0</v>
      </c>
      <c r="AA302">
        <v>0</v>
      </c>
      <c r="AB302" s="31">
        <v>45894</v>
      </c>
      <c r="AC302" s="61">
        <v>0.60696759259259259</v>
      </c>
      <c r="AD302" t="s">
        <v>818</v>
      </c>
      <c r="AE302" s="31">
        <v>45894</v>
      </c>
      <c r="AF302" s="61">
        <v>0.64976851851851847</v>
      </c>
      <c r="AI302" t="s">
        <v>2048</v>
      </c>
      <c r="AR302">
        <v>1</v>
      </c>
    </row>
    <row r="303" spans="1:44" x14ac:dyDescent="0.3">
      <c r="A303" t="s">
        <v>31</v>
      </c>
      <c r="B303">
        <v>554</v>
      </c>
      <c r="C303">
        <v>0</v>
      </c>
      <c r="D303">
        <v>2510</v>
      </c>
      <c r="G303" t="s">
        <v>4093</v>
      </c>
      <c r="H303">
        <v>49119936000125</v>
      </c>
      <c r="J303" t="s">
        <v>4094</v>
      </c>
      <c r="K303" t="s">
        <v>4094</v>
      </c>
      <c r="L303" t="s">
        <v>4095</v>
      </c>
      <c r="N303" t="s">
        <v>4096</v>
      </c>
      <c r="P303" t="s">
        <v>778</v>
      </c>
      <c r="U303" t="s">
        <v>319</v>
      </c>
      <c r="V303" t="s">
        <v>781</v>
      </c>
      <c r="AA303">
        <v>35</v>
      </c>
      <c r="AB303" s="31">
        <v>45895</v>
      </c>
      <c r="AC303" s="61">
        <v>0.47723379629629631</v>
      </c>
      <c r="AD303" t="s">
        <v>795</v>
      </c>
      <c r="AE303" s="31">
        <v>45930</v>
      </c>
      <c r="AF303" s="61">
        <v>0.69893518518518516</v>
      </c>
      <c r="AG303" t="s">
        <v>796</v>
      </c>
      <c r="AR303">
        <v>1</v>
      </c>
    </row>
    <row r="304" spans="1:44" x14ac:dyDescent="0.3">
      <c r="A304" t="s">
        <v>31</v>
      </c>
      <c r="B304">
        <v>555</v>
      </c>
      <c r="C304">
        <v>129</v>
      </c>
      <c r="D304">
        <v>2513</v>
      </c>
      <c r="G304" t="s">
        <v>3535</v>
      </c>
      <c r="I304" t="s">
        <v>679</v>
      </c>
      <c r="J304" t="s">
        <v>928</v>
      </c>
      <c r="K304" t="s">
        <v>928</v>
      </c>
      <c r="L304" t="s">
        <v>3537</v>
      </c>
      <c r="N304" t="s">
        <v>3366</v>
      </c>
      <c r="P304" t="s">
        <v>778</v>
      </c>
      <c r="U304" t="s">
        <v>319</v>
      </c>
      <c r="V304" t="s">
        <v>816</v>
      </c>
      <c r="X304">
        <v>50000</v>
      </c>
      <c r="Y304">
        <v>68904</v>
      </c>
      <c r="AA304">
        <v>21</v>
      </c>
      <c r="AB304" s="31">
        <v>45895</v>
      </c>
      <c r="AC304" s="61">
        <v>0.51844907407407403</v>
      </c>
      <c r="AD304" t="s">
        <v>818</v>
      </c>
      <c r="AE304" s="31">
        <v>45916</v>
      </c>
      <c r="AF304" s="61">
        <v>0.65458333333333329</v>
      </c>
      <c r="AI304" t="s">
        <v>4097</v>
      </c>
      <c r="AJ304" t="s">
        <v>4097</v>
      </c>
      <c r="AR304">
        <v>1</v>
      </c>
    </row>
    <row r="305" spans="1:44" x14ac:dyDescent="0.3">
      <c r="A305" t="s">
        <v>31</v>
      </c>
      <c r="B305">
        <v>556</v>
      </c>
      <c r="C305">
        <v>118</v>
      </c>
      <c r="D305">
        <v>2514</v>
      </c>
      <c r="G305" t="s">
        <v>4098</v>
      </c>
      <c r="I305" t="s">
        <v>686</v>
      </c>
      <c r="J305" t="s">
        <v>162</v>
      </c>
      <c r="K305" t="s">
        <v>162</v>
      </c>
      <c r="L305" t="s">
        <v>3609</v>
      </c>
      <c r="N305" t="s">
        <v>3343</v>
      </c>
      <c r="P305" t="s">
        <v>778</v>
      </c>
      <c r="U305" t="s">
        <v>319</v>
      </c>
      <c r="V305" t="s">
        <v>3417</v>
      </c>
      <c r="X305">
        <v>8400</v>
      </c>
      <c r="Y305">
        <v>0</v>
      </c>
      <c r="AA305">
        <v>23</v>
      </c>
      <c r="AB305" s="31">
        <v>45895</v>
      </c>
      <c r="AC305" s="61">
        <v>0.52089120370370368</v>
      </c>
      <c r="AD305" t="s">
        <v>795</v>
      </c>
      <c r="AE305" s="31">
        <v>45918</v>
      </c>
      <c r="AF305" s="61">
        <v>0.51217592592592598</v>
      </c>
      <c r="AG305" t="s">
        <v>934</v>
      </c>
      <c r="AI305" t="s">
        <v>4097</v>
      </c>
      <c r="AJ305" t="s">
        <v>4097</v>
      </c>
      <c r="AR305">
        <v>1</v>
      </c>
    </row>
    <row r="306" spans="1:44" x14ac:dyDescent="0.3">
      <c r="A306" t="s">
        <v>31</v>
      </c>
      <c r="B306">
        <v>560</v>
      </c>
      <c r="C306">
        <v>142</v>
      </c>
      <c r="D306">
        <v>2522</v>
      </c>
      <c r="G306" t="s">
        <v>4099</v>
      </c>
      <c r="I306" t="s">
        <v>3397</v>
      </c>
      <c r="J306" t="s">
        <v>2610</v>
      </c>
      <c r="K306" t="s">
        <v>2610</v>
      </c>
      <c r="L306" t="s">
        <v>3698</v>
      </c>
      <c r="N306" t="s">
        <v>3399</v>
      </c>
      <c r="P306" t="s">
        <v>778</v>
      </c>
      <c r="Q306" t="s">
        <v>3400</v>
      </c>
      <c r="R306" t="s">
        <v>1699</v>
      </c>
      <c r="U306" t="s">
        <v>319</v>
      </c>
      <c r="V306" t="s">
        <v>3417</v>
      </c>
      <c r="X306">
        <v>3360</v>
      </c>
      <c r="Y306">
        <v>7128</v>
      </c>
      <c r="AA306">
        <v>14</v>
      </c>
      <c r="AB306" s="31">
        <v>45898</v>
      </c>
      <c r="AC306" s="61">
        <v>0.67541666666666667</v>
      </c>
      <c r="AD306" t="s">
        <v>795</v>
      </c>
      <c r="AE306" s="31">
        <v>45912</v>
      </c>
      <c r="AF306" s="61">
        <v>0.71483796296296298</v>
      </c>
      <c r="AG306" t="s">
        <v>934</v>
      </c>
      <c r="AI306" t="s">
        <v>4100</v>
      </c>
      <c r="AJ306" t="s">
        <v>4100</v>
      </c>
      <c r="AR306">
        <v>1</v>
      </c>
    </row>
    <row r="307" spans="1:44" x14ac:dyDescent="0.3">
      <c r="A307" t="s">
        <v>31</v>
      </c>
      <c r="B307">
        <v>565</v>
      </c>
      <c r="C307">
        <v>185</v>
      </c>
      <c r="D307">
        <v>2537</v>
      </c>
      <c r="G307" t="s">
        <v>4101</v>
      </c>
      <c r="H307">
        <v>51496785000176</v>
      </c>
      <c r="I307" t="s">
        <v>3599</v>
      </c>
      <c r="J307" t="s">
        <v>3600</v>
      </c>
      <c r="K307" t="s">
        <v>3600</v>
      </c>
      <c r="L307" t="s">
        <v>3601</v>
      </c>
      <c r="N307" t="s">
        <v>3602</v>
      </c>
      <c r="P307" t="s">
        <v>3603</v>
      </c>
      <c r="Q307" t="s">
        <v>847</v>
      </c>
      <c r="R307" t="s">
        <v>848</v>
      </c>
      <c r="U307" t="s">
        <v>319</v>
      </c>
      <c r="V307" t="s">
        <v>816</v>
      </c>
      <c r="X307">
        <v>293842</v>
      </c>
      <c r="Y307">
        <v>0</v>
      </c>
      <c r="AA307">
        <v>3</v>
      </c>
      <c r="AB307" s="31">
        <v>45901</v>
      </c>
      <c r="AC307" s="61">
        <v>0.66069444444444447</v>
      </c>
      <c r="AD307" t="s">
        <v>818</v>
      </c>
      <c r="AE307" s="31">
        <v>45904</v>
      </c>
      <c r="AF307" s="61">
        <v>0.62457175925925923</v>
      </c>
      <c r="AI307" t="s">
        <v>4102</v>
      </c>
      <c r="AR307">
        <v>1</v>
      </c>
    </row>
    <row r="308" spans="1:44" x14ac:dyDescent="0.3">
      <c r="A308" t="s">
        <v>31</v>
      </c>
      <c r="B308">
        <v>568</v>
      </c>
      <c r="C308">
        <v>199</v>
      </c>
      <c r="D308">
        <v>2542</v>
      </c>
      <c r="G308" t="s">
        <v>4103</v>
      </c>
      <c r="H308">
        <v>50963243000101</v>
      </c>
      <c r="I308" t="s">
        <v>3750</v>
      </c>
      <c r="J308" t="s">
        <v>3844</v>
      </c>
      <c r="K308" t="s">
        <v>3844</v>
      </c>
      <c r="L308" t="s">
        <v>3752</v>
      </c>
      <c r="N308" t="s">
        <v>3753</v>
      </c>
      <c r="P308" t="s">
        <v>3754</v>
      </c>
      <c r="Q308" t="s">
        <v>1094</v>
      </c>
      <c r="R308" t="s">
        <v>790</v>
      </c>
      <c r="U308" t="s">
        <v>319</v>
      </c>
      <c r="V308" t="s">
        <v>816</v>
      </c>
      <c r="X308">
        <v>3024</v>
      </c>
      <c r="Y308">
        <v>0</v>
      </c>
      <c r="AA308">
        <v>1</v>
      </c>
      <c r="AB308" s="31">
        <v>45902</v>
      </c>
      <c r="AC308" s="61">
        <v>0.50137731481481485</v>
      </c>
      <c r="AD308" t="s">
        <v>818</v>
      </c>
      <c r="AE308" s="31">
        <v>45903</v>
      </c>
      <c r="AF308" s="61">
        <v>0.51120370370370372</v>
      </c>
      <c r="AI308" t="s">
        <v>2213</v>
      </c>
      <c r="AR308">
        <v>1</v>
      </c>
    </row>
    <row r="309" spans="1:44" x14ac:dyDescent="0.3">
      <c r="A309" t="s">
        <v>31</v>
      </c>
      <c r="B309">
        <v>569</v>
      </c>
      <c r="C309">
        <v>130</v>
      </c>
      <c r="D309">
        <v>2543</v>
      </c>
      <c r="G309" t="s">
        <v>4104</v>
      </c>
      <c r="I309" t="s">
        <v>141</v>
      </c>
      <c r="J309" t="s">
        <v>3675</v>
      </c>
      <c r="K309" t="s">
        <v>3675</v>
      </c>
      <c r="L309" t="s">
        <v>3676</v>
      </c>
      <c r="N309" t="s">
        <v>3368</v>
      </c>
      <c r="P309" t="s">
        <v>778</v>
      </c>
      <c r="Q309" t="s">
        <v>923</v>
      </c>
      <c r="R309" t="s">
        <v>790</v>
      </c>
      <c r="U309" t="s">
        <v>319</v>
      </c>
      <c r="V309" t="s">
        <v>816</v>
      </c>
      <c r="X309">
        <v>11340</v>
      </c>
      <c r="Y309">
        <v>42982</v>
      </c>
      <c r="AA309">
        <v>8</v>
      </c>
      <c r="AB309" s="31">
        <v>45903</v>
      </c>
      <c r="AC309" s="61">
        <v>0.4649537037037037</v>
      </c>
      <c r="AD309" t="s">
        <v>818</v>
      </c>
      <c r="AE309" s="31">
        <v>45911</v>
      </c>
      <c r="AF309" s="61">
        <v>0.42986111111111108</v>
      </c>
      <c r="AI309" t="s">
        <v>4105</v>
      </c>
      <c r="AJ309" t="s">
        <v>4105</v>
      </c>
      <c r="AR309">
        <v>1</v>
      </c>
    </row>
    <row r="310" spans="1:44" x14ac:dyDescent="0.3">
      <c r="A310" t="s">
        <v>31</v>
      </c>
      <c r="B310">
        <v>570</v>
      </c>
      <c r="C310">
        <v>122</v>
      </c>
      <c r="D310">
        <v>2544</v>
      </c>
      <c r="G310" t="s">
        <v>4106</v>
      </c>
      <c r="I310" t="s">
        <v>680</v>
      </c>
      <c r="J310" t="s">
        <v>680</v>
      </c>
      <c r="K310" t="s">
        <v>680</v>
      </c>
      <c r="L310" t="s">
        <v>3867</v>
      </c>
      <c r="N310" t="s">
        <v>3351</v>
      </c>
      <c r="P310" t="s">
        <v>778</v>
      </c>
      <c r="U310" t="s">
        <v>319</v>
      </c>
      <c r="V310" t="s">
        <v>816</v>
      </c>
      <c r="X310">
        <v>1008</v>
      </c>
      <c r="Y310">
        <v>0</v>
      </c>
      <c r="AA310">
        <v>0</v>
      </c>
      <c r="AB310" s="31">
        <v>45903</v>
      </c>
      <c r="AC310" s="61">
        <v>0.47706018518518523</v>
      </c>
      <c r="AD310" t="s">
        <v>818</v>
      </c>
      <c r="AE310" s="31">
        <v>45903</v>
      </c>
      <c r="AF310" s="61">
        <v>0.51025462962962964</v>
      </c>
      <c r="AI310" t="s">
        <v>4105</v>
      </c>
      <c r="AR310">
        <v>1</v>
      </c>
    </row>
    <row r="311" spans="1:44" x14ac:dyDescent="0.3">
      <c r="A311" t="s">
        <v>31</v>
      </c>
      <c r="B311">
        <v>571</v>
      </c>
      <c r="C311">
        <v>194</v>
      </c>
      <c r="D311">
        <v>2546</v>
      </c>
      <c r="G311" t="s">
        <v>4107</v>
      </c>
      <c r="H311">
        <v>44580314000186</v>
      </c>
      <c r="I311" t="s">
        <v>3682</v>
      </c>
      <c r="J311" t="s">
        <v>3683</v>
      </c>
      <c r="K311" t="s">
        <v>3683</v>
      </c>
      <c r="L311" t="s">
        <v>3684</v>
      </c>
      <c r="N311" t="s">
        <v>3685</v>
      </c>
      <c r="P311" t="s">
        <v>3686</v>
      </c>
      <c r="Q311" t="s">
        <v>3687</v>
      </c>
      <c r="R311" t="s">
        <v>790</v>
      </c>
      <c r="U311" t="s">
        <v>319</v>
      </c>
      <c r="V311" t="s">
        <v>816</v>
      </c>
      <c r="X311">
        <v>7200</v>
      </c>
      <c r="Y311">
        <v>0</v>
      </c>
      <c r="AA311">
        <v>0</v>
      </c>
      <c r="AB311" s="31">
        <v>45903</v>
      </c>
      <c r="AC311" s="61">
        <v>0.6932638888888889</v>
      </c>
      <c r="AD311" t="s">
        <v>818</v>
      </c>
      <c r="AE311" s="31">
        <v>45903</v>
      </c>
      <c r="AF311" s="61">
        <v>0.7319444444444444</v>
      </c>
      <c r="AI311" t="s">
        <v>4105</v>
      </c>
      <c r="AJ311" t="s">
        <v>4105</v>
      </c>
      <c r="AR311">
        <v>1</v>
      </c>
    </row>
    <row r="312" spans="1:44" x14ac:dyDescent="0.3">
      <c r="A312" t="s">
        <v>31</v>
      </c>
      <c r="B312">
        <v>572</v>
      </c>
      <c r="C312">
        <v>137</v>
      </c>
      <c r="D312">
        <v>2548</v>
      </c>
      <c r="G312" t="s">
        <v>3701</v>
      </c>
      <c r="I312" t="s">
        <v>116</v>
      </c>
      <c r="J312" t="s">
        <v>704</v>
      </c>
      <c r="K312" t="s">
        <v>704</v>
      </c>
      <c r="L312" t="s">
        <v>3703</v>
      </c>
      <c r="N312" t="s">
        <v>3386</v>
      </c>
      <c r="P312" t="s">
        <v>778</v>
      </c>
      <c r="U312" t="s">
        <v>319</v>
      </c>
      <c r="V312" t="s">
        <v>816</v>
      </c>
      <c r="X312">
        <v>0</v>
      </c>
      <c r="Y312">
        <v>55241</v>
      </c>
      <c r="AA312">
        <v>21</v>
      </c>
      <c r="AB312" s="31">
        <v>45908</v>
      </c>
      <c r="AC312" s="61">
        <v>0.42853009259259262</v>
      </c>
      <c r="AD312" t="s">
        <v>795</v>
      </c>
      <c r="AE312" s="31">
        <v>45929</v>
      </c>
      <c r="AF312" s="61">
        <v>0.3904050925925926</v>
      </c>
      <c r="AG312" t="s">
        <v>1358</v>
      </c>
      <c r="AI312" t="s">
        <v>4108</v>
      </c>
      <c r="AJ312" t="s">
        <v>4108</v>
      </c>
      <c r="AR312">
        <v>1</v>
      </c>
    </row>
    <row r="313" spans="1:44" x14ac:dyDescent="0.3">
      <c r="A313" t="s">
        <v>31</v>
      </c>
      <c r="B313">
        <v>573</v>
      </c>
      <c r="C313">
        <v>85</v>
      </c>
      <c r="D313">
        <v>2550</v>
      </c>
      <c r="G313" t="s">
        <v>4109</v>
      </c>
      <c r="I313" t="s">
        <v>3261</v>
      </c>
      <c r="J313" t="s">
        <v>3971</v>
      </c>
      <c r="K313" t="s">
        <v>3971</v>
      </c>
      <c r="L313" t="s">
        <v>3972</v>
      </c>
      <c r="N313" t="s">
        <v>3263</v>
      </c>
      <c r="P313" t="s">
        <v>778</v>
      </c>
      <c r="Q313" t="s">
        <v>3264</v>
      </c>
      <c r="U313" t="s">
        <v>319</v>
      </c>
      <c r="V313" t="s">
        <v>3417</v>
      </c>
      <c r="X313">
        <v>3360</v>
      </c>
      <c r="Y313">
        <v>3564</v>
      </c>
      <c r="AA313">
        <v>4</v>
      </c>
      <c r="AB313" s="31">
        <v>45908</v>
      </c>
      <c r="AC313" s="61">
        <v>0.69795138888888886</v>
      </c>
      <c r="AD313" t="s">
        <v>795</v>
      </c>
      <c r="AE313" s="31">
        <v>45912</v>
      </c>
      <c r="AF313" s="61">
        <v>0.44373842592592588</v>
      </c>
      <c r="AG313" t="s">
        <v>974</v>
      </c>
      <c r="AI313" t="s">
        <v>4108</v>
      </c>
      <c r="AJ313" t="s">
        <v>4108</v>
      </c>
      <c r="AR313">
        <v>1</v>
      </c>
    </row>
    <row r="314" spans="1:44" x14ac:dyDescent="0.3">
      <c r="A314" t="s">
        <v>31</v>
      </c>
      <c r="B314">
        <v>574</v>
      </c>
      <c r="C314">
        <v>159</v>
      </c>
      <c r="D314">
        <v>823</v>
      </c>
      <c r="G314" t="s">
        <v>4110</v>
      </c>
      <c r="H314">
        <v>43526090000161</v>
      </c>
      <c r="I314" t="s">
        <v>913</v>
      </c>
      <c r="J314" t="s">
        <v>914</v>
      </c>
      <c r="K314" t="s">
        <v>914</v>
      </c>
      <c r="L314">
        <v>11972961489</v>
      </c>
      <c r="N314" t="s">
        <v>916</v>
      </c>
      <c r="P314" t="s">
        <v>778</v>
      </c>
      <c r="Q314" t="s">
        <v>909</v>
      </c>
      <c r="R314" t="s">
        <v>790</v>
      </c>
      <c r="U314" t="s">
        <v>319</v>
      </c>
      <c r="V314" t="s">
        <v>3417</v>
      </c>
      <c r="X314">
        <v>3360</v>
      </c>
      <c r="Y314">
        <v>3564</v>
      </c>
      <c r="AA314">
        <v>21</v>
      </c>
      <c r="AB314" s="31">
        <v>45909</v>
      </c>
      <c r="AC314" s="61">
        <v>0.62616898148148148</v>
      </c>
      <c r="AD314" t="s">
        <v>795</v>
      </c>
      <c r="AE314" s="31">
        <v>45930</v>
      </c>
      <c r="AF314" s="61">
        <v>0.38518518518518519</v>
      </c>
      <c r="AG314" t="s">
        <v>934</v>
      </c>
      <c r="AI314" t="s">
        <v>2209</v>
      </c>
      <c r="AJ314" t="s">
        <v>2209</v>
      </c>
      <c r="AR314">
        <v>1</v>
      </c>
    </row>
    <row r="315" spans="1:44" x14ac:dyDescent="0.3">
      <c r="A315" t="s">
        <v>31</v>
      </c>
      <c r="B315">
        <v>579</v>
      </c>
      <c r="C315">
        <v>208</v>
      </c>
      <c r="D315">
        <v>2552</v>
      </c>
      <c r="G315" t="s">
        <v>4111</v>
      </c>
      <c r="H315">
        <v>42830750000130</v>
      </c>
      <c r="I315" t="s">
        <v>3903</v>
      </c>
      <c r="J315" t="s">
        <v>4091</v>
      </c>
      <c r="K315" t="s">
        <v>4091</v>
      </c>
      <c r="L315" t="s">
        <v>3905</v>
      </c>
      <c r="N315" t="s">
        <v>4594</v>
      </c>
      <c r="P315" t="s">
        <v>3907</v>
      </c>
      <c r="Q315" t="s">
        <v>1094</v>
      </c>
      <c r="R315" t="s">
        <v>790</v>
      </c>
      <c r="U315" t="s">
        <v>319</v>
      </c>
      <c r="V315" t="s">
        <v>3606</v>
      </c>
      <c r="AA315">
        <v>0</v>
      </c>
      <c r="AB315" s="31">
        <v>45911</v>
      </c>
      <c r="AC315" s="61">
        <v>0.43406250000000002</v>
      </c>
      <c r="AD315" t="s">
        <v>795</v>
      </c>
      <c r="AE315" s="31">
        <v>45911</v>
      </c>
      <c r="AF315" s="61">
        <v>0.4347685185185185</v>
      </c>
      <c r="AG315" t="s">
        <v>796</v>
      </c>
      <c r="AJ315" t="s">
        <v>2107</v>
      </c>
      <c r="AR315">
        <v>1</v>
      </c>
    </row>
    <row r="316" spans="1:44" x14ac:dyDescent="0.3">
      <c r="A316" t="s">
        <v>31</v>
      </c>
      <c r="B316">
        <v>580</v>
      </c>
      <c r="C316">
        <v>174</v>
      </c>
      <c r="D316">
        <v>2553</v>
      </c>
      <c r="G316" t="s">
        <v>4112</v>
      </c>
      <c r="H316">
        <v>45238441000164</v>
      </c>
      <c r="I316" t="s">
        <v>3507</v>
      </c>
      <c r="J316" t="s">
        <v>3995</v>
      </c>
      <c r="K316" t="s">
        <v>3995</v>
      </c>
      <c r="L316" t="s">
        <v>3509</v>
      </c>
      <c r="M316">
        <v>11973359869</v>
      </c>
      <c r="N316" t="s">
        <v>3510</v>
      </c>
      <c r="P316" t="s">
        <v>3511</v>
      </c>
      <c r="Q316" t="s">
        <v>1094</v>
      </c>
      <c r="R316" t="s">
        <v>790</v>
      </c>
      <c r="U316" t="s">
        <v>319</v>
      </c>
      <c r="V316" t="s">
        <v>816</v>
      </c>
      <c r="X316">
        <v>8064</v>
      </c>
      <c r="Y316">
        <v>0</v>
      </c>
      <c r="AA316">
        <v>40</v>
      </c>
      <c r="AB316" s="31">
        <v>45911</v>
      </c>
      <c r="AC316" s="61">
        <v>0.43517361111111108</v>
      </c>
      <c r="AD316" t="s">
        <v>818</v>
      </c>
      <c r="AE316" s="31">
        <v>45951</v>
      </c>
      <c r="AF316" s="61">
        <v>0.44538194444444451</v>
      </c>
      <c r="AI316" t="s">
        <v>4113</v>
      </c>
      <c r="AJ316" t="s">
        <v>2107</v>
      </c>
      <c r="AR316">
        <v>1</v>
      </c>
    </row>
    <row r="317" spans="1:44" x14ac:dyDescent="0.3">
      <c r="A317" t="s">
        <v>31</v>
      </c>
      <c r="B317">
        <v>581</v>
      </c>
      <c r="C317">
        <v>150</v>
      </c>
      <c r="D317">
        <v>2554</v>
      </c>
      <c r="G317" t="s">
        <v>4114</v>
      </c>
      <c r="H317">
        <v>32258848000101</v>
      </c>
      <c r="I317" t="s">
        <v>3435</v>
      </c>
      <c r="J317" t="s">
        <v>1540</v>
      </c>
      <c r="K317" t="s">
        <v>1540</v>
      </c>
      <c r="L317" t="s">
        <v>3493</v>
      </c>
      <c r="N317" t="s">
        <v>3437</v>
      </c>
      <c r="P317" t="s">
        <v>778</v>
      </c>
      <c r="U317" t="s">
        <v>319</v>
      </c>
      <c r="V317" t="s">
        <v>816</v>
      </c>
      <c r="X317">
        <v>7560</v>
      </c>
      <c r="Y317">
        <v>0</v>
      </c>
      <c r="AA317">
        <v>1</v>
      </c>
      <c r="AB317" s="31">
        <v>45911</v>
      </c>
      <c r="AC317" s="61">
        <v>0.43752314814814808</v>
      </c>
      <c r="AD317" t="s">
        <v>818</v>
      </c>
      <c r="AE317" s="31">
        <v>45912</v>
      </c>
      <c r="AF317" s="61">
        <v>0.44337962962962962</v>
      </c>
      <c r="AI317" t="s">
        <v>2129</v>
      </c>
      <c r="AJ317" t="s">
        <v>2107</v>
      </c>
      <c r="AR317">
        <v>1</v>
      </c>
    </row>
    <row r="318" spans="1:44" x14ac:dyDescent="0.3">
      <c r="A318" t="s">
        <v>31</v>
      </c>
      <c r="B318">
        <v>584</v>
      </c>
      <c r="C318">
        <v>211</v>
      </c>
      <c r="D318">
        <v>2556</v>
      </c>
      <c r="G318" t="s">
        <v>4115</v>
      </c>
      <c r="H318">
        <v>5691820000190</v>
      </c>
      <c r="I318" t="s">
        <v>3912</v>
      </c>
      <c r="J318" t="s">
        <v>3431</v>
      </c>
      <c r="K318" t="s">
        <v>3431</v>
      </c>
      <c r="L318" t="s">
        <v>3913</v>
      </c>
      <c r="N318" t="s">
        <v>3914</v>
      </c>
      <c r="P318" t="s">
        <v>3915</v>
      </c>
      <c r="Q318" t="s">
        <v>1026</v>
      </c>
      <c r="R318" t="s">
        <v>1027</v>
      </c>
      <c r="U318" t="s">
        <v>319</v>
      </c>
      <c r="V318" t="s">
        <v>816</v>
      </c>
      <c r="X318">
        <v>630</v>
      </c>
      <c r="Y318">
        <v>0</v>
      </c>
      <c r="AA318">
        <v>1</v>
      </c>
      <c r="AB318" s="31">
        <v>45911</v>
      </c>
      <c r="AC318" s="61">
        <v>0.7147337962962963</v>
      </c>
      <c r="AD318" t="s">
        <v>818</v>
      </c>
      <c r="AE318" s="31">
        <v>45912</v>
      </c>
      <c r="AF318" s="61">
        <v>0.42611111111111111</v>
      </c>
      <c r="AI318" t="s">
        <v>4116</v>
      </c>
      <c r="AR318">
        <v>1</v>
      </c>
    </row>
    <row r="319" spans="1:44" x14ac:dyDescent="0.3">
      <c r="A319" t="s">
        <v>31</v>
      </c>
      <c r="B319">
        <v>586</v>
      </c>
      <c r="C319">
        <v>113</v>
      </c>
      <c r="D319">
        <v>2558</v>
      </c>
      <c r="G319" t="s">
        <v>4117</v>
      </c>
      <c r="H319">
        <v>5588978000130</v>
      </c>
      <c r="I319" t="s">
        <v>65</v>
      </c>
      <c r="J319" t="s">
        <v>4118</v>
      </c>
      <c r="K319" t="s">
        <v>4118</v>
      </c>
      <c r="L319" t="s">
        <v>3472</v>
      </c>
      <c r="N319" t="s">
        <v>3329</v>
      </c>
      <c r="P319" t="s">
        <v>778</v>
      </c>
      <c r="U319" t="s">
        <v>319</v>
      </c>
      <c r="V319" t="s">
        <v>3417</v>
      </c>
      <c r="X319">
        <v>1696</v>
      </c>
      <c r="Y319">
        <v>0</v>
      </c>
      <c r="AA319">
        <v>14</v>
      </c>
      <c r="AB319" s="31">
        <v>45912</v>
      </c>
      <c r="AC319" s="61">
        <v>0.71891203703703699</v>
      </c>
      <c r="AD319" t="s">
        <v>795</v>
      </c>
      <c r="AE319" s="31">
        <v>45926</v>
      </c>
      <c r="AF319" s="61">
        <v>0.70046296296296295</v>
      </c>
      <c r="AG319" t="s">
        <v>796</v>
      </c>
      <c r="AI319" t="s">
        <v>4116</v>
      </c>
      <c r="AR319">
        <v>1</v>
      </c>
    </row>
    <row r="320" spans="1:44" x14ac:dyDescent="0.3">
      <c r="A320" t="s">
        <v>31</v>
      </c>
      <c r="B320">
        <v>588</v>
      </c>
      <c r="C320">
        <v>133</v>
      </c>
      <c r="D320">
        <v>2560</v>
      </c>
      <c r="G320" t="s">
        <v>4119</v>
      </c>
      <c r="H320">
        <v>9517464000144</v>
      </c>
      <c r="I320" t="s">
        <v>625</v>
      </c>
      <c r="J320" t="s">
        <v>3899</v>
      </c>
      <c r="K320" t="s">
        <v>3899</v>
      </c>
      <c r="L320" t="s">
        <v>3584</v>
      </c>
      <c r="N320" t="s">
        <v>2207</v>
      </c>
      <c r="P320" t="s">
        <v>778</v>
      </c>
      <c r="U320" t="s">
        <v>319</v>
      </c>
      <c r="V320" t="s">
        <v>3417</v>
      </c>
      <c r="X320">
        <v>7200</v>
      </c>
      <c r="Y320">
        <v>0</v>
      </c>
      <c r="AA320">
        <v>10</v>
      </c>
      <c r="AB320" s="31">
        <v>45915</v>
      </c>
      <c r="AC320" s="61">
        <v>0.66822916666666665</v>
      </c>
      <c r="AD320" t="s">
        <v>795</v>
      </c>
      <c r="AE320" s="31">
        <v>45925</v>
      </c>
      <c r="AF320" s="61">
        <v>0.72099537037037043</v>
      </c>
      <c r="AG320" t="s">
        <v>3463</v>
      </c>
      <c r="AI320" t="s">
        <v>2133</v>
      </c>
      <c r="AR320">
        <v>1</v>
      </c>
    </row>
    <row r="321" spans="1:44" x14ac:dyDescent="0.3">
      <c r="A321" t="s">
        <v>31</v>
      </c>
      <c r="B321">
        <v>591</v>
      </c>
      <c r="C321">
        <v>76</v>
      </c>
      <c r="D321">
        <v>2562</v>
      </c>
      <c r="G321" t="s">
        <v>4120</v>
      </c>
      <c r="H321">
        <v>43372158000103</v>
      </c>
      <c r="I321" t="s">
        <v>225</v>
      </c>
      <c r="J321" t="s">
        <v>4121</v>
      </c>
      <c r="K321" t="s">
        <v>4121</v>
      </c>
      <c r="L321" t="s">
        <v>3623</v>
      </c>
      <c r="N321" t="s">
        <v>3233</v>
      </c>
      <c r="P321" t="s">
        <v>778</v>
      </c>
      <c r="Q321" t="s">
        <v>3234</v>
      </c>
      <c r="R321" t="s">
        <v>1699</v>
      </c>
      <c r="U321" t="s">
        <v>319</v>
      </c>
      <c r="V321" t="s">
        <v>816</v>
      </c>
      <c r="X321">
        <v>59632</v>
      </c>
      <c r="Y321">
        <v>0</v>
      </c>
      <c r="AA321">
        <v>15</v>
      </c>
      <c r="AB321" s="31">
        <v>45916</v>
      </c>
      <c r="AC321" s="61">
        <v>0.65560185185185182</v>
      </c>
      <c r="AD321" t="s">
        <v>818</v>
      </c>
      <c r="AE321" s="31">
        <v>45931</v>
      </c>
      <c r="AF321" s="61">
        <v>0.40254629629629629</v>
      </c>
      <c r="AI321" t="s">
        <v>2142</v>
      </c>
      <c r="AR321">
        <v>1</v>
      </c>
    </row>
    <row r="322" spans="1:44" x14ac:dyDescent="0.3">
      <c r="A322" t="s">
        <v>31</v>
      </c>
      <c r="B322">
        <v>592</v>
      </c>
      <c r="C322">
        <v>201</v>
      </c>
      <c r="D322">
        <v>2566</v>
      </c>
      <c r="G322" t="s">
        <v>4122</v>
      </c>
      <c r="H322">
        <v>5291214000188</v>
      </c>
      <c r="I322" t="s">
        <v>3770</v>
      </c>
      <c r="J322" t="s">
        <v>4123</v>
      </c>
      <c r="K322" t="s">
        <v>4123</v>
      </c>
      <c r="L322" t="s">
        <v>4124</v>
      </c>
      <c r="N322" t="s">
        <v>3772</v>
      </c>
      <c r="P322" t="s">
        <v>3773</v>
      </c>
      <c r="Q322" t="s">
        <v>3774</v>
      </c>
      <c r="R322" t="s">
        <v>1105</v>
      </c>
      <c r="U322" t="s">
        <v>319</v>
      </c>
      <c r="V322" t="s">
        <v>3417</v>
      </c>
      <c r="X322">
        <v>3600</v>
      </c>
      <c r="Y322">
        <v>0</v>
      </c>
      <c r="AA322">
        <v>12</v>
      </c>
      <c r="AB322" s="31">
        <v>45918</v>
      </c>
      <c r="AC322" s="61">
        <v>0.42675925925925928</v>
      </c>
      <c r="AD322" t="s">
        <v>795</v>
      </c>
      <c r="AE322" s="31">
        <v>45930</v>
      </c>
      <c r="AF322" s="61">
        <v>0.38418981481481479</v>
      </c>
      <c r="AG322" t="s">
        <v>934</v>
      </c>
      <c r="AI322" t="s">
        <v>4125</v>
      </c>
      <c r="AJ322" t="s">
        <v>4125</v>
      </c>
      <c r="AR322">
        <v>1</v>
      </c>
    </row>
    <row r="323" spans="1:44" x14ac:dyDescent="0.3">
      <c r="A323" t="s">
        <v>31</v>
      </c>
      <c r="B323">
        <v>593</v>
      </c>
      <c r="C323">
        <v>141</v>
      </c>
      <c r="D323">
        <v>2567</v>
      </c>
      <c r="G323" t="s">
        <v>4126</v>
      </c>
      <c r="I323" t="s">
        <v>434</v>
      </c>
      <c r="J323" t="s">
        <v>914</v>
      </c>
      <c r="K323" t="s">
        <v>914</v>
      </c>
      <c r="L323" t="s">
        <v>4127</v>
      </c>
      <c r="N323" t="s">
        <v>3396</v>
      </c>
      <c r="P323" t="s">
        <v>778</v>
      </c>
      <c r="U323" t="s">
        <v>319</v>
      </c>
      <c r="V323" t="s">
        <v>3417</v>
      </c>
      <c r="X323">
        <v>1600</v>
      </c>
      <c r="Y323">
        <v>513518</v>
      </c>
      <c r="AA323">
        <v>8</v>
      </c>
      <c r="AB323" s="31">
        <v>45918</v>
      </c>
      <c r="AC323" s="61">
        <v>0.43583333333333341</v>
      </c>
      <c r="AD323" t="s">
        <v>795</v>
      </c>
      <c r="AE323" s="31">
        <v>45926</v>
      </c>
      <c r="AF323" s="61">
        <v>0.40023148148148152</v>
      </c>
      <c r="AG323" t="s">
        <v>934</v>
      </c>
      <c r="AI323" t="s">
        <v>4125</v>
      </c>
      <c r="AR323">
        <v>1</v>
      </c>
    </row>
    <row r="324" spans="1:44" x14ac:dyDescent="0.3">
      <c r="A324" t="s">
        <v>31</v>
      </c>
      <c r="B324">
        <v>594</v>
      </c>
      <c r="C324">
        <v>196</v>
      </c>
      <c r="D324">
        <v>2568</v>
      </c>
      <c r="G324" t="s">
        <v>4128</v>
      </c>
      <c r="H324">
        <v>32494222000102</v>
      </c>
      <c r="I324" t="s">
        <v>3715</v>
      </c>
      <c r="J324" t="s">
        <v>3808</v>
      </c>
      <c r="K324" t="s">
        <v>3808</v>
      </c>
      <c r="L324" t="s">
        <v>3717</v>
      </c>
      <c r="N324" t="s">
        <v>3718</v>
      </c>
      <c r="P324" t="s">
        <v>3719</v>
      </c>
      <c r="Q324" t="s">
        <v>3720</v>
      </c>
      <c r="R324" t="s">
        <v>790</v>
      </c>
      <c r="U324" t="s">
        <v>319</v>
      </c>
      <c r="V324" t="s">
        <v>816</v>
      </c>
      <c r="X324">
        <v>2880</v>
      </c>
      <c r="Y324">
        <v>32074</v>
      </c>
      <c r="AA324">
        <v>49</v>
      </c>
      <c r="AB324" s="31">
        <v>45918</v>
      </c>
      <c r="AC324" s="61">
        <v>0.46307870370370369</v>
      </c>
      <c r="AD324" t="s">
        <v>818</v>
      </c>
      <c r="AE324" s="31">
        <v>45953</v>
      </c>
      <c r="AF324" s="61">
        <v>0.40722222222222221</v>
      </c>
      <c r="AH324">
        <v>0</v>
      </c>
      <c r="AI324" t="s">
        <v>4125</v>
      </c>
      <c r="AJ324" t="s">
        <v>4125</v>
      </c>
      <c r="AR324">
        <v>1</v>
      </c>
    </row>
    <row r="325" spans="1:44" x14ac:dyDescent="0.3">
      <c r="A325" t="s">
        <v>31</v>
      </c>
      <c r="B325">
        <v>595</v>
      </c>
      <c r="C325">
        <v>153</v>
      </c>
      <c r="D325">
        <v>2569</v>
      </c>
      <c r="G325" t="s">
        <v>4129</v>
      </c>
      <c r="I325" t="s">
        <v>3451</v>
      </c>
      <c r="J325" t="s">
        <v>3982</v>
      </c>
      <c r="K325" t="s">
        <v>3982</v>
      </c>
      <c r="L325" t="s">
        <v>3983</v>
      </c>
      <c r="N325" t="s">
        <v>3454</v>
      </c>
      <c r="P325" t="s">
        <v>778</v>
      </c>
      <c r="U325" t="s">
        <v>319</v>
      </c>
      <c r="V325" t="s">
        <v>816</v>
      </c>
      <c r="X325">
        <v>21000</v>
      </c>
      <c r="Y325">
        <v>57024</v>
      </c>
      <c r="AA325">
        <v>39</v>
      </c>
      <c r="AB325" s="31">
        <v>45918</v>
      </c>
      <c r="AC325" s="61">
        <v>0.62599537037037034</v>
      </c>
      <c r="AD325" t="s">
        <v>818</v>
      </c>
      <c r="AE325" s="31">
        <v>45957</v>
      </c>
      <c r="AF325" s="61">
        <v>0.69543981481481476</v>
      </c>
      <c r="AI325" t="s">
        <v>4125</v>
      </c>
      <c r="AJ325" t="s">
        <v>4125</v>
      </c>
      <c r="AR325">
        <v>1</v>
      </c>
    </row>
    <row r="326" spans="1:44" x14ac:dyDescent="0.3">
      <c r="A326" t="s">
        <v>31</v>
      </c>
      <c r="B326">
        <v>596</v>
      </c>
      <c r="C326">
        <v>190</v>
      </c>
      <c r="D326">
        <v>2570</v>
      </c>
      <c r="G326" t="s">
        <v>4130</v>
      </c>
      <c r="H326">
        <v>18203215000175</v>
      </c>
      <c r="I326" t="s">
        <v>3690</v>
      </c>
      <c r="J326" t="s">
        <v>4131</v>
      </c>
      <c r="K326" t="s">
        <v>4131</v>
      </c>
      <c r="L326" t="s">
        <v>3692</v>
      </c>
      <c r="N326" t="s">
        <v>3693</v>
      </c>
      <c r="P326" t="s">
        <v>3694</v>
      </c>
      <c r="Q326" t="s">
        <v>3695</v>
      </c>
      <c r="R326" t="s">
        <v>790</v>
      </c>
      <c r="U326" t="s">
        <v>319</v>
      </c>
      <c r="V326" t="s">
        <v>816</v>
      </c>
      <c r="X326">
        <v>4320</v>
      </c>
      <c r="Y326">
        <v>0</v>
      </c>
      <c r="AA326">
        <v>0</v>
      </c>
      <c r="AB326" s="31">
        <v>45919</v>
      </c>
      <c r="AC326" s="61">
        <v>0.45946759259259262</v>
      </c>
      <c r="AD326" t="s">
        <v>818</v>
      </c>
      <c r="AE326" s="31">
        <v>45919</v>
      </c>
      <c r="AF326" s="61">
        <v>0.7117013888888889</v>
      </c>
      <c r="AI326" t="s">
        <v>4132</v>
      </c>
      <c r="AR326">
        <v>1</v>
      </c>
    </row>
    <row r="327" spans="1:44" x14ac:dyDescent="0.3">
      <c r="A327" t="s">
        <v>31</v>
      </c>
      <c r="B327">
        <v>598</v>
      </c>
      <c r="C327">
        <v>183</v>
      </c>
      <c r="D327">
        <v>2577</v>
      </c>
      <c r="G327" t="s">
        <v>4133</v>
      </c>
      <c r="H327">
        <v>3204281000192</v>
      </c>
      <c r="I327" t="s">
        <v>3594</v>
      </c>
      <c r="J327" t="s">
        <v>3595</v>
      </c>
      <c r="K327" t="s">
        <v>3595</v>
      </c>
      <c r="L327" t="s">
        <v>3596</v>
      </c>
      <c r="N327" t="s">
        <v>2617</v>
      </c>
      <c r="P327" t="s">
        <v>3597</v>
      </c>
      <c r="Q327" t="s">
        <v>2618</v>
      </c>
      <c r="R327" t="s">
        <v>790</v>
      </c>
      <c r="U327" t="s">
        <v>319</v>
      </c>
      <c r="V327" t="s">
        <v>3417</v>
      </c>
      <c r="X327">
        <v>3360</v>
      </c>
      <c r="Y327">
        <v>7128</v>
      </c>
      <c r="AA327">
        <v>7</v>
      </c>
      <c r="AB327" s="31">
        <v>45923</v>
      </c>
      <c r="AC327" s="61">
        <v>0.45662037037037029</v>
      </c>
      <c r="AD327" t="s">
        <v>795</v>
      </c>
      <c r="AE327" s="31">
        <v>45930</v>
      </c>
      <c r="AF327" s="61">
        <v>0.38368055555555558</v>
      </c>
      <c r="AG327" t="s">
        <v>1358</v>
      </c>
      <c r="AI327" t="s">
        <v>2154</v>
      </c>
      <c r="AJ327" t="s">
        <v>2154</v>
      </c>
      <c r="AR327">
        <v>1</v>
      </c>
    </row>
    <row r="328" spans="1:44" x14ac:dyDescent="0.3">
      <c r="A328" t="s">
        <v>31</v>
      </c>
      <c r="B328">
        <v>599</v>
      </c>
      <c r="C328">
        <v>150</v>
      </c>
      <c r="D328">
        <v>2578</v>
      </c>
      <c r="G328" t="s">
        <v>4134</v>
      </c>
      <c r="H328">
        <v>32258848000101</v>
      </c>
      <c r="I328" t="s">
        <v>3435</v>
      </c>
      <c r="J328" t="s">
        <v>1540</v>
      </c>
      <c r="K328" t="s">
        <v>1540</v>
      </c>
      <c r="L328" t="s">
        <v>3493</v>
      </c>
      <c r="N328" t="s">
        <v>3437</v>
      </c>
      <c r="P328" t="s">
        <v>778</v>
      </c>
      <c r="U328" t="s">
        <v>319</v>
      </c>
      <c r="V328" t="s">
        <v>816</v>
      </c>
      <c r="X328">
        <v>1440</v>
      </c>
      <c r="Y328">
        <v>0</v>
      </c>
      <c r="AA328">
        <v>0</v>
      </c>
      <c r="AB328" s="31">
        <v>45923</v>
      </c>
      <c r="AC328" s="61">
        <v>0.50372685185185184</v>
      </c>
      <c r="AD328" t="s">
        <v>818</v>
      </c>
      <c r="AE328" s="31">
        <v>45923</v>
      </c>
      <c r="AF328" s="61">
        <v>0.50454861111111116</v>
      </c>
      <c r="AI328" t="s">
        <v>2154</v>
      </c>
      <c r="AR328">
        <v>1</v>
      </c>
    </row>
    <row r="329" spans="1:44" x14ac:dyDescent="0.3">
      <c r="A329" t="s">
        <v>31</v>
      </c>
      <c r="B329">
        <v>605</v>
      </c>
      <c r="C329">
        <v>197</v>
      </c>
      <c r="D329">
        <v>2588</v>
      </c>
      <c r="G329" t="s">
        <v>4135</v>
      </c>
      <c r="H329">
        <v>8616236000169</v>
      </c>
      <c r="I329" t="s">
        <v>3726</v>
      </c>
      <c r="J329" t="s">
        <v>704</v>
      </c>
      <c r="K329" t="s">
        <v>704</v>
      </c>
      <c r="L329" t="s">
        <v>3727</v>
      </c>
      <c r="N329" t="s">
        <v>3728</v>
      </c>
      <c r="P329" t="s">
        <v>3729</v>
      </c>
      <c r="Q329" t="s">
        <v>3687</v>
      </c>
      <c r="R329" t="s">
        <v>790</v>
      </c>
      <c r="U329" t="s">
        <v>319</v>
      </c>
      <c r="V329" t="s">
        <v>816</v>
      </c>
      <c r="X329">
        <v>0</v>
      </c>
      <c r="Y329">
        <v>3564</v>
      </c>
      <c r="AA329">
        <v>5</v>
      </c>
      <c r="AB329" s="31">
        <v>45925</v>
      </c>
      <c r="AC329" s="61">
        <v>0.64129629629629625</v>
      </c>
      <c r="AD329" t="s">
        <v>818</v>
      </c>
      <c r="AE329" s="31">
        <v>45930</v>
      </c>
      <c r="AF329" s="61">
        <v>0.69265046296296295</v>
      </c>
      <c r="AI329" t="s">
        <v>4136</v>
      </c>
      <c r="AJ329" t="s">
        <v>4136</v>
      </c>
      <c r="AR329">
        <v>1</v>
      </c>
    </row>
    <row r="330" spans="1:44" x14ac:dyDescent="0.3">
      <c r="A330" t="s">
        <v>31</v>
      </c>
      <c r="B330">
        <v>606</v>
      </c>
      <c r="C330">
        <v>196</v>
      </c>
      <c r="D330">
        <v>2589</v>
      </c>
      <c r="G330" t="s">
        <v>4137</v>
      </c>
      <c r="H330">
        <v>32494222000102</v>
      </c>
      <c r="I330" t="s">
        <v>3715</v>
      </c>
      <c r="J330" t="s">
        <v>3716</v>
      </c>
      <c r="K330" t="s">
        <v>3716</v>
      </c>
      <c r="L330" t="s">
        <v>3717</v>
      </c>
      <c r="N330" t="s">
        <v>3718</v>
      </c>
      <c r="P330" t="s">
        <v>3719</v>
      </c>
      <c r="Q330" t="s">
        <v>3720</v>
      </c>
      <c r="R330" t="s">
        <v>790</v>
      </c>
      <c r="U330" t="s">
        <v>319</v>
      </c>
      <c r="V330" t="s">
        <v>3417</v>
      </c>
      <c r="X330">
        <v>7200</v>
      </c>
      <c r="Y330">
        <v>0</v>
      </c>
      <c r="AA330">
        <v>28</v>
      </c>
      <c r="AB330" s="31">
        <v>45925</v>
      </c>
      <c r="AC330" s="61">
        <v>0.66199074074074071</v>
      </c>
      <c r="AD330" t="s">
        <v>795</v>
      </c>
      <c r="AE330" s="31">
        <v>45953</v>
      </c>
      <c r="AF330" s="61">
        <v>0.40660879629629632</v>
      </c>
      <c r="AG330" t="s">
        <v>3463</v>
      </c>
      <c r="AI330" t="s">
        <v>4136</v>
      </c>
      <c r="AJ330" t="s">
        <v>4136</v>
      </c>
      <c r="AR330">
        <v>1</v>
      </c>
    </row>
    <row r="331" spans="1:44" x14ac:dyDescent="0.3">
      <c r="A331" t="s">
        <v>31</v>
      </c>
      <c r="B331">
        <v>612</v>
      </c>
      <c r="C331">
        <v>179</v>
      </c>
      <c r="D331">
        <v>2599</v>
      </c>
      <c r="G331" t="s">
        <v>4138</v>
      </c>
      <c r="H331">
        <v>21736169000184</v>
      </c>
      <c r="I331" t="s">
        <v>3546</v>
      </c>
      <c r="J331" t="s">
        <v>1243</v>
      </c>
      <c r="K331" t="s">
        <v>1243</v>
      </c>
      <c r="L331" t="s">
        <v>3547</v>
      </c>
      <c r="N331" t="s">
        <v>3548</v>
      </c>
      <c r="P331" t="s">
        <v>3549</v>
      </c>
      <c r="Q331" t="s">
        <v>3550</v>
      </c>
      <c r="R331" t="s">
        <v>874</v>
      </c>
      <c r="U331" t="s">
        <v>319</v>
      </c>
      <c r="V331" t="s">
        <v>816</v>
      </c>
      <c r="X331">
        <v>5040</v>
      </c>
      <c r="Y331">
        <v>0</v>
      </c>
      <c r="AA331">
        <v>2</v>
      </c>
      <c r="AB331" s="31">
        <v>45929</v>
      </c>
      <c r="AC331" s="61">
        <v>0.44142361111111111</v>
      </c>
      <c r="AD331" t="s">
        <v>818</v>
      </c>
      <c r="AE331" s="31">
        <v>45931</v>
      </c>
      <c r="AF331" s="61">
        <v>0.42006944444444438</v>
      </c>
      <c r="AI331" t="s">
        <v>4139</v>
      </c>
      <c r="AR331">
        <v>1</v>
      </c>
    </row>
    <row r="332" spans="1:44" x14ac:dyDescent="0.3">
      <c r="A332" t="s">
        <v>31</v>
      </c>
      <c r="B332">
        <v>617</v>
      </c>
      <c r="C332">
        <v>132</v>
      </c>
      <c r="D332">
        <v>2608</v>
      </c>
      <c r="G332" t="s">
        <v>3587</v>
      </c>
      <c r="I332" t="s">
        <v>3373</v>
      </c>
      <c r="J332" t="s">
        <v>3588</v>
      </c>
      <c r="K332" t="s">
        <v>3588</v>
      </c>
      <c r="L332" t="s">
        <v>3553</v>
      </c>
      <c r="N332" t="s">
        <v>3375</v>
      </c>
      <c r="P332" t="s">
        <v>778</v>
      </c>
      <c r="U332" t="s">
        <v>319</v>
      </c>
      <c r="V332" t="s">
        <v>3417</v>
      </c>
      <c r="X332">
        <v>14677</v>
      </c>
      <c r="Y332">
        <v>0</v>
      </c>
      <c r="AA332">
        <v>23</v>
      </c>
      <c r="AB332" s="31">
        <v>45930</v>
      </c>
      <c r="AC332" s="61">
        <v>0.39962962962962961</v>
      </c>
      <c r="AD332" t="s">
        <v>795</v>
      </c>
      <c r="AE332" s="31">
        <v>45953</v>
      </c>
      <c r="AF332" s="61">
        <v>0.4246064814814815</v>
      </c>
      <c r="AG332" t="s">
        <v>934</v>
      </c>
      <c r="AI332" t="s">
        <v>4140</v>
      </c>
      <c r="AR332">
        <v>1</v>
      </c>
    </row>
    <row r="333" spans="1:44" x14ac:dyDescent="0.3">
      <c r="A333" t="s">
        <v>31</v>
      </c>
      <c r="B333">
        <v>625</v>
      </c>
      <c r="C333">
        <v>119</v>
      </c>
      <c r="D333">
        <v>2620</v>
      </c>
      <c r="G333" t="s">
        <v>4141</v>
      </c>
      <c r="H333">
        <v>60963378000112</v>
      </c>
      <c r="I333" t="s">
        <v>608</v>
      </c>
      <c r="J333" t="s">
        <v>844</v>
      </c>
      <c r="K333" t="s">
        <v>844</v>
      </c>
      <c r="L333" t="s">
        <v>3948</v>
      </c>
      <c r="N333" t="s">
        <v>3345</v>
      </c>
      <c r="P333" t="s">
        <v>778</v>
      </c>
      <c r="U333" t="s">
        <v>319</v>
      </c>
      <c r="V333" t="s">
        <v>3417</v>
      </c>
      <c r="X333">
        <v>0</v>
      </c>
      <c r="Y333">
        <v>220373</v>
      </c>
      <c r="AA333">
        <v>44</v>
      </c>
      <c r="AB333" s="31">
        <v>45931</v>
      </c>
      <c r="AC333" s="61">
        <v>0.60418981481481482</v>
      </c>
      <c r="AD333" t="s">
        <v>795</v>
      </c>
      <c r="AE333" s="31">
        <v>45975</v>
      </c>
      <c r="AF333" s="61">
        <v>0.5134143518518518</v>
      </c>
      <c r="AG333" t="s">
        <v>3463</v>
      </c>
      <c r="AI333" t="s">
        <v>4142</v>
      </c>
      <c r="AR333">
        <v>1</v>
      </c>
    </row>
    <row r="334" spans="1:44" x14ac:dyDescent="0.3">
      <c r="A334" t="s">
        <v>31</v>
      </c>
      <c r="B334">
        <v>626</v>
      </c>
      <c r="C334">
        <v>150</v>
      </c>
      <c r="D334">
        <v>2621</v>
      </c>
      <c r="G334" t="s">
        <v>4143</v>
      </c>
      <c r="H334">
        <v>32258848000101</v>
      </c>
      <c r="I334" t="s">
        <v>3435</v>
      </c>
      <c r="J334" t="s">
        <v>1540</v>
      </c>
      <c r="K334" t="s">
        <v>1540</v>
      </c>
      <c r="L334" t="s">
        <v>3493</v>
      </c>
      <c r="N334" t="s">
        <v>3437</v>
      </c>
      <c r="P334" t="s">
        <v>778</v>
      </c>
      <c r="U334" t="s">
        <v>319</v>
      </c>
      <c r="V334" t="s">
        <v>816</v>
      </c>
      <c r="X334">
        <v>0</v>
      </c>
      <c r="Y334">
        <v>28512</v>
      </c>
      <c r="AA334">
        <v>20</v>
      </c>
      <c r="AB334" s="31">
        <v>45931</v>
      </c>
      <c r="AC334" s="61">
        <v>0.67376157407407411</v>
      </c>
      <c r="AD334" t="s">
        <v>818</v>
      </c>
      <c r="AE334" s="31">
        <v>45951</v>
      </c>
      <c r="AF334" s="61">
        <v>0.41662037037037042</v>
      </c>
      <c r="AI334" t="s">
        <v>4142</v>
      </c>
      <c r="AJ334" t="s">
        <v>4142</v>
      </c>
      <c r="AR334">
        <v>1</v>
      </c>
    </row>
    <row r="335" spans="1:44" x14ac:dyDescent="0.3">
      <c r="A335" t="s">
        <v>31</v>
      </c>
      <c r="B335">
        <v>627</v>
      </c>
      <c r="C335">
        <v>189</v>
      </c>
      <c r="D335">
        <v>2623</v>
      </c>
      <c r="G335" t="s">
        <v>4144</v>
      </c>
      <c r="H335">
        <v>10698565000148</v>
      </c>
      <c r="I335" t="s">
        <v>4145</v>
      </c>
      <c r="J335" t="s">
        <v>4146</v>
      </c>
      <c r="K335" t="s">
        <v>4146</v>
      </c>
      <c r="L335" t="s">
        <v>4147</v>
      </c>
      <c r="P335" t="s">
        <v>4148</v>
      </c>
      <c r="Q335" t="s">
        <v>4149</v>
      </c>
      <c r="R335" t="s">
        <v>4150</v>
      </c>
      <c r="U335" t="s">
        <v>319</v>
      </c>
      <c r="V335" t="s">
        <v>816</v>
      </c>
      <c r="X335">
        <v>700</v>
      </c>
      <c r="Y335">
        <v>0</v>
      </c>
      <c r="AA335">
        <v>5</v>
      </c>
      <c r="AB335" s="31">
        <v>45932</v>
      </c>
      <c r="AC335" s="61">
        <v>0.64900462962962968</v>
      </c>
      <c r="AD335" t="s">
        <v>818</v>
      </c>
      <c r="AE335" s="31">
        <v>45937</v>
      </c>
      <c r="AF335" s="61">
        <v>0.65004629629629629</v>
      </c>
      <c r="AI335" t="s">
        <v>4151</v>
      </c>
      <c r="AR335">
        <v>1</v>
      </c>
    </row>
    <row r="336" spans="1:44" x14ac:dyDescent="0.3">
      <c r="A336" t="s">
        <v>31</v>
      </c>
      <c r="B336">
        <v>629</v>
      </c>
      <c r="C336">
        <v>184</v>
      </c>
      <c r="D336">
        <v>2624</v>
      </c>
      <c r="G336" t="s">
        <v>453</v>
      </c>
      <c r="H336">
        <v>11861121000144</v>
      </c>
      <c r="I336" t="s">
        <v>3877</v>
      </c>
      <c r="J336" t="s">
        <v>4152</v>
      </c>
      <c r="K336" t="s">
        <v>4152</v>
      </c>
      <c r="L336" t="s">
        <v>3879</v>
      </c>
      <c r="N336" t="s">
        <v>3880</v>
      </c>
      <c r="P336" t="s">
        <v>3881</v>
      </c>
      <c r="Q336" t="s">
        <v>1094</v>
      </c>
      <c r="R336" t="s">
        <v>790</v>
      </c>
      <c r="U336" t="s">
        <v>319</v>
      </c>
      <c r="V336" t="s">
        <v>3417</v>
      </c>
      <c r="X336">
        <v>16200</v>
      </c>
      <c r="Y336">
        <v>2160</v>
      </c>
      <c r="AA336">
        <v>17</v>
      </c>
      <c r="AB336" s="31">
        <v>45933</v>
      </c>
      <c r="AC336" s="61">
        <v>0.61473379629629632</v>
      </c>
      <c r="AD336" t="s">
        <v>795</v>
      </c>
      <c r="AE336" s="31">
        <v>45950</v>
      </c>
      <c r="AF336" s="61">
        <v>0.46638888888888891</v>
      </c>
      <c r="AG336" t="s">
        <v>3463</v>
      </c>
      <c r="AI336" t="s">
        <v>4153</v>
      </c>
      <c r="AJ336" t="s">
        <v>4153</v>
      </c>
      <c r="AR336">
        <v>1</v>
      </c>
    </row>
    <row r="337" spans="1:44" x14ac:dyDescent="0.3">
      <c r="A337" t="s">
        <v>31</v>
      </c>
      <c r="B337">
        <v>630</v>
      </c>
      <c r="C337">
        <v>159</v>
      </c>
      <c r="D337">
        <v>2625</v>
      </c>
      <c r="G337" t="s">
        <v>4154</v>
      </c>
      <c r="H337">
        <v>43526090000161</v>
      </c>
      <c r="I337" t="s">
        <v>913</v>
      </c>
      <c r="J337" t="s">
        <v>4067</v>
      </c>
      <c r="K337" t="s">
        <v>4067</v>
      </c>
      <c r="L337" t="s">
        <v>4155</v>
      </c>
      <c r="N337" t="s">
        <v>916</v>
      </c>
      <c r="P337" t="s">
        <v>778</v>
      </c>
      <c r="Q337" t="s">
        <v>909</v>
      </c>
      <c r="R337" t="s">
        <v>790</v>
      </c>
      <c r="U337" t="s">
        <v>319</v>
      </c>
      <c r="V337" t="s">
        <v>3417</v>
      </c>
      <c r="X337">
        <v>420</v>
      </c>
      <c r="Y337">
        <v>3564</v>
      </c>
      <c r="AA337">
        <v>26</v>
      </c>
      <c r="AB337" s="31">
        <v>45933</v>
      </c>
      <c r="AC337" s="61">
        <v>0.67500000000000004</v>
      </c>
      <c r="AD337" t="s">
        <v>795</v>
      </c>
      <c r="AE337" s="31">
        <v>45959</v>
      </c>
      <c r="AF337" s="61">
        <v>0.44155092592592587</v>
      </c>
      <c r="AG337" t="s">
        <v>3463</v>
      </c>
      <c r="AI337" t="s">
        <v>4153</v>
      </c>
      <c r="AJ337" t="s">
        <v>4153</v>
      </c>
      <c r="AR337">
        <v>1</v>
      </c>
    </row>
    <row r="338" spans="1:44" x14ac:dyDescent="0.3">
      <c r="A338" t="s">
        <v>31</v>
      </c>
      <c r="B338">
        <v>631</v>
      </c>
      <c r="C338">
        <v>204</v>
      </c>
      <c r="D338">
        <v>2626</v>
      </c>
      <c r="G338" t="s">
        <v>4156</v>
      </c>
      <c r="H338">
        <v>33071847000116</v>
      </c>
      <c r="I338" t="s">
        <v>3811</v>
      </c>
      <c r="J338" t="s">
        <v>4157</v>
      </c>
      <c r="K338" t="s">
        <v>4157</v>
      </c>
      <c r="L338" t="s">
        <v>3813</v>
      </c>
      <c r="N338" t="s">
        <v>3814</v>
      </c>
      <c r="P338" t="s">
        <v>3815</v>
      </c>
      <c r="Q338" t="s">
        <v>2589</v>
      </c>
      <c r="R338" t="s">
        <v>790</v>
      </c>
      <c r="T338" t="s">
        <v>1419</v>
      </c>
      <c r="U338" t="s">
        <v>319</v>
      </c>
      <c r="V338" t="s">
        <v>3417</v>
      </c>
      <c r="X338">
        <v>29400</v>
      </c>
      <c r="Y338">
        <v>57024</v>
      </c>
      <c r="AA338">
        <v>101</v>
      </c>
      <c r="AB338" s="31">
        <v>45933</v>
      </c>
      <c r="AC338" s="61">
        <v>0.71627314814814813</v>
      </c>
      <c r="AD338" t="s">
        <v>795</v>
      </c>
      <c r="AE338" s="31">
        <v>46034</v>
      </c>
      <c r="AF338" s="61">
        <v>0.49495370370370367</v>
      </c>
      <c r="AG338" t="s">
        <v>934</v>
      </c>
      <c r="AI338" t="s">
        <v>4158</v>
      </c>
      <c r="AJ338" t="s">
        <v>2251</v>
      </c>
      <c r="AL338" t="s">
        <v>4159</v>
      </c>
      <c r="AR338">
        <v>1</v>
      </c>
    </row>
    <row r="339" spans="1:44" x14ac:dyDescent="0.3">
      <c r="A339" t="s">
        <v>31</v>
      </c>
      <c r="B339">
        <v>632</v>
      </c>
      <c r="D339">
        <v>2627</v>
      </c>
      <c r="G339" t="s">
        <v>4160</v>
      </c>
      <c r="H339">
        <v>8636039000101</v>
      </c>
      <c r="J339" t="s">
        <v>4161</v>
      </c>
      <c r="K339" t="s">
        <v>4161</v>
      </c>
      <c r="L339" t="s">
        <v>4162</v>
      </c>
      <c r="N339" t="s">
        <v>4163</v>
      </c>
      <c r="P339" t="s">
        <v>778</v>
      </c>
      <c r="U339" t="s">
        <v>319</v>
      </c>
      <c r="V339" t="s">
        <v>781</v>
      </c>
      <c r="AA339">
        <v>35</v>
      </c>
      <c r="AB339" s="31">
        <v>45936</v>
      </c>
      <c r="AC339" s="61">
        <v>0.49776620370370372</v>
      </c>
      <c r="AD339" t="s">
        <v>795</v>
      </c>
      <c r="AE339" s="31">
        <v>45971</v>
      </c>
      <c r="AF339" s="61">
        <v>0.67709490740740741</v>
      </c>
      <c r="AG339" t="s">
        <v>796</v>
      </c>
      <c r="AR339">
        <v>1</v>
      </c>
    </row>
    <row r="340" spans="1:44" x14ac:dyDescent="0.3">
      <c r="A340" t="s">
        <v>31</v>
      </c>
      <c r="B340">
        <v>633</v>
      </c>
      <c r="C340">
        <v>96</v>
      </c>
      <c r="D340">
        <v>2628</v>
      </c>
      <c r="G340" t="s">
        <v>4164</v>
      </c>
      <c r="H340">
        <v>44075830000153</v>
      </c>
      <c r="I340" t="s">
        <v>3291</v>
      </c>
      <c r="J340" t="s">
        <v>704</v>
      </c>
      <c r="K340" t="s">
        <v>704</v>
      </c>
      <c r="L340" t="s">
        <v>3672</v>
      </c>
      <c r="N340" t="s">
        <v>3293</v>
      </c>
      <c r="P340" t="s">
        <v>778</v>
      </c>
      <c r="U340" t="s">
        <v>319</v>
      </c>
      <c r="V340" t="s">
        <v>816</v>
      </c>
      <c r="X340">
        <v>1440</v>
      </c>
      <c r="Y340">
        <v>0</v>
      </c>
      <c r="AA340">
        <v>0</v>
      </c>
      <c r="AB340" s="31">
        <v>45936</v>
      </c>
      <c r="AC340" s="61">
        <v>0.64180555555555552</v>
      </c>
      <c r="AD340" t="s">
        <v>818</v>
      </c>
      <c r="AE340" s="31">
        <v>45936</v>
      </c>
      <c r="AF340" s="61">
        <v>0.64354166666666668</v>
      </c>
      <c r="AI340" t="s">
        <v>4165</v>
      </c>
      <c r="AR340">
        <v>1</v>
      </c>
    </row>
    <row r="341" spans="1:44" x14ac:dyDescent="0.3">
      <c r="A341" t="s">
        <v>31</v>
      </c>
      <c r="B341">
        <v>635</v>
      </c>
      <c r="D341">
        <v>2634</v>
      </c>
      <c r="E341" t="s">
        <v>4595</v>
      </c>
      <c r="G341" t="s">
        <v>4596</v>
      </c>
      <c r="H341">
        <v>21922850000117</v>
      </c>
      <c r="J341" t="s">
        <v>4169</v>
      </c>
      <c r="K341" t="s">
        <v>4169</v>
      </c>
      <c r="L341" t="s">
        <v>4597</v>
      </c>
      <c r="P341" t="s">
        <v>778</v>
      </c>
      <c r="T341" t="s">
        <v>1718</v>
      </c>
      <c r="U341" t="s">
        <v>319</v>
      </c>
      <c r="V341" t="s">
        <v>3417</v>
      </c>
      <c r="X341">
        <v>3360</v>
      </c>
      <c r="Y341">
        <v>7128</v>
      </c>
      <c r="AA341">
        <v>101</v>
      </c>
      <c r="AB341" s="31">
        <v>45940</v>
      </c>
      <c r="AC341" s="61">
        <v>0.43915509259259261</v>
      </c>
      <c r="AD341" t="s">
        <v>795</v>
      </c>
      <c r="AE341" s="31">
        <v>46041</v>
      </c>
      <c r="AF341" s="61">
        <v>0.45721064814814821</v>
      </c>
      <c r="AG341" t="s">
        <v>1358</v>
      </c>
      <c r="AI341" t="s">
        <v>2273</v>
      </c>
      <c r="AJ341" t="s">
        <v>2273</v>
      </c>
      <c r="AL341" t="s">
        <v>2590</v>
      </c>
      <c r="AR341">
        <v>1</v>
      </c>
    </row>
    <row r="342" spans="1:44" x14ac:dyDescent="0.3">
      <c r="A342" t="s">
        <v>31</v>
      </c>
      <c r="B342">
        <v>636</v>
      </c>
      <c r="C342">
        <v>187</v>
      </c>
      <c r="D342">
        <v>2638</v>
      </c>
      <c r="G342" t="s">
        <v>4173</v>
      </c>
      <c r="H342">
        <v>17063632000105</v>
      </c>
      <c r="I342" t="s">
        <v>3631</v>
      </c>
      <c r="J342" t="s">
        <v>4174</v>
      </c>
      <c r="K342" t="s">
        <v>4174</v>
      </c>
      <c r="L342" t="s">
        <v>3633</v>
      </c>
      <c r="N342" t="s">
        <v>3634</v>
      </c>
      <c r="P342" t="s">
        <v>3635</v>
      </c>
      <c r="Q342" t="s">
        <v>3636</v>
      </c>
      <c r="R342" t="s">
        <v>1699</v>
      </c>
      <c r="U342" t="s">
        <v>319</v>
      </c>
      <c r="V342" t="s">
        <v>3417</v>
      </c>
      <c r="X342">
        <v>3360</v>
      </c>
      <c r="Y342">
        <v>3564</v>
      </c>
      <c r="AA342">
        <v>53</v>
      </c>
      <c r="AB342" s="31">
        <v>45940</v>
      </c>
      <c r="AC342" s="61">
        <v>0.4409837962962963</v>
      </c>
      <c r="AD342" t="s">
        <v>795</v>
      </c>
      <c r="AE342" s="31">
        <v>45993</v>
      </c>
      <c r="AF342" s="61">
        <v>0.39199074074074081</v>
      </c>
      <c r="AG342" t="s">
        <v>934</v>
      </c>
      <c r="AI342" t="s">
        <v>4175</v>
      </c>
      <c r="AJ342" t="s">
        <v>4175</v>
      </c>
      <c r="AR342">
        <v>1</v>
      </c>
    </row>
    <row r="343" spans="1:44" x14ac:dyDescent="0.3">
      <c r="A343" t="s">
        <v>31</v>
      </c>
      <c r="B343">
        <v>637</v>
      </c>
      <c r="C343">
        <v>89</v>
      </c>
      <c r="D343">
        <v>2639</v>
      </c>
      <c r="G343" t="s">
        <v>4176</v>
      </c>
      <c r="I343" t="s">
        <v>3275</v>
      </c>
      <c r="J343" t="s">
        <v>4177</v>
      </c>
      <c r="K343" t="s">
        <v>4177</v>
      </c>
      <c r="L343" t="s">
        <v>4178</v>
      </c>
      <c r="N343" t="s">
        <v>3277</v>
      </c>
      <c r="P343" t="s">
        <v>778</v>
      </c>
      <c r="U343" t="s">
        <v>319</v>
      </c>
      <c r="V343" t="s">
        <v>3417</v>
      </c>
      <c r="AA343">
        <v>19</v>
      </c>
      <c r="AB343" s="31">
        <v>45940</v>
      </c>
      <c r="AC343" s="61">
        <v>0.44233796296296302</v>
      </c>
      <c r="AD343" t="s">
        <v>795</v>
      </c>
      <c r="AE343" s="31">
        <v>45959</v>
      </c>
      <c r="AF343" s="61">
        <v>0.44339120370370372</v>
      </c>
      <c r="AG343" t="s">
        <v>3463</v>
      </c>
      <c r="AI343" t="s">
        <v>4175</v>
      </c>
      <c r="AR343">
        <v>1</v>
      </c>
    </row>
    <row r="344" spans="1:44" x14ac:dyDescent="0.3">
      <c r="A344" t="s">
        <v>31</v>
      </c>
      <c r="B344">
        <v>646</v>
      </c>
      <c r="C344">
        <v>0</v>
      </c>
      <c r="D344">
        <v>2658</v>
      </c>
      <c r="G344" t="s">
        <v>4179</v>
      </c>
      <c r="H344">
        <v>55585815000171</v>
      </c>
      <c r="J344" t="s">
        <v>4180</v>
      </c>
      <c r="K344" t="s">
        <v>4180</v>
      </c>
      <c r="L344" t="s">
        <v>4181</v>
      </c>
      <c r="N344" t="s">
        <v>4182</v>
      </c>
      <c r="P344" t="s">
        <v>778</v>
      </c>
      <c r="U344" t="s">
        <v>319</v>
      </c>
      <c r="V344" t="s">
        <v>816</v>
      </c>
      <c r="X344">
        <v>378</v>
      </c>
      <c r="Y344">
        <v>3564</v>
      </c>
      <c r="AA344">
        <v>25</v>
      </c>
      <c r="AB344" s="31">
        <v>45947</v>
      </c>
      <c r="AC344" s="61">
        <v>0.45363425925925932</v>
      </c>
      <c r="AD344" t="s">
        <v>818</v>
      </c>
      <c r="AE344" s="31">
        <v>45972</v>
      </c>
      <c r="AF344" s="61">
        <v>0.50258101851851855</v>
      </c>
      <c r="AI344" t="s">
        <v>2008</v>
      </c>
      <c r="AJ344" t="s">
        <v>4183</v>
      </c>
      <c r="AR344">
        <v>1</v>
      </c>
    </row>
    <row r="345" spans="1:44" x14ac:dyDescent="0.3">
      <c r="A345" t="s">
        <v>31</v>
      </c>
      <c r="B345">
        <v>647</v>
      </c>
      <c r="C345">
        <v>206</v>
      </c>
      <c r="D345">
        <v>2662</v>
      </c>
      <c r="G345" t="s">
        <v>4184</v>
      </c>
      <c r="H345">
        <v>37075503000136</v>
      </c>
      <c r="I345" t="s">
        <v>3826</v>
      </c>
      <c r="J345" t="s">
        <v>1474</v>
      </c>
      <c r="K345" t="s">
        <v>1474</v>
      </c>
      <c r="L345" t="s">
        <v>1475</v>
      </c>
      <c r="N345" t="s">
        <v>1476</v>
      </c>
      <c r="P345" t="s">
        <v>3827</v>
      </c>
      <c r="Q345" t="s">
        <v>1477</v>
      </c>
      <c r="R345" t="s">
        <v>932</v>
      </c>
      <c r="U345" t="s">
        <v>319</v>
      </c>
      <c r="V345" t="s">
        <v>3417</v>
      </c>
      <c r="X345">
        <v>0</v>
      </c>
      <c r="Y345">
        <v>210</v>
      </c>
      <c r="AA345">
        <v>21</v>
      </c>
      <c r="AB345" s="31">
        <v>45950</v>
      </c>
      <c r="AC345" s="61">
        <v>0.42215277777777782</v>
      </c>
      <c r="AD345" t="s">
        <v>795</v>
      </c>
      <c r="AE345" s="31">
        <v>45971</v>
      </c>
      <c r="AF345" s="61">
        <v>0.67648148148148146</v>
      </c>
      <c r="AG345" t="s">
        <v>934</v>
      </c>
      <c r="AI345" t="s">
        <v>4185</v>
      </c>
      <c r="AJ345" t="s">
        <v>4185</v>
      </c>
      <c r="AR345">
        <v>1</v>
      </c>
    </row>
    <row r="346" spans="1:44" x14ac:dyDescent="0.3">
      <c r="A346" t="s">
        <v>31</v>
      </c>
      <c r="B346">
        <v>648</v>
      </c>
      <c r="C346">
        <v>206</v>
      </c>
      <c r="D346">
        <v>2663</v>
      </c>
      <c r="G346" t="s">
        <v>4186</v>
      </c>
      <c r="H346">
        <v>37075503000136</v>
      </c>
      <c r="I346" t="s">
        <v>3826</v>
      </c>
      <c r="J346" t="s">
        <v>1474</v>
      </c>
      <c r="K346" t="s">
        <v>1474</v>
      </c>
      <c r="L346" t="s">
        <v>1475</v>
      </c>
      <c r="N346" t="s">
        <v>1476</v>
      </c>
      <c r="P346" t="s">
        <v>3827</v>
      </c>
      <c r="Q346" t="s">
        <v>1477</v>
      </c>
      <c r="R346" t="s">
        <v>932</v>
      </c>
      <c r="U346" t="s">
        <v>319</v>
      </c>
      <c r="V346" t="s">
        <v>3417</v>
      </c>
      <c r="X346">
        <v>26200</v>
      </c>
      <c r="Y346">
        <v>3400</v>
      </c>
      <c r="AA346">
        <v>21</v>
      </c>
      <c r="AB346" s="31">
        <v>45950</v>
      </c>
      <c r="AC346" s="61">
        <v>0.42942129629629627</v>
      </c>
      <c r="AD346" t="s">
        <v>795</v>
      </c>
      <c r="AE346" s="31">
        <v>45971</v>
      </c>
      <c r="AF346" s="61">
        <v>0.67660879629629633</v>
      </c>
      <c r="AG346" t="s">
        <v>934</v>
      </c>
      <c r="AI346" t="s">
        <v>4185</v>
      </c>
      <c r="AJ346" t="s">
        <v>4185</v>
      </c>
      <c r="AR346">
        <v>1</v>
      </c>
    </row>
    <row r="347" spans="1:44" x14ac:dyDescent="0.3">
      <c r="A347" t="s">
        <v>31</v>
      </c>
      <c r="B347">
        <v>649</v>
      </c>
      <c r="C347">
        <v>124</v>
      </c>
      <c r="D347">
        <v>2664</v>
      </c>
      <c r="G347" t="s">
        <v>4187</v>
      </c>
      <c r="H347">
        <v>12121089000123</v>
      </c>
      <c r="I347" t="s">
        <v>3354</v>
      </c>
      <c r="J347" t="s">
        <v>4188</v>
      </c>
      <c r="K347" t="s">
        <v>4188</v>
      </c>
      <c r="N347" t="s">
        <v>3355</v>
      </c>
      <c r="P347" t="s">
        <v>778</v>
      </c>
      <c r="U347" t="s">
        <v>319</v>
      </c>
      <c r="V347" t="s">
        <v>3417</v>
      </c>
      <c r="X347">
        <v>8400</v>
      </c>
      <c r="Y347">
        <v>0</v>
      </c>
      <c r="AA347">
        <v>37</v>
      </c>
      <c r="AB347" s="31">
        <v>45950</v>
      </c>
      <c r="AC347" s="61">
        <v>0.47859953703703711</v>
      </c>
      <c r="AD347" t="s">
        <v>795</v>
      </c>
      <c r="AE347" s="31">
        <v>45987</v>
      </c>
      <c r="AF347" s="61">
        <v>0.505</v>
      </c>
      <c r="AG347" t="s">
        <v>796</v>
      </c>
      <c r="AI347" t="s">
        <v>4185</v>
      </c>
      <c r="AJ347" t="s">
        <v>2223</v>
      </c>
      <c r="AR347">
        <v>1</v>
      </c>
    </row>
    <row r="348" spans="1:44" x14ac:dyDescent="0.3">
      <c r="A348" t="s">
        <v>31</v>
      </c>
      <c r="B348">
        <v>650</v>
      </c>
      <c r="C348">
        <v>128</v>
      </c>
      <c r="D348">
        <v>2665</v>
      </c>
      <c r="G348" t="s">
        <v>4189</v>
      </c>
      <c r="H348">
        <v>8530284000130</v>
      </c>
      <c r="I348" t="s">
        <v>3363</v>
      </c>
      <c r="J348" t="s">
        <v>4190</v>
      </c>
      <c r="K348" t="s">
        <v>4190</v>
      </c>
      <c r="N348" t="s">
        <v>3364</v>
      </c>
      <c r="P348" t="s">
        <v>778</v>
      </c>
      <c r="U348" t="s">
        <v>319</v>
      </c>
      <c r="V348" t="s">
        <v>3417</v>
      </c>
      <c r="X348">
        <v>3360</v>
      </c>
      <c r="Y348">
        <v>7128</v>
      </c>
      <c r="AA348">
        <v>18</v>
      </c>
      <c r="AB348" s="31">
        <v>45950</v>
      </c>
      <c r="AC348" s="61">
        <v>0.52028935185185188</v>
      </c>
      <c r="AD348" t="s">
        <v>795</v>
      </c>
      <c r="AE348" s="31">
        <v>45968</v>
      </c>
      <c r="AF348" s="61">
        <v>0.41829861111111111</v>
      </c>
      <c r="AG348" t="s">
        <v>3463</v>
      </c>
      <c r="AI348" t="s">
        <v>4185</v>
      </c>
      <c r="AJ348" t="s">
        <v>4185</v>
      </c>
      <c r="AR348">
        <v>1</v>
      </c>
    </row>
    <row r="349" spans="1:44" x14ac:dyDescent="0.3">
      <c r="A349" t="s">
        <v>31</v>
      </c>
      <c r="B349">
        <v>651</v>
      </c>
      <c r="D349">
        <v>2666</v>
      </c>
      <c r="G349" t="s">
        <v>4191</v>
      </c>
      <c r="H349">
        <v>49119936000125</v>
      </c>
      <c r="J349" t="s">
        <v>4192</v>
      </c>
      <c r="K349" t="s">
        <v>4192</v>
      </c>
      <c r="L349" t="s">
        <v>4193</v>
      </c>
      <c r="N349" t="s">
        <v>4096</v>
      </c>
      <c r="P349" t="s">
        <v>778</v>
      </c>
      <c r="U349" t="s">
        <v>319</v>
      </c>
      <c r="V349" t="s">
        <v>3417</v>
      </c>
      <c r="X349">
        <v>0</v>
      </c>
      <c r="Y349">
        <v>2574</v>
      </c>
      <c r="AA349">
        <v>37</v>
      </c>
      <c r="AB349" s="31">
        <v>45950</v>
      </c>
      <c r="AC349" s="61">
        <v>0.73157407407407404</v>
      </c>
      <c r="AD349" t="s">
        <v>795</v>
      </c>
      <c r="AE349" s="31">
        <v>45987</v>
      </c>
      <c r="AF349" s="61">
        <v>0.49932870370370369</v>
      </c>
      <c r="AG349" t="s">
        <v>796</v>
      </c>
      <c r="AI349" t="s">
        <v>4185</v>
      </c>
      <c r="AJ349" t="s">
        <v>4185</v>
      </c>
      <c r="AR349">
        <v>1</v>
      </c>
    </row>
    <row r="350" spans="1:44" x14ac:dyDescent="0.3">
      <c r="A350" t="s">
        <v>31</v>
      </c>
      <c r="B350">
        <v>652</v>
      </c>
      <c r="C350">
        <v>203</v>
      </c>
      <c r="D350">
        <v>2667</v>
      </c>
      <c r="G350" t="s">
        <v>4194</v>
      </c>
      <c r="H350">
        <v>11806036000183</v>
      </c>
      <c r="I350" t="s">
        <v>3791</v>
      </c>
      <c r="J350" t="s">
        <v>2600</v>
      </c>
      <c r="K350" t="s">
        <v>2600</v>
      </c>
      <c r="L350" t="s">
        <v>3792</v>
      </c>
      <c r="N350" t="s">
        <v>3793</v>
      </c>
      <c r="P350" t="s">
        <v>3794</v>
      </c>
      <c r="Q350" t="s">
        <v>3636</v>
      </c>
      <c r="R350" t="s">
        <v>1699</v>
      </c>
      <c r="U350" t="s">
        <v>319</v>
      </c>
      <c r="V350" t="s">
        <v>3417</v>
      </c>
      <c r="X350">
        <v>2160</v>
      </c>
      <c r="Y350">
        <v>0</v>
      </c>
      <c r="AA350">
        <v>14</v>
      </c>
      <c r="AB350" s="31">
        <v>45951</v>
      </c>
      <c r="AC350" s="61">
        <v>0.48002314814814823</v>
      </c>
      <c r="AD350" t="s">
        <v>795</v>
      </c>
      <c r="AE350" s="31">
        <v>45965</v>
      </c>
      <c r="AF350" s="61">
        <v>0.50258101851851855</v>
      </c>
      <c r="AG350" t="s">
        <v>934</v>
      </c>
      <c r="AI350" t="s">
        <v>2297</v>
      </c>
      <c r="AJ350" t="s">
        <v>4195</v>
      </c>
      <c r="AR350">
        <v>1</v>
      </c>
    </row>
    <row r="351" spans="1:44" x14ac:dyDescent="0.3">
      <c r="A351" t="s">
        <v>31</v>
      </c>
      <c r="B351">
        <v>653</v>
      </c>
      <c r="D351">
        <v>2668</v>
      </c>
      <c r="E351" t="s">
        <v>4196</v>
      </c>
      <c r="G351" t="s">
        <v>4197</v>
      </c>
      <c r="H351">
        <v>38160619000136</v>
      </c>
      <c r="J351" t="s">
        <v>4198</v>
      </c>
      <c r="K351" t="s">
        <v>4198</v>
      </c>
      <c r="L351" t="s">
        <v>4199</v>
      </c>
      <c r="N351" t="s">
        <v>4200</v>
      </c>
      <c r="P351" t="s">
        <v>778</v>
      </c>
      <c r="T351" t="s">
        <v>1419</v>
      </c>
      <c r="U351" t="s">
        <v>319</v>
      </c>
      <c r="V351" t="s">
        <v>816</v>
      </c>
      <c r="X351">
        <v>16200</v>
      </c>
      <c r="Y351">
        <v>7128</v>
      </c>
      <c r="AA351">
        <v>176</v>
      </c>
      <c r="AB351" s="31">
        <v>45951</v>
      </c>
      <c r="AC351" s="61">
        <v>0.4896759259259259</v>
      </c>
      <c r="AD351" t="s">
        <v>782</v>
      </c>
      <c r="AE351" s="31"/>
      <c r="AF351" s="61"/>
      <c r="AI351" t="s">
        <v>4195</v>
      </c>
      <c r="AJ351" t="s">
        <v>4195</v>
      </c>
      <c r="AL351" t="s">
        <v>423</v>
      </c>
      <c r="AM351">
        <v>50</v>
      </c>
      <c r="AR351">
        <v>1</v>
      </c>
    </row>
    <row r="352" spans="1:44" x14ac:dyDescent="0.3">
      <c r="A352" t="s">
        <v>31</v>
      </c>
      <c r="B352">
        <v>654</v>
      </c>
      <c r="C352">
        <v>73</v>
      </c>
      <c r="D352">
        <v>2670</v>
      </c>
      <c r="G352" t="s">
        <v>4201</v>
      </c>
      <c r="I352" t="s">
        <v>3218</v>
      </c>
      <c r="J352" t="s">
        <v>1481</v>
      </c>
      <c r="K352" t="s">
        <v>1481</v>
      </c>
      <c r="L352" t="s">
        <v>3939</v>
      </c>
      <c r="N352" t="s">
        <v>3220</v>
      </c>
      <c r="P352" t="s">
        <v>778</v>
      </c>
      <c r="U352" t="s">
        <v>319</v>
      </c>
      <c r="V352" t="s">
        <v>3417</v>
      </c>
      <c r="X352">
        <v>1600</v>
      </c>
      <c r="Y352">
        <v>322193</v>
      </c>
      <c r="AA352">
        <v>19</v>
      </c>
      <c r="AB352" s="31">
        <v>45952</v>
      </c>
      <c r="AC352" s="61">
        <v>0.38269675925925928</v>
      </c>
      <c r="AD352" t="s">
        <v>795</v>
      </c>
      <c r="AE352" s="31">
        <v>45971</v>
      </c>
      <c r="AF352" s="61">
        <v>0.62304398148148143</v>
      </c>
      <c r="AG352" t="s">
        <v>3463</v>
      </c>
      <c r="AI352" t="s">
        <v>4195</v>
      </c>
      <c r="AJ352" t="s">
        <v>4202</v>
      </c>
      <c r="AR352">
        <v>1</v>
      </c>
    </row>
    <row r="353" spans="1:44" x14ac:dyDescent="0.3">
      <c r="A353" t="s">
        <v>31</v>
      </c>
      <c r="B353">
        <v>655</v>
      </c>
      <c r="C353">
        <v>107</v>
      </c>
      <c r="D353">
        <v>2671</v>
      </c>
      <c r="G353" t="s">
        <v>4203</v>
      </c>
      <c r="H353">
        <v>7527737000297</v>
      </c>
      <c r="I353" t="s">
        <v>427</v>
      </c>
      <c r="J353" t="s">
        <v>4204</v>
      </c>
      <c r="K353" t="s">
        <v>4204</v>
      </c>
      <c r="N353" t="s">
        <v>3320</v>
      </c>
      <c r="P353" t="s">
        <v>778</v>
      </c>
      <c r="U353" t="s">
        <v>319</v>
      </c>
      <c r="V353" t="s">
        <v>3417</v>
      </c>
      <c r="X353">
        <v>420</v>
      </c>
      <c r="Y353">
        <v>3564</v>
      </c>
      <c r="AA353">
        <v>26</v>
      </c>
      <c r="AB353" s="31">
        <v>45952</v>
      </c>
      <c r="AC353" s="61">
        <v>0.48693287037037042</v>
      </c>
      <c r="AD353" t="s">
        <v>795</v>
      </c>
      <c r="AE353" s="31">
        <v>45978</v>
      </c>
      <c r="AF353" s="61">
        <v>0.41158564814814808</v>
      </c>
      <c r="AG353" t="s">
        <v>934</v>
      </c>
      <c r="AI353" t="s">
        <v>4202</v>
      </c>
      <c r="AJ353" t="s">
        <v>4202</v>
      </c>
      <c r="AR353">
        <v>1</v>
      </c>
    </row>
    <row r="354" spans="1:44" x14ac:dyDescent="0.3">
      <c r="A354" t="s">
        <v>31</v>
      </c>
      <c r="B354">
        <v>658</v>
      </c>
      <c r="C354">
        <v>191</v>
      </c>
      <c r="D354">
        <v>2681</v>
      </c>
      <c r="G354" t="s">
        <v>4205</v>
      </c>
      <c r="H354">
        <v>18628799000120</v>
      </c>
      <c r="I354" t="s">
        <v>3734</v>
      </c>
      <c r="J354" t="s">
        <v>3735</v>
      </c>
      <c r="K354" t="s">
        <v>3735</v>
      </c>
      <c r="L354" t="s">
        <v>2216</v>
      </c>
      <c r="N354" t="s">
        <v>2217</v>
      </c>
      <c r="P354" t="s">
        <v>3736</v>
      </c>
      <c r="Q354" t="s">
        <v>1094</v>
      </c>
      <c r="R354" t="s">
        <v>790</v>
      </c>
      <c r="U354" t="s">
        <v>319</v>
      </c>
      <c r="V354" t="s">
        <v>816</v>
      </c>
      <c r="X354">
        <v>0</v>
      </c>
      <c r="Y354">
        <v>64159</v>
      </c>
      <c r="AA354">
        <v>2</v>
      </c>
      <c r="AB354" s="31">
        <v>45957</v>
      </c>
      <c r="AC354" s="61">
        <v>0.64555555555555555</v>
      </c>
      <c r="AD354" t="s">
        <v>818</v>
      </c>
      <c r="AE354" s="31">
        <v>45959</v>
      </c>
      <c r="AF354" s="61">
        <v>0.38715277777777779</v>
      </c>
      <c r="AI354" t="s">
        <v>4206</v>
      </c>
      <c r="AR354">
        <v>1</v>
      </c>
    </row>
    <row r="355" spans="1:44" x14ac:dyDescent="0.3">
      <c r="A355" t="s">
        <v>31</v>
      </c>
      <c r="B355">
        <v>660</v>
      </c>
      <c r="C355">
        <v>174</v>
      </c>
      <c r="D355">
        <v>2682</v>
      </c>
      <c r="G355" t="s">
        <v>4207</v>
      </c>
      <c r="H355">
        <v>45238441000164</v>
      </c>
      <c r="I355" t="s">
        <v>3507</v>
      </c>
      <c r="J355" t="s">
        <v>3995</v>
      </c>
      <c r="K355" t="s">
        <v>3995</v>
      </c>
      <c r="L355" t="s">
        <v>3509</v>
      </c>
      <c r="M355">
        <v>11973359869</v>
      </c>
      <c r="N355" t="s">
        <v>3510</v>
      </c>
      <c r="P355" t="s">
        <v>3511</v>
      </c>
      <c r="Q355" t="s">
        <v>1094</v>
      </c>
      <c r="R355" t="s">
        <v>790</v>
      </c>
      <c r="U355" t="s">
        <v>319</v>
      </c>
      <c r="V355" t="s">
        <v>816</v>
      </c>
      <c r="X355">
        <v>0</v>
      </c>
      <c r="Y355">
        <v>14256</v>
      </c>
      <c r="AA355">
        <v>0</v>
      </c>
      <c r="AB355" s="31">
        <v>45957</v>
      </c>
      <c r="AC355" s="61">
        <v>0.65339120370370374</v>
      </c>
      <c r="AD355" t="s">
        <v>818</v>
      </c>
      <c r="AE355" s="31">
        <v>45957</v>
      </c>
      <c r="AF355" s="61">
        <v>0.65457175925925926</v>
      </c>
      <c r="AI355" t="s">
        <v>4185</v>
      </c>
      <c r="AJ355" t="s">
        <v>4165</v>
      </c>
      <c r="AR355">
        <v>1</v>
      </c>
    </row>
    <row r="356" spans="1:44" x14ac:dyDescent="0.3">
      <c r="A356" t="s">
        <v>31</v>
      </c>
      <c r="B356">
        <v>661</v>
      </c>
      <c r="D356">
        <v>2683</v>
      </c>
      <c r="G356" t="s">
        <v>4208</v>
      </c>
      <c r="H356">
        <v>38160619000136</v>
      </c>
      <c r="J356" t="s">
        <v>4198</v>
      </c>
      <c r="K356" t="s">
        <v>4198</v>
      </c>
      <c r="L356" t="s">
        <v>4199</v>
      </c>
      <c r="N356" t="s">
        <v>4200</v>
      </c>
      <c r="P356" t="s">
        <v>778</v>
      </c>
      <c r="U356" t="s">
        <v>319</v>
      </c>
      <c r="V356" t="s">
        <v>816</v>
      </c>
      <c r="X356">
        <v>0</v>
      </c>
      <c r="Y356">
        <v>2586</v>
      </c>
      <c r="AA356">
        <v>1</v>
      </c>
      <c r="AB356" s="31">
        <v>45957</v>
      </c>
      <c r="AC356" s="61">
        <v>0.65902777777777777</v>
      </c>
      <c r="AD356" t="s">
        <v>818</v>
      </c>
      <c r="AE356" s="31">
        <v>45958</v>
      </c>
      <c r="AF356" s="61">
        <v>0.42133101851851851</v>
      </c>
      <c r="AI356" t="s">
        <v>4206</v>
      </c>
      <c r="AR356">
        <v>1</v>
      </c>
    </row>
    <row r="357" spans="1:44" x14ac:dyDescent="0.3">
      <c r="A357" t="s">
        <v>31</v>
      </c>
      <c r="B357">
        <v>663</v>
      </c>
      <c r="C357">
        <v>190</v>
      </c>
      <c r="D357">
        <v>2689</v>
      </c>
      <c r="G357" t="s">
        <v>4209</v>
      </c>
      <c r="H357">
        <v>18203215000175</v>
      </c>
      <c r="I357" t="s">
        <v>3690</v>
      </c>
      <c r="J357" t="s">
        <v>4210</v>
      </c>
      <c r="K357" t="s">
        <v>4210</v>
      </c>
      <c r="L357" t="s">
        <v>3692</v>
      </c>
      <c r="N357" t="s">
        <v>3693</v>
      </c>
      <c r="P357" t="s">
        <v>3694</v>
      </c>
      <c r="Q357" t="s">
        <v>3695</v>
      </c>
      <c r="R357" t="s">
        <v>790</v>
      </c>
      <c r="U357" t="s">
        <v>319</v>
      </c>
      <c r="V357" t="s">
        <v>816</v>
      </c>
      <c r="X357">
        <v>8400</v>
      </c>
      <c r="Y357">
        <v>0</v>
      </c>
      <c r="AA357">
        <v>0</v>
      </c>
      <c r="AB357" s="31">
        <v>45959</v>
      </c>
      <c r="AC357" s="61">
        <v>0.41988425925925932</v>
      </c>
      <c r="AD357" t="s">
        <v>818</v>
      </c>
      <c r="AE357" s="31">
        <v>45959</v>
      </c>
      <c r="AF357" s="61">
        <v>0.42054398148148148</v>
      </c>
      <c r="AI357" t="s">
        <v>4211</v>
      </c>
      <c r="AJ357" t="s">
        <v>4211</v>
      </c>
      <c r="AR357">
        <v>1</v>
      </c>
    </row>
    <row r="358" spans="1:44" x14ac:dyDescent="0.3">
      <c r="A358" t="s">
        <v>31</v>
      </c>
      <c r="B358">
        <v>664</v>
      </c>
      <c r="C358">
        <v>191</v>
      </c>
      <c r="D358">
        <v>2691</v>
      </c>
      <c r="G358" t="s">
        <v>4212</v>
      </c>
      <c r="H358">
        <v>18628799000120</v>
      </c>
      <c r="I358" t="s">
        <v>3734</v>
      </c>
      <c r="J358" t="s">
        <v>3735</v>
      </c>
      <c r="K358" t="s">
        <v>3735</v>
      </c>
      <c r="L358" t="s">
        <v>2216</v>
      </c>
      <c r="N358" t="s">
        <v>2217</v>
      </c>
      <c r="P358" t="s">
        <v>3736</v>
      </c>
      <c r="Q358" t="s">
        <v>1094</v>
      </c>
      <c r="R358" t="s">
        <v>790</v>
      </c>
      <c r="U358" t="s">
        <v>319</v>
      </c>
      <c r="V358" t="s">
        <v>3417</v>
      </c>
      <c r="X358">
        <v>26200</v>
      </c>
      <c r="Y358">
        <v>3400</v>
      </c>
      <c r="AA358">
        <v>36</v>
      </c>
      <c r="AB358" s="31">
        <v>45959</v>
      </c>
      <c r="AC358" s="61">
        <v>0.69269675925925922</v>
      </c>
      <c r="AD358" t="s">
        <v>795</v>
      </c>
      <c r="AE358" s="31">
        <v>45995</v>
      </c>
      <c r="AF358" s="61">
        <v>0.40078703703703711</v>
      </c>
      <c r="AG358" t="s">
        <v>796</v>
      </c>
      <c r="AI358" t="s">
        <v>4211</v>
      </c>
      <c r="AJ358" t="s">
        <v>4211</v>
      </c>
      <c r="AR358">
        <v>1</v>
      </c>
    </row>
    <row r="359" spans="1:44" x14ac:dyDescent="0.3">
      <c r="A359" t="s">
        <v>31</v>
      </c>
      <c r="B359">
        <v>668</v>
      </c>
      <c r="C359">
        <v>103</v>
      </c>
      <c r="D359">
        <v>2717</v>
      </c>
      <c r="G359" t="s">
        <v>4213</v>
      </c>
      <c r="H359">
        <v>12549273000179</v>
      </c>
      <c r="I359" t="s">
        <v>3309</v>
      </c>
      <c r="J359" t="s">
        <v>4067</v>
      </c>
      <c r="K359" t="s">
        <v>4067</v>
      </c>
      <c r="L359" t="s">
        <v>4214</v>
      </c>
      <c r="N359" t="s">
        <v>3312</v>
      </c>
      <c r="P359" t="s">
        <v>3313</v>
      </c>
      <c r="Q359" t="s">
        <v>1596</v>
      </c>
      <c r="R359" t="s">
        <v>790</v>
      </c>
      <c r="T359" t="s">
        <v>1581</v>
      </c>
      <c r="U359" t="s">
        <v>319</v>
      </c>
      <c r="V359" t="s">
        <v>3417</v>
      </c>
      <c r="X359">
        <v>1600</v>
      </c>
      <c r="Y359">
        <v>47183</v>
      </c>
      <c r="AA359">
        <v>82</v>
      </c>
      <c r="AB359" s="31">
        <v>45961</v>
      </c>
      <c r="AC359" s="61">
        <v>0.45398148148148149</v>
      </c>
      <c r="AD359" t="s">
        <v>795</v>
      </c>
      <c r="AE359" s="31">
        <v>46043</v>
      </c>
      <c r="AF359" s="61">
        <v>0.40621527777777777</v>
      </c>
      <c r="AG359" t="s">
        <v>3463</v>
      </c>
      <c r="AI359" t="s">
        <v>4215</v>
      </c>
      <c r="AJ359" t="s">
        <v>4206</v>
      </c>
      <c r="AL359" t="s">
        <v>2576</v>
      </c>
      <c r="AR359">
        <v>1</v>
      </c>
    </row>
    <row r="360" spans="1:44" x14ac:dyDescent="0.3">
      <c r="A360" t="s">
        <v>31</v>
      </c>
      <c r="B360">
        <v>670</v>
      </c>
      <c r="D360">
        <v>2719</v>
      </c>
      <c r="G360" t="s">
        <v>4216</v>
      </c>
      <c r="H360">
        <v>6946105000114</v>
      </c>
      <c r="J360" t="s">
        <v>4217</v>
      </c>
      <c r="K360" t="s">
        <v>4217</v>
      </c>
      <c r="L360" t="s">
        <v>4218</v>
      </c>
      <c r="N360" t="s">
        <v>4219</v>
      </c>
      <c r="P360" t="s">
        <v>778</v>
      </c>
      <c r="U360" t="s">
        <v>319</v>
      </c>
      <c r="V360" t="s">
        <v>816</v>
      </c>
      <c r="X360">
        <v>0</v>
      </c>
      <c r="Y360">
        <v>28512</v>
      </c>
      <c r="AA360">
        <v>19</v>
      </c>
      <c r="AB360" s="31">
        <v>45961</v>
      </c>
      <c r="AC360" s="61">
        <v>0.68109953703703707</v>
      </c>
      <c r="AD360" t="s">
        <v>818</v>
      </c>
      <c r="AE360" s="31">
        <v>45980</v>
      </c>
      <c r="AF360" s="61">
        <v>0.71309027777777778</v>
      </c>
      <c r="AI360" t="s">
        <v>4220</v>
      </c>
      <c r="AJ360" t="s">
        <v>4220</v>
      </c>
      <c r="AR360">
        <v>1</v>
      </c>
    </row>
    <row r="361" spans="1:44" x14ac:dyDescent="0.3">
      <c r="A361" t="s">
        <v>31</v>
      </c>
      <c r="B361">
        <v>671</v>
      </c>
      <c r="C361">
        <v>189</v>
      </c>
      <c r="D361">
        <v>2728</v>
      </c>
      <c r="G361" t="s">
        <v>4221</v>
      </c>
      <c r="H361">
        <v>10698565000148</v>
      </c>
      <c r="I361" t="s">
        <v>4145</v>
      </c>
      <c r="J361" t="s">
        <v>4146</v>
      </c>
      <c r="K361" t="s">
        <v>4146</v>
      </c>
      <c r="L361" t="s">
        <v>4147</v>
      </c>
      <c r="P361" t="s">
        <v>4148</v>
      </c>
      <c r="Q361" t="s">
        <v>4149</v>
      </c>
      <c r="R361" t="s">
        <v>4150</v>
      </c>
      <c r="U361" t="s">
        <v>319</v>
      </c>
      <c r="V361" t="s">
        <v>3417</v>
      </c>
      <c r="X361">
        <v>2040708</v>
      </c>
      <c r="Y361">
        <v>7128</v>
      </c>
      <c r="AA361">
        <v>30</v>
      </c>
      <c r="AB361" s="31">
        <v>45964</v>
      </c>
      <c r="AC361" s="61">
        <v>0.44855324074074082</v>
      </c>
      <c r="AD361" t="s">
        <v>795</v>
      </c>
      <c r="AE361" s="31">
        <v>45994</v>
      </c>
      <c r="AF361" s="61">
        <v>0.4256597222222222</v>
      </c>
      <c r="AG361" t="s">
        <v>3463</v>
      </c>
      <c r="AI361" t="s">
        <v>2324</v>
      </c>
      <c r="AJ361" t="s">
        <v>2324</v>
      </c>
      <c r="AR361">
        <v>1</v>
      </c>
    </row>
    <row r="362" spans="1:44" x14ac:dyDescent="0.3">
      <c r="A362" t="s">
        <v>31</v>
      </c>
      <c r="B362">
        <v>675</v>
      </c>
      <c r="C362">
        <v>159</v>
      </c>
      <c r="D362">
        <v>2742</v>
      </c>
      <c r="G362" t="s">
        <v>4222</v>
      </c>
      <c r="H362">
        <v>43526090000161</v>
      </c>
      <c r="I362" t="s">
        <v>913</v>
      </c>
      <c r="J362" t="s">
        <v>3860</v>
      </c>
      <c r="K362" t="s">
        <v>3860</v>
      </c>
      <c r="L362" t="s">
        <v>4155</v>
      </c>
      <c r="N362" t="s">
        <v>916</v>
      </c>
      <c r="P362" t="s">
        <v>778</v>
      </c>
      <c r="Q362" t="s">
        <v>909</v>
      </c>
      <c r="R362" t="s">
        <v>790</v>
      </c>
      <c r="U362" t="s">
        <v>319</v>
      </c>
      <c r="V362" t="s">
        <v>3417</v>
      </c>
      <c r="AA362">
        <v>25</v>
      </c>
      <c r="AB362" s="31">
        <v>45968</v>
      </c>
      <c r="AC362" s="61">
        <v>0.67895833333333333</v>
      </c>
      <c r="AD362" t="s">
        <v>795</v>
      </c>
      <c r="AE362" s="31">
        <v>45993</v>
      </c>
      <c r="AF362" s="61">
        <v>0.39473379629629629</v>
      </c>
      <c r="AG362" t="s">
        <v>796</v>
      </c>
      <c r="AI362" t="s">
        <v>4223</v>
      </c>
      <c r="AJ362" t="s">
        <v>4223</v>
      </c>
      <c r="AR362">
        <v>1</v>
      </c>
    </row>
    <row r="363" spans="1:44" x14ac:dyDescent="0.3">
      <c r="A363" t="s">
        <v>31</v>
      </c>
      <c r="B363">
        <v>676</v>
      </c>
      <c r="C363">
        <v>208</v>
      </c>
      <c r="D363">
        <v>2746</v>
      </c>
      <c r="G363" t="s">
        <v>4224</v>
      </c>
      <c r="H363">
        <v>42830750000130</v>
      </c>
      <c r="I363" t="s">
        <v>3903</v>
      </c>
      <c r="J363" t="s">
        <v>1804</v>
      </c>
      <c r="K363" t="s">
        <v>1804</v>
      </c>
      <c r="L363" t="s">
        <v>3905</v>
      </c>
      <c r="N363" t="s">
        <v>4594</v>
      </c>
      <c r="P363" t="s">
        <v>3907</v>
      </c>
      <c r="Q363" t="s">
        <v>1094</v>
      </c>
      <c r="R363" t="s">
        <v>790</v>
      </c>
      <c r="U363" t="s">
        <v>319</v>
      </c>
      <c r="V363" t="s">
        <v>3417</v>
      </c>
      <c r="X363">
        <v>0</v>
      </c>
      <c r="Y363">
        <v>308</v>
      </c>
      <c r="AA363">
        <v>30</v>
      </c>
      <c r="AB363" s="31">
        <v>45971</v>
      </c>
      <c r="AC363" s="61">
        <v>0.39951388888888889</v>
      </c>
      <c r="AD363" t="s">
        <v>795</v>
      </c>
      <c r="AE363" s="31">
        <v>46001</v>
      </c>
      <c r="AF363" s="61">
        <v>0.44709490740740743</v>
      </c>
      <c r="AG363" t="s">
        <v>796</v>
      </c>
      <c r="AI363" t="s">
        <v>2437</v>
      </c>
      <c r="AJ363" t="s">
        <v>2437</v>
      </c>
      <c r="AR363">
        <v>1</v>
      </c>
    </row>
    <row r="364" spans="1:44" x14ac:dyDescent="0.3">
      <c r="A364" t="s">
        <v>31</v>
      </c>
      <c r="B364">
        <v>677</v>
      </c>
      <c r="C364">
        <v>182</v>
      </c>
      <c r="D364">
        <v>2752</v>
      </c>
      <c r="G364" t="s">
        <v>4225</v>
      </c>
      <c r="H364">
        <v>23873456000161</v>
      </c>
      <c r="I364" t="s">
        <v>3573</v>
      </c>
      <c r="J364" t="s">
        <v>3574</v>
      </c>
      <c r="K364" t="s">
        <v>3574</v>
      </c>
      <c r="L364" t="s">
        <v>3575</v>
      </c>
      <c r="N364" t="s">
        <v>3576</v>
      </c>
      <c r="P364" t="s">
        <v>3577</v>
      </c>
      <c r="Q364" t="s">
        <v>1837</v>
      </c>
      <c r="R364" t="s">
        <v>790</v>
      </c>
      <c r="T364" t="s">
        <v>1718</v>
      </c>
      <c r="U364" t="s">
        <v>319</v>
      </c>
      <c r="V364" t="s">
        <v>781</v>
      </c>
      <c r="AA364">
        <v>63</v>
      </c>
      <c r="AB364" s="31">
        <v>45972</v>
      </c>
      <c r="AC364" s="61">
        <v>0.64833333333333332</v>
      </c>
      <c r="AD364" t="s">
        <v>795</v>
      </c>
      <c r="AE364" s="31">
        <v>46035</v>
      </c>
      <c r="AF364" s="61">
        <v>0.70446759259259262</v>
      </c>
      <c r="AG364" t="s">
        <v>796</v>
      </c>
      <c r="AR364">
        <v>1</v>
      </c>
    </row>
    <row r="365" spans="1:44" x14ac:dyDescent="0.3">
      <c r="A365" t="s">
        <v>31</v>
      </c>
      <c r="B365">
        <v>678</v>
      </c>
      <c r="C365">
        <v>182</v>
      </c>
      <c r="D365">
        <v>2753</v>
      </c>
      <c r="G365" t="s">
        <v>4226</v>
      </c>
      <c r="H365">
        <v>23873456000161</v>
      </c>
      <c r="I365" t="s">
        <v>3573</v>
      </c>
      <c r="J365" t="s">
        <v>3574</v>
      </c>
      <c r="K365" t="s">
        <v>3574</v>
      </c>
      <c r="L365" t="s">
        <v>3575</v>
      </c>
      <c r="N365" t="s">
        <v>3576</v>
      </c>
      <c r="P365" t="s">
        <v>3577</v>
      </c>
      <c r="Q365" t="s">
        <v>1837</v>
      </c>
      <c r="R365" t="s">
        <v>790</v>
      </c>
      <c r="T365" t="s">
        <v>1718</v>
      </c>
      <c r="U365" t="s">
        <v>319</v>
      </c>
      <c r="V365" t="s">
        <v>3417</v>
      </c>
      <c r="X365">
        <v>3360</v>
      </c>
      <c r="Y365">
        <v>3564</v>
      </c>
      <c r="AA365">
        <v>106</v>
      </c>
      <c r="AB365" s="31">
        <v>45972</v>
      </c>
      <c r="AC365" s="61">
        <v>0.64900462962962968</v>
      </c>
      <c r="AD365" t="s">
        <v>795</v>
      </c>
      <c r="AE365" s="31">
        <v>46078</v>
      </c>
      <c r="AF365" s="61">
        <v>0.46172453703703698</v>
      </c>
      <c r="AG365" t="s">
        <v>796</v>
      </c>
      <c r="AI365" t="s">
        <v>4227</v>
      </c>
      <c r="AJ365" t="s">
        <v>4227</v>
      </c>
      <c r="AL365" t="s">
        <v>2326</v>
      </c>
      <c r="AM365">
        <v>30</v>
      </c>
      <c r="AR365">
        <v>1</v>
      </c>
    </row>
    <row r="366" spans="1:44" x14ac:dyDescent="0.3">
      <c r="A366" t="s">
        <v>31</v>
      </c>
      <c r="B366">
        <v>679</v>
      </c>
      <c r="C366">
        <v>182</v>
      </c>
      <c r="D366">
        <v>2754</v>
      </c>
      <c r="G366" t="s">
        <v>4228</v>
      </c>
      <c r="H366">
        <v>23873456000161</v>
      </c>
      <c r="I366" t="s">
        <v>3573</v>
      </c>
      <c r="J366" t="s">
        <v>3574</v>
      </c>
      <c r="K366" t="s">
        <v>3574</v>
      </c>
      <c r="L366" t="s">
        <v>3575</v>
      </c>
      <c r="N366" t="s">
        <v>3576</v>
      </c>
      <c r="P366" t="s">
        <v>3577</v>
      </c>
      <c r="Q366" t="s">
        <v>1837</v>
      </c>
      <c r="R366" t="s">
        <v>790</v>
      </c>
      <c r="T366" t="s">
        <v>1718</v>
      </c>
      <c r="U366" t="s">
        <v>319</v>
      </c>
      <c r="V366" t="s">
        <v>3417</v>
      </c>
      <c r="X366">
        <v>25200</v>
      </c>
      <c r="Y366">
        <v>104544</v>
      </c>
      <c r="AA366">
        <v>79</v>
      </c>
      <c r="AB366" s="31">
        <v>45972</v>
      </c>
      <c r="AC366" s="61">
        <v>0.66282407407407407</v>
      </c>
      <c r="AD366" t="s">
        <v>795</v>
      </c>
      <c r="AE366" s="31">
        <v>46051</v>
      </c>
      <c r="AF366" s="61">
        <v>0.39392361111111113</v>
      </c>
      <c r="AG366" t="s">
        <v>796</v>
      </c>
      <c r="AI366" t="s">
        <v>2529</v>
      </c>
      <c r="AJ366" t="s">
        <v>2529</v>
      </c>
      <c r="AL366" t="s">
        <v>2891</v>
      </c>
      <c r="AR366">
        <v>1</v>
      </c>
    </row>
    <row r="367" spans="1:44" x14ac:dyDescent="0.3">
      <c r="A367" t="s">
        <v>31</v>
      </c>
      <c r="B367">
        <v>682</v>
      </c>
      <c r="C367">
        <v>206</v>
      </c>
      <c r="D367">
        <v>2758</v>
      </c>
      <c r="G367" t="s">
        <v>4229</v>
      </c>
      <c r="H367">
        <v>37075503000136</v>
      </c>
      <c r="I367" t="s">
        <v>3826</v>
      </c>
      <c r="J367" t="s">
        <v>1474</v>
      </c>
      <c r="K367" t="s">
        <v>1474</v>
      </c>
      <c r="L367" t="s">
        <v>1475</v>
      </c>
      <c r="N367" t="s">
        <v>1476</v>
      </c>
      <c r="P367" t="s">
        <v>3827</v>
      </c>
      <c r="Q367" t="s">
        <v>1477</v>
      </c>
      <c r="R367" t="s">
        <v>932</v>
      </c>
      <c r="U367" t="s">
        <v>319</v>
      </c>
      <c r="V367" t="s">
        <v>3417</v>
      </c>
      <c r="X367">
        <v>70875</v>
      </c>
      <c r="Y367">
        <v>0</v>
      </c>
      <c r="AA367">
        <v>19</v>
      </c>
      <c r="AB367" s="31">
        <v>45974</v>
      </c>
      <c r="AC367" s="61">
        <v>0.40334490740740742</v>
      </c>
      <c r="AD367" t="s">
        <v>795</v>
      </c>
      <c r="AE367" s="31">
        <v>45993</v>
      </c>
      <c r="AF367" s="61">
        <v>0.39771990740740742</v>
      </c>
      <c r="AG367" t="s">
        <v>796</v>
      </c>
      <c r="AI367" t="s">
        <v>4230</v>
      </c>
      <c r="AR367">
        <v>1</v>
      </c>
    </row>
    <row r="368" spans="1:44" x14ac:dyDescent="0.3">
      <c r="A368" t="s">
        <v>31</v>
      </c>
      <c r="B368">
        <v>683</v>
      </c>
      <c r="C368">
        <v>186</v>
      </c>
      <c r="D368">
        <v>2759</v>
      </c>
      <c r="G368" t="s">
        <v>4231</v>
      </c>
      <c r="H368">
        <v>10899939000193</v>
      </c>
      <c r="I368" t="s">
        <v>3625</v>
      </c>
      <c r="J368" t="s">
        <v>704</v>
      </c>
      <c r="K368" t="s">
        <v>704</v>
      </c>
      <c r="L368" t="s">
        <v>3626</v>
      </c>
      <c r="N368" t="s">
        <v>3627</v>
      </c>
      <c r="P368" t="s">
        <v>3628</v>
      </c>
      <c r="Q368" t="s">
        <v>3629</v>
      </c>
      <c r="R368" t="s">
        <v>932</v>
      </c>
      <c r="T368" t="s">
        <v>1704</v>
      </c>
      <c r="U368" t="s">
        <v>319</v>
      </c>
      <c r="V368" t="s">
        <v>816</v>
      </c>
      <c r="X368">
        <v>2856</v>
      </c>
      <c r="Y368">
        <v>60588</v>
      </c>
      <c r="AA368">
        <v>60</v>
      </c>
      <c r="AB368" s="31">
        <v>45974</v>
      </c>
      <c r="AC368" s="61">
        <v>0.44814814814814807</v>
      </c>
      <c r="AD368" t="s">
        <v>795</v>
      </c>
      <c r="AE368" s="31">
        <v>46034</v>
      </c>
      <c r="AF368" s="61">
        <v>0.46733796296296298</v>
      </c>
      <c r="AG368" t="s">
        <v>934</v>
      </c>
      <c r="AI368" t="s">
        <v>4230</v>
      </c>
      <c r="AL368" t="s">
        <v>2519</v>
      </c>
      <c r="AR368">
        <v>1</v>
      </c>
    </row>
    <row r="369" spans="1:44" x14ac:dyDescent="0.3">
      <c r="A369" t="s">
        <v>31</v>
      </c>
      <c r="B369">
        <v>687</v>
      </c>
      <c r="C369">
        <v>152</v>
      </c>
      <c r="D369">
        <v>2817</v>
      </c>
      <c r="G369" t="s">
        <v>4018</v>
      </c>
      <c r="I369" t="s">
        <v>3445</v>
      </c>
      <c r="J369" t="s">
        <v>4146</v>
      </c>
      <c r="K369" t="s">
        <v>4146</v>
      </c>
      <c r="L369" t="s">
        <v>3621</v>
      </c>
      <c r="N369" t="s">
        <v>3448</v>
      </c>
      <c r="P369" t="s">
        <v>778</v>
      </c>
      <c r="T369" t="s">
        <v>1718</v>
      </c>
      <c r="U369" t="s">
        <v>319</v>
      </c>
      <c r="V369" t="s">
        <v>816</v>
      </c>
      <c r="X369">
        <v>3360</v>
      </c>
      <c r="Y369">
        <v>7128</v>
      </c>
      <c r="AA369">
        <v>67</v>
      </c>
      <c r="AB369" s="31">
        <v>45978</v>
      </c>
      <c r="AC369" s="61">
        <v>0.72304398148148152</v>
      </c>
      <c r="AD369" t="s">
        <v>818</v>
      </c>
      <c r="AE369" s="31">
        <v>46045</v>
      </c>
      <c r="AF369" s="61">
        <v>0.71009259259259261</v>
      </c>
      <c r="AI369" t="s">
        <v>2273</v>
      </c>
      <c r="AJ369" t="s">
        <v>2273</v>
      </c>
      <c r="AL369" t="s">
        <v>2590</v>
      </c>
      <c r="AR369">
        <v>1</v>
      </c>
    </row>
    <row r="370" spans="1:44" x14ac:dyDescent="0.3">
      <c r="A370" t="s">
        <v>31</v>
      </c>
      <c r="B370">
        <v>688</v>
      </c>
      <c r="C370">
        <v>170</v>
      </c>
      <c r="D370">
        <v>2818</v>
      </c>
      <c r="G370" t="s">
        <v>460</v>
      </c>
      <c r="H370">
        <v>4150555001304</v>
      </c>
      <c r="I370" t="s">
        <v>3477</v>
      </c>
      <c r="J370" t="s">
        <v>3478</v>
      </c>
      <c r="K370" t="s">
        <v>3478</v>
      </c>
      <c r="L370" t="s">
        <v>3569</v>
      </c>
      <c r="N370" t="s">
        <v>3480</v>
      </c>
      <c r="P370" t="s">
        <v>3481</v>
      </c>
      <c r="Q370" t="s">
        <v>3482</v>
      </c>
      <c r="R370" t="s">
        <v>1699</v>
      </c>
      <c r="U370" t="s">
        <v>319</v>
      </c>
      <c r="V370" t="s">
        <v>816</v>
      </c>
      <c r="X370">
        <v>838823</v>
      </c>
      <c r="Y370">
        <v>0</v>
      </c>
      <c r="AA370">
        <v>8</v>
      </c>
      <c r="AB370" s="31">
        <v>45979</v>
      </c>
      <c r="AC370" s="61">
        <v>0.6174884259259259</v>
      </c>
      <c r="AD370" t="s">
        <v>818</v>
      </c>
      <c r="AE370" s="31">
        <v>45987</v>
      </c>
      <c r="AF370" s="61">
        <v>0.49862268518518521</v>
      </c>
      <c r="AI370" t="s">
        <v>4232</v>
      </c>
      <c r="AR370">
        <v>1</v>
      </c>
    </row>
    <row r="371" spans="1:44" x14ac:dyDescent="0.3">
      <c r="A371" t="s">
        <v>31</v>
      </c>
      <c r="B371">
        <v>689</v>
      </c>
      <c r="C371">
        <v>0</v>
      </c>
      <c r="D371">
        <v>2851</v>
      </c>
      <c r="G371" t="s">
        <v>4233</v>
      </c>
      <c r="J371" t="s">
        <v>4234</v>
      </c>
      <c r="K371" t="s">
        <v>4234</v>
      </c>
      <c r="L371" t="s">
        <v>4235</v>
      </c>
      <c r="N371" t="s">
        <v>4236</v>
      </c>
      <c r="P371" t="s">
        <v>778</v>
      </c>
      <c r="T371" t="s">
        <v>1718</v>
      </c>
      <c r="U371" t="s">
        <v>319</v>
      </c>
      <c r="V371" t="s">
        <v>3606</v>
      </c>
      <c r="AA371">
        <v>45</v>
      </c>
      <c r="AB371" s="31">
        <v>45985</v>
      </c>
      <c r="AC371" s="61">
        <v>0.38097222222222221</v>
      </c>
      <c r="AD371" t="s">
        <v>795</v>
      </c>
      <c r="AE371" s="31">
        <v>46030</v>
      </c>
      <c r="AF371" s="61">
        <v>0.49526620370370372</v>
      </c>
      <c r="AG371" t="s">
        <v>1358</v>
      </c>
      <c r="AJ371" t="s">
        <v>2433</v>
      </c>
      <c r="AL371" t="s">
        <v>2326</v>
      </c>
      <c r="AR371">
        <v>1</v>
      </c>
    </row>
    <row r="372" spans="1:44" x14ac:dyDescent="0.3">
      <c r="A372" t="s">
        <v>31</v>
      </c>
      <c r="B372">
        <v>691</v>
      </c>
      <c r="C372">
        <v>197</v>
      </c>
      <c r="D372">
        <v>2873</v>
      </c>
      <c r="G372" t="s">
        <v>4237</v>
      </c>
      <c r="H372">
        <v>8616236000169</v>
      </c>
      <c r="I372" t="s">
        <v>3726</v>
      </c>
      <c r="J372" t="s">
        <v>704</v>
      </c>
      <c r="K372" t="s">
        <v>704</v>
      </c>
      <c r="L372" t="s">
        <v>3727</v>
      </c>
      <c r="N372" t="s">
        <v>3728</v>
      </c>
      <c r="P372" t="s">
        <v>3729</v>
      </c>
      <c r="Q372" t="s">
        <v>3687</v>
      </c>
      <c r="R372" t="s">
        <v>790</v>
      </c>
      <c r="T372" t="s">
        <v>1419</v>
      </c>
      <c r="U372" t="s">
        <v>319</v>
      </c>
      <c r="V372" t="s">
        <v>3417</v>
      </c>
      <c r="X372">
        <v>3360</v>
      </c>
      <c r="Y372">
        <v>19642</v>
      </c>
      <c r="AA372">
        <v>141</v>
      </c>
      <c r="AB372" s="31">
        <v>45986</v>
      </c>
      <c r="AC372" s="61">
        <v>0.42895833333333327</v>
      </c>
      <c r="AD372" t="s">
        <v>782</v>
      </c>
      <c r="AE372" s="31"/>
      <c r="AF372" s="61"/>
      <c r="AI372" t="s">
        <v>4238</v>
      </c>
      <c r="AJ372" t="s">
        <v>4238</v>
      </c>
      <c r="AL372" t="s">
        <v>2519</v>
      </c>
      <c r="AM372">
        <v>50</v>
      </c>
      <c r="AR372">
        <v>1</v>
      </c>
    </row>
    <row r="373" spans="1:44" x14ac:dyDescent="0.3">
      <c r="A373" t="s">
        <v>31</v>
      </c>
      <c r="B373">
        <v>698</v>
      </c>
      <c r="C373">
        <v>148</v>
      </c>
      <c r="D373">
        <v>2888</v>
      </c>
      <c r="G373" t="s">
        <v>3554</v>
      </c>
      <c r="H373">
        <v>8530284000130</v>
      </c>
      <c r="I373" t="s">
        <v>3555</v>
      </c>
      <c r="J373" t="s">
        <v>4190</v>
      </c>
      <c r="K373" t="s">
        <v>4190</v>
      </c>
      <c r="L373" t="s">
        <v>3556</v>
      </c>
      <c r="N373" t="s">
        <v>3557</v>
      </c>
      <c r="P373" t="s">
        <v>778</v>
      </c>
      <c r="U373" t="s">
        <v>319</v>
      </c>
      <c r="V373" t="s">
        <v>3417</v>
      </c>
      <c r="X373">
        <v>1600</v>
      </c>
      <c r="Y373">
        <v>40193</v>
      </c>
      <c r="AA373">
        <v>16</v>
      </c>
      <c r="AB373" s="31">
        <v>45986</v>
      </c>
      <c r="AC373" s="61">
        <v>0.71763888888888894</v>
      </c>
      <c r="AD373" t="s">
        <v>795</v>
      </c>
      <c r="AE373" s="31">
        <v>46002</v>
      </c>
      <c r="AF373" s="61">
        <v>0.63847222222222222</v>
      </c>
      <c r="AG373" t="s">
        <v>3463</v>
      </c>
      <c r="AI373" t="s">
        <v>4238</v>
      </c>
      <c r="AJ373" t="s">
        <v>4238</v>
      </c>
      <c r="AR373">
        <v>1</v>
      </c>
    </row>
    <row r="374" spans="1:44" x14ac:dyDescent="0.3">
      <c r="A374" t="s">
        <v>31</v>
      </c>
      <c r="B374">
        <v>699</v>
      </c>
      <c r="C374">
        <v>172</v>
      </c>
      <c r="D374">
        <v>2889</v>
      </c>
      <c r="G374" t="s">
        <v>3500</v>
      </c>
      <c r="H374">
        <v>33561753000125</v>
      </c>
      <c r="I374" t="s">
        <v>3501</v>
      </c>
      <c r="J374" t="s">
        <v>4180</v>
      </c>
      <c r="K374" t="s">
        <v>4180</v>
      </c>
      <c r="L374" t="s">
        <v>3502</v>
      </c>
      <c r="N374" t="s">
        <v>3503</v>
      </c>
      <c r="P374" t="s">
        <v>3504</v>
      </c>
      <c r="Q374" t="s">
        <v>3505</v>
      </c>
      <c r="R374" t="s">
        <v>790</v>
      </c>
      <c r="U374" t="s">
        <v>319</v>
      </c>
      <c r="V374" t="s">
        <v>3417</v>
      </c>
      <c r="X374">
        <v>1680</v>
      </c>
      <c r="Y374">
        <v>3564</v>
      </c>
      <c r="AA374">
        <v>0</v>
      </c>
      <c r="AB374" s="31">
        <v>45986</v>
      </c>
      <c r="AC374" s="61">
        <v>0.71848379629629633</v>
      </c>
      <c r="AD374" t="s">
        <v>795</v>
      </c>
      <c r="AE374" s="31">
        <v>45986</v>
      </c>
      <c r="AF374" s="61">
        <v>0.72062499999999996</v>
      </c>
      <c r="AG374" t="s">
        <v>796</v>
      </c>
      <c r="AI374" t="s">
        <v>4238</v>
      </c>
      <c r="AJ374" t="s">
        <v>4238</v>
      </c>
      <c r="AR374">
        <v>1</v>
      </c>
    </row>
    <row r="375" spans="1:44" x14ac:dyDescent="0.3">
      <c r="A375" t="s">
        <v>31</v>
      </c>
      <c r="B375">
        <v>710</v>
      </c>
      <c r="C375">
        <v>149</v>
      </c>
      <c r="D375">
        <v>2901</v>
      </c>
      <c r="G375" t="s">
        <v>4020</v>
      </c>
      <c r="H375">
        <v>12418196000118</v>
      </c>
      <c r="I375" t="s">
        <v>3645</v>
      </c>
      <c r="J375" t="s">
        <v>1115</v>
      </c>
      <c r="K375" t="s">
        <v>1115</v>
      </c>
      <c r="L375" t="s">
        <v>3647</v>
      </c>
      <c r="N375" t="s">
        <v>3648</v>
      </c>
      <c r="P375" t="s">
        <v>778</v>
      </c>
      <c r="U375" t="s">
        <v>319</v>
      </c>
      <c r="V375" t="s">
        <v>816</v>
      </c>
      <c r="X375">
        <v>2856</v>
      </c>
      <c r="Y375">
        <v>60588</v>
      </c>
      <c r="AA375">
        <v>8</v>
      </c>
      <c r="AB375" s="31">
        <v>45987</v>
      </c>
      <c r="AC375" s="61">
        <v>0.50680555555555551</v>
      </c>
      <c r="AD375" t="s">
        <v>818</v>
      </c>
      <c r="AE375" s="31">
        <v>45995</v>
      </c>
      <c r="AF375" s="61">
        <v>0.38068287037037041</v>
      </c>
      <c r="AI375" t="s">
        <v>2392</v>
      </c>
      <c r="AJ375" t="s">
        <v>2392</v>
      </c>
      <c r="AR375">
        <v>1</v>
      </c>
    </row>
    <row r="376" spans="1:44" x14ac:dyDescent="0.3">
      <c r="A376" t="s">
        <v>31</v>
      </c>
      <c r="B376">
        <v>712</v>
      </c>
      <c r="D376">
        <v>2903</v>
      </c>
      <c r="G376" t="s">
        <v>4239</v>
      </c>
      <c r="H376">
        <v>6847915000113</v>
      </c>
      <c r="J376" t="s">
        <v>4240</v>
      </c>
      <c r="K376" t="s">
        <v>4240</v>
      </c>
      <c r="L376" t="s">
        <v>4241</v>
      </c>
      <c r="N376" t="s">
        <v>4242</v>
      </c>
      <c r="P376" t="s">
        <v>778</v>
      </c>
      <c r="T376" t="s">
        <v>1419</v>
      </c>
      <c r="U376" t="s">
        <v>319</v>
      </c>
      <c r="V376" t="s">
        <v>3417</v>
      </c>
      <c r="X376">
        <v>16200</v>
      </c>
      <c r="Y376">
        <v>2160</v>
      </c>
      <c r="AA376">
        <v>47</v>
      </c>
      <c r="AB376" s="31">
        <v>45987</v>
      </c>
      <c r="AC376" s="61">
        <v>0.67927083333333338</v>
      </c>
      <c r="AD376" t="s">
        <v>795</v>
      </c>
      <c r="AE376" s="31">
        <v>46034</v>
      </c>
      <c r="AF376" s="61">
        <v>0.47002314814814822</v>
      </c>
      <c r="AG376" t="s">
        <v>3463</v>
      </c>
      <c r="AI376" t="s">
        <v>4243</v>
      </c>
      <c r="AJ376" t="s">
        <v>4243</v>
      </c>
      <c r="AL376" t="s">
        <v>4244</v>
      </c>
      <c r="AR376">
        <v>1</v>
      </c>
    </row>
    <row r="377" spans="1:44" x14ac:dyDescent="0.3">
      <c r="A377" t="s">
        <v>31</v>
      </c>
      <c r="B377">
        <v>713</v>
      </c>
      <c r="C377">
        <v>208</v>
      </c>
      <c r="D377">
        <v>2905</v>
      </c>
      <c r="G377" t="s">
        <v>3902</v>
      </c>
      <c r="H377">
        <v>42830750000130</v>
      </c>
      <c r="I377" t="s">
        <v>3903</v>
      </c>
      <c r="J377" t="s">
        <v>4091</v>
      </c>
      <c r="K377" t="s">
        <v>4091</v>
      </c>
      <c r="L377" t="s">
        <v>3905</v>
      </c>
      <c r="N377" t="s">
        <v>4594</v>
      </c>
      <c r="P377" t="s">
        <v>3907</v>
      </c>
      <c r="Q377" t="s">
        <v>1094</v>
      </c>
      <c r="R377" t="s">
        <v>790</v>
      </c>
      <c r="T377" t="s">
        <v>1704</v>
      </c>
      <c r="U377" t="s">
        <v>319</v>
      </c>
      <c r="V377" t="s">
        <v>3409</v>
      </c>
      <c r="X377">
        <v>2100</v>
      </c>
      <c r="Y377">
        <v>0</v>
      </c>
      <c r="AA377">
        <v>43</v>
      </c>
      <c r="AB377" s="31">
        <v>45988</v>
      </c>
      <c r="AC377" s="61">
        <v>0.71693287037037035</v>
      </c>
      <c r="AD377" t="s">
        <v>795</v>
      </c>
      <c r="AE377" s="31">
        <v>46031</v>
      </c>
      <c r="AF377" s="61">
        <v>0.50325231481481481</v>
      </c>
      <c r="AG377" t="s">
        <v>796</v>
      </c>
      <c r="AI377" t="s">
        <v>4243</v>
      </c>
      <c r="AL377" t="s">
        <v>2326</v>
      </c>
      <c r="AR377">
        <v>1</v>
      </c>
    </row>
    <row r="378" spans="1:44" x14ac:dyDescent="0.3">
      <c r="A378" t="s">
        <v>31</v>
      </c>
      <c r="B378">
        <v>715</v>
      </c>
      <c r="C378">
        <v>191</v>
      </c>
      <c r="D378">
        <v>2911</v>
      </c>
      <c r="G378" t="s">
        <v>4245</v>
      </c>
      <c r="H378">
        <v>18628799000120</v>
      </c>
      <c r="I378" t="s">
        <v>3734</v>
      </c>
      <c r="J378" t="s">
        <v>3735</v>
      </c>
      <c r="K378" t="s">
        <v>3735</v>
      </c>
      <c r="L378" t="s">
        <v>2216</v>
      </c>
      <c r="N378" t="s">
        <v>2217</v>
      </c>
      <c r="P378" t="s">
        <v>3736</v>
      </c>
      <c r="Q378" t="s">
        <v>1094</v>
      </c>
      <c r="R378" t="s">
        <v>790</v>
      </c>
      <c r="U378" t="s">
        <v>319</v>
      </c>
      <c r="V378" t="s">
        <v>3417</v>
      </c>
      <c r="X378">
        <v>62091</v>
      </c>
      <c r="Y378">
        <v>0</v>
      </c>
      <c r="AA378">
        <v>5</v>
      </c>
      <c r="AB378" s="31">
        <v>45989</v>
      </c>
      <c r="AC378" s="61">
        <v>0.67053240740740738</v>
      </c>
      <c r="AD378" t="s">
        <v>795</v>
      </c>
      <c r="AE378" s="31">
        <v>45994</v>
      </c>
      <c r="AF378" s="61">
        <v>0.42509259259259258</v>
      </c>
      <c r="AG378" t="s">
        <v>796</v>
      </c>
      <c r="AR378">
        <v>1</v>
      </c>
    </row>
    <row r="379" spans="1:44" x14ac:dyDescent="0.3">
      <c r="A379" t="s">
        <v>31</v>
      </c>
      <c r="B379">
        <v>716</v>
      </c>
      <c r="D379">
        <v>2912</v>
      </c>
      <c r="G379" t="s">
        <v>4246</v>
      </c>
      <c r="H379">
        <v>38160619000136</v>
      </c>
      <c r="J379" t="s">
        <v>4198</v>
      </c>
      <c r="K379" t="s">
        <v>4198</v>
      </c>
      <c r="L379" t="s">
        <v>4199</v>
      </c>
      <c r="N379" t="s">
        <v>4200</v>
      </c>
      <c r="P379" t="s">
        <v>778</v>
      </c>
      <c r="U379" t="s">
        <v>319</v>
      </c>
      <c r="V379" t="s">
        <v>816</v>
      </c>
      <c r="X379">
        <v>714</v>
      </c>
      <c r="Y379">
        <v>0</v>
      </c>
      <c r="AA379">
        <v>0</v>
      </c>
      <c r="AB379" s="31">
        <v>45989</v>
      </c>
      <c r="AC379" s="61">
        <v>0.6887268518518519</v>
      </c>
      <c r="AD379" t="s">
        <v>818</v>
      </c>
      <c r="AE379" s="31">
        <v>45989</v>
      </c>
      <c r="AF379" s="61">
        <v>0.70133101851851853</v>
      </c>
      <c r="AI379" t="s">
        <v>4247</v>
      </c>
      <c r="AR379">
        <v>1</v>
      </c>
    </row>
    <row r="380" spans="1:44" x14ac:dyDescent="0.3">
      <c r="A380" t="s">
        <v>31</v>
      </c>
      <c r="B380">
        <v>720</v>
      </c>
      <c r="C380">
        <v>147</v>
      </c>
      <c r="D380">
        <v>2956</v>
      </c>
      <c r="G380" t="s">
        <v>4248</v>
      </c>
      <c r="H380">
        <v>7964558000136</v>
      </c>
      <c r="I380" t="s">
        <v>3430</v>
      </c>
      <c r="J380" t="s">
        <v>1317</v>
      </c>
      <c r="K380" t="s">
        <v>1317</v>
      </c>
      <c r="L380" t="s">
        <v>3515</v>
      </c>
      <c r="N380" t="s">
        <v>3433</v>
      </c>
      <c r="P380" t="s">
        <v>778</v>
      </c>
      <c r="T380" t="s">
        <v>1704</v>
      </c>
      <c r="U380" t="s">
        <v>319</v>
      </c>
      <c r="V380" t="s">
        <v>3606</v>
      </c>
      <c r="X380">
        <v>5040</v>
      </c>
      <c r="Y380">
        <v>114048</v>
      </c>
      <c r="AA380">
        <v>134</v>
      </c>
      <c r="AB380" s="31">
        <v>45993</v>
      </c>
      <c r="AC380" s="61">
        <v>0.49560185185185179</v>
      </c>
      <c r="AD380" t="s">
        <v>782</v>
      </c>
      <c r="AE380" s="31"/>
      <c r="AF380" s="61"/>
      <c r="AI380" t="s">
        <v>2452</v>
      </c>
      <c r="AJ380" t="s">
        <v>2452</v>
      </c>
      <c r="AL380" t="s">
        <v>2510</v>
      </c>
      <c r="AM380">
        <v>90</v>
      </c>
      <c r="AR380">
        <v>1</v>
      </c>
    </row>
    <row r="381" spans="1:44" x14ac:dyDescent="0.3">
      <c r="A381" t="s">
        <v>31</v>
      </c>
      <c r="B381">
        <v>721</v>
      </c>
      <c r="C381">
        <v>190</v>
      </c>
      <c r="D381">
        <v>2957</v>
      </c>
      <c r="G381" t="s">
        <v>4249</v>
      </c>
      <c r="H381">
        <v>18203215000175</v>
      </c>
      <c r="I381" t="s">
        <v>3690</v>
      </c>
      <c r="J381" t="s">
        <v>4210</v>
      </c>
      <c r="K381" t="s">
        <v>4210</v>
      </c>
      <c r="L381" t="s">
        <v>3692</v>
      </c>
      <c r="N381" t="s">
        <v>3693</v>
      </c>
      <c r="P381" t="s">
        <v>3694</v>
      </c>
      <c r="Q381" t="s">
        <v>3695</v>
      </c>
      <c r="R381" t="s">
        <v>790</v>
      </c>
      <c r="T381" t="s">
        <v>1704</v>
      </c>
      <c r="U381" t="s">
        <v>319</v>
      </c>
      <c r="V381" t="s">
        <v>816</v>
      </c>
      <c r="X381">
        <v>7000</v>
      </c>
      <c r="Y381">
        <v>0</v>
      </c>
      <c r="AA381">
        <v>8</v>
      </c>
      <c r="AB381" s="31">
        <v>45994</v>
      </c>
      <c r="AC381" s="61">
        <v>0.48918981481481483</v>
      </c>
      <c r="AD381" t="s">
        <v>818</v>
      </c>
      <c r="AE381" s="31">
        <v>46002</v>
      </c>
      <c r="AF381" s="61">
        <v>0.68612268518518515</v>
      </c>
      <c r="AI381" t="s">
        <v>2465</v>
      </c>
      <c r="AJ381" t="s">
        <v>2465</v>
      </c>
      <c r="AR381">
        <v>1</v>
      </c>
    </row>
    <row r="382" spans="1:44" x14ac:dyDescent="0.3">
      <c r="A382" t="s">
        <v>31</v>
      </c>
      <c r="B382">
        <v>722</v>
      </c>
      <c r="C382">
        <v>195</v>
      </c>
      <c r="D382">
        <v>2964</v>
      </c>
      <c r="G382" t="s">
        <v>4250</v>
      </c>
      <c r="H382">
        <v>49682710000138</v>
      </c>
      <c r="I382" t="s">
        <v>4059</v>
      </c>
      <c r="J382" t="s">
        <v>4060</v>
      </c>
      <c r="K382" t="s">
        <v>4060</v>
      </c>
      <c r="L382" t="s">
        <v>4061</v>
      </c>
      <c r="N382" t="s">
        <v>4062</v>
      </c>
      <c r="P382" t="s">
        <v>4063</v>
      </c>
      <c r="Q382" t="s">
        <v>1633</v>
      </c>
      <c r="R382" t="s">
        <v>848</v>
      </c>
      <c r="U382" t="s">
        <v>319</v>
      </c>
      <c r="V382" t="s">
        <v>816</v>
      </c>
      <c r="X382">
        <v>7200</v>
      </c>
      <c r="Y382">
        <v>0</v>
      </c>
      <c r="AA382">
        <v>0</v>
      </c>
      <c r="AB382" s="31">
        <v>45996</v>
      </c>
      <c r="AC382" s="61">
        <v>0.39057870370370368</v>
      </c>
      <c r="AD382" t="s">
        <v>818</v>
      </c>
      <c r="AE382" s="31">
        <v>45996</v>
      </c>
      <c r="AF382" s="61">
        <v>0.41447916666666668</v>
      </c>
      <c r="AI382" t="s">
        <v>2459</v>
      </c>
      <c r="AR382">
        <v>1</v>
      </c>
    </row>
    <row r="383" spans="1:44" x14ac:dyDescent="0.3">
      <c r="A383" t="s">
        <v>31</v>
      </c>
      <c r="B383">
        <v>723</v>
      </c>
      <c r="C383">
        <v>197</v>
      </c>
      <c r="D383">
        <v>2965</v>
      </c>
      <c r="G383" t="s">
        <v>4251</v>
      </c>
      <c r="H383">
        <v>8616236000169</v>
      </c>
      <c r="I383" t="s">
        <v>3726</v>
      </c>
      <c r="J383" t="s">
        <v>704</v>
      </c>
      <c r="K383" t="s">
        <v>704</v>
      </c>
      <c r="L383" t="s">
        <v>3727</v>
      </c>
      <c r="N383" t="s">
        <v>3728</v>
      </c>
      <c r="P383" t="s">
        <v>3729</v>
      </c>
      <c r="Q383" t="s">
        <v>3687</v>
      </c>
      <c r="R383" t="s">
        <v>790</v>
      </c>
      <c r="T383" t="s">
        <v>1581</v>
      </c>
      <c r="U383" t="s">
        <v>319</v>
      </c>
      <c r="V383" t="s">
        <v>816</v>
      </c>
      <c r="X383">
        <v>2856</v>
      </c>
      <c r="Y383">
        <v>60588</v>
      </c>
      <c r="AA383">
        <v>38</v>
      </c>
      <c r="AB383" s="31">
        <v>45996</v>
      </c>
      <c r="AC383" s="61">
        <v>0.70861111111111108</v>
      </c>
      <c r="AD383" t="s">
        <v>795</v>
      </c>
      <c r="AE383" s="31">
        <v>46034</v>
      </c>
      <c r="AF383" s="61">
        <v>0.46759259259259262</v>
      </c>
      <c r="AG383" t="s">
        <v>934</v>
      </c>
      <c r="AI383" t="s">
        <v>2459</v>
      </c>
      <c r="AJ383" t="s">
        <v>2459</v>
      </c>
      <c r="AL383" t="s">
        <v>2519</v>
      </c>
      <c r="AR383">
        <v>1</v>
      </c>
    </row>
    <row r="384" spans="1:44" x14ac:dyDescent="0.3">
      <c r="A384" t="s">
        <v>31</v>
      </c>
      <c r="B384">
        <v>724</v>
      </c>
      <c r="C384">
        <v>180</v>
      </c>
      <c r="D384">
        <v>2968</v>
      </c>
      <c r="G384" t="s">
        <v>4252</v>
      </c>
      <c r="H384">
        <v>7287290000226</v>
      </c>
      <c r="I384" t="s">
        <v>3561</v>
      </c>
      <c r="J384" t="s">
        <v>3922</v>
      </c>
      <c r="K384" t="s">
        <v>3922</v>
      </c>
      <c r="L384" t="s">
        <v>3563</v>
      </c>
      <c r="N384" t="s">
        <v>3564</v>
      </c>
      <c r="P384" t="s">
        <v>3565</v>
      </c>
      <c r="Q384" t="s">
        <v>3566</v>
      </c>
      <c r="R384" t="s">
        <v>790</v>
      </c>
      <c r="T384" t="s">
        <v>1419</v>
      </c>
      <c r="U384" t="s">
        <v>319</v>
      </c>
      <c r="V384" t="s">
        <v>3417</v>
      </c>
      <c r="X384">
        <v>669483</v>
      </c>
      <c r="Y384">
        <v>0</v>
      </c>
      <c r="AA384">
        <v>28</v>
      </c>
      <c r="AB384" s="31">
        <v>45999</v>
      </c>
      <c r="AC384" s="61">
        <v>0.47325231481481478</v>
      </c>
      <c r="AD384" t="s">
        <v>795</v>
      </c>
      <c r="AE384" s="31">
        <v>46027</v>
      </c>
      <c r="AF384" s="61">
        <v>0.60864583333333333</v>
      </c>
      <c r="AG384" t="s">
        <v>934</v>
      </c>
      <c r="AI384" t="s">
        <v>4253</v>
      </c>
      <c r="AL384" t="s">
        <v>2520</v>
      </c>
      <c r="AR384">
        <v>1</v>
      </c>
    </row>
    <row r="385" spans="1:44" x14ac:dyDescent="0.3">
      <c r="A385" t="s">
        <v>31</v>
      </c>
      <c r="B385">
        <v>738</v>
      </c>
      <c r="C385">
        <v>133</v>
      </c>
      <c r="D385">
        <v>2990</v>
      </c>
      <c r="G385" t="s">
        <v>4254</v>
      </c>
      <c r="H385">
        <v>9517464000144</v>
      </c>
      <c r="I385" t="s">
        <v>625</v>
      </c>
      <c r="J385" t="s">
        <v>4255</v>
      </c>
      <c r="K385" t="s">
        <v>4255</v>
      </c>
      <c r="L385" t="s">
        <v>3584</v>
      </c>
      <c r="N385" t="s">
        <v>2207</v>
      </c>
      <c r="P385" t="s">
        <v>778</v>
      </c>
      <c r="T385" t="s">
        <v>1704</v>
      </c>
      <c r="U385" t="s">
        <v>319</v>
      </c>
      <c r="V385" t="s">
        <v>816</v>
      </c>
      <c r="X385">
        <v>3570</v>
      </c>
      <c r="Y385">
        <v>0</v>
      </c>
      <c r="AA385">
        <v>1</v>
      </c>
      <c r="AB385" s="31">
        <v>46002</v>
      </c>
      <c r="AC385" s="61">
        <v>0.69379629629629624</v>
      </c>
      <c r="AD385" t="s">
        <v>818</v>
      </c>
      <c r="AE385" s="31">
        <v>46003</v>
      </c>
      <c r="AF385" s="61">
        <v>0.74067129629629624</v>
      </c>
      <c r="AI385" t="s">
        <v>4256</v>
      </c>
      <c r="AJ385" t="s">
        <v>4256</v>
      </c>
      <c r="AL385" t="s">
        <v>2326</v>
      </c>
      <c r="AR385">
        <v>1</v>
      </c>
    </row>
    <row r="386" spans="1:44" x14ac:dyDescent="0.3">
      <c r="A386" t="s">
        <v>31</v>
      </c>
      <c r="B386">
        <v>743</v>
      </c>
      <c r="D386">
        <v>2998</v>
      </c>
      <c r="G386" t="s">
        <v>4191</v>
      </c>
      <c r="H386">
        <v>49119936000125</v>
      </c>
      <c r="J386" t="s">
        <v>1288</v>
      </c>
      <c r="K386" t="s">
        <v>1288</v>
      </c>
      <c r="L386" t="s">
        <v>4193</v>
      </c>
      <c r="N386" t="s">
        <v>4096</v>
      </c>
      <c r="P386" t="s">
        <v>778</v>
      </c>
      <c r="T386" t="s">
        <v>1718</v>
      </c>
      <c r="U386" t="s">
        <v>319</v>
      </c>
      <c r="V386" t="s">
        <v>3417</v>
      </c>
      <c r="X386">
        <v>0</v>
      </c>
      <c r="Y386">
        <v>26136</v>
      </c>
      <c r="AA386">
        <v>33</v>
      </c>
      <c r="AB386" s="31">
        <v>46008</v>
      </c>
      <c r="AC386" s="61">
        <v>0.69160879629629635</v>
      </c>
      <c r="AD386" t="s">
        <v>795</v>
      </c>
      <c r="AE386" s="31">
        <v>46041</v>
      </c>
      <c r="AF386" s="61">
        <v>0.43174768518518519</v>
      </c>
      <c r="AG386" t="s">
        <v>934</v>
      </c>
      <c r="AI386" t="s">
        <v>4257</v>
      </c>
      <c r="AJ386" t="s">
        <v>4257</v>
      </c>
      <c r="AL386" t="s">
        <v>4257</v>
      </c>
      <c r="AR386">
        <v>1</v>
      </c>
    </row>
    <row r="387" spans="1:44" x14ac:dyDescent="0.3">
      <c r="A387" t="s">
        <v>31</v>
      </c>
      <c r="B387">
        <v>744</v>
      </c>
      <c r="C387">
        <v>134</v>
      </c>
      <c r="D387">
        <v>2999</v>
      </c>
      <c r="G387" t="s">
        <v>3863</v>
      </c>
      <c r="I387" t="s">
        <v>3377</v>
      </c>
      <c r="J387" t="s">
        <v>3985</v>
      </c>
      <c r="K387" t="s">
        <v>3985</v>
      </c>
      <c r="L387" t="s">
        <v>3830</v>
      </c>
      <c r="N387" t="s">
        <v>3379</v>
      </c>
      <c r="P387" t="s">
        <v>778</v>
      </c>
      <c r="U387" t="s">
        <v>319</v>
      </c>
      <c r="V387" t="s">
        <v>816</v>
      </c>
      <c r="X387">
        <v>9867</v>
      </c>
      <c r="Y387">
        <v>8000</v>
      </c>
      <c r="AA387">
        <v>21</v>
      </c>
      <c r="AB387" s="31">
        <v>46008</v>
      </c>
      <c r="AC387" s="61">
        <v>0.702662037037037</v>
      </c>
      <c r="AD387" t="s">
        <v>818</v>
      </c>
      <c r="AE387" s="31">
        <v>46029</v>
      </c>
      <c r="AF387" s="61">
        <v>0.45002314814814809</v>
      </c>
      <c r="AI387" t="s">
        <v>4257</v>
      </c>
      <c r="AJ387" t="s">
        <v>4258</v>
      </c>
      <c r="AL387" t="s">
        <v>4259</v>
      </c>
      <c r="AR387">
        <v>1</v>
      </c>
    </row>
    <row r="388" spans="1:44" x14ac:dyDescent="0.3">
      <c r="A388" t="s">
        <v>31</v>
      </c>
      <c r="B388">
        <v>745</v>
      </c>
      <c r="C388">
        <v>122</v>
      </c>
      <c r="D388">
        <v>137</v>
      </c>
      <c r="G388" t="s">
        <v>4260</v>
      </c>
      <c r="I388" t="s">
        <v>680</v>
      </c>
      <c r="J388" t="s">
        <v>680</v>
      </c>
      <c r="K388" t="s">
        <v>680</v>
      </c>
      <c r="L388">
        <v>1126751375</v>
      </c>
      <c r="N388" t="s">
        <v>3351</v>
      </c>
      <c r="P388" t="s">
        <v>778</v>
      </c>
      <c r="T388" t="s">
        <v>1718</v>
      </c>
      <c r="U388" t="s">
        <v>319</v>
      </c>
      <c r="V388" t="s">
        <v>3417</v>
      </c>
      <c r="X388">
        <v>3360</v>
      </c>
      <c r="Y388">
        <v>0</v>
      </c>
      <c r="AA388">
        <v>31</v>
      </c>
      <c r="AB388" s="31">
        <v>46010</v>
      </c>
      <c r="AC388" s="61">
        <v>0.45038194444444452</v>
      </c>
      <c r="AD388" t="s">
        <v>795</v>
      </c>
      <c r="AE388" s="31">
        <v>46041</v>
      </c>
      <c r="AF388" s="61">
        <v>0.37591435185185179</v>
      </c>
      <c r="AG388" t="s">
        <v>796</v>
      </c>
      <c r="AI388" t="s">
        <v>4261</v>
      </c>
      <c r="AJ388" t="s">
        <v>4262</v>
      </c>
      <c r="AL388" t="s">
        <v>4261</v>
      </c>
      <c r="AR388">
        <v>1</v>
      </c>
    </row>
    <row r="389" spans="1:44" x14ac:dyDescent="0.3">
      <c r="A389" t="s">
        <v>31</v>
      </c>
      <c r="B389">
        <v>751</v>
      </c>
      <c r="D389">
        <v>3019</v>
      </c>
      <c r="G389" t="s">
        <v>4263</v>
      </c>
      <c r="H389">
        <v>38160619000136</v>
      </c>
      <c r="J389" t="s">
        <v>4198</v>
      </c>
      <c r="K389" t="s">
        <v>4198</v>
      </c>
      <c r="L389" t="s">
        <v>4199</v>
      </c>
      <c r="N389" t="s">
        <v>4200</v>
      </c>
      <c r="P389" t="s">
        <v>778</v>
      </c>
      <c r="T389" t="s">
        <v>1718</v>
      </c>
      <c r="U389" t="s">
        <v>319</v>
      </c>
      <c r="V389" t="s">
        <v>3417</v>
      </c>
      <c r="X389">
        <v>13100</v>
      </c>
      <c r="Y389">
        <v>1700</v>
      </c>
      <c r="AA389">
        <v>62</v>
      </c>
      <c r="AB389" s="31">
        <v>46028</v>
      </c>
      <c r="AC389" s="61">
        <v>0.47716435185185191</v>
      </c>
      <c r="AD389" t="s">
        <v>795</v>
      </c>
      <c r="AE389" s="31">
        <v>46090</v>
      </c>
      <c r="AF389" s="61">
        <v>0.73898148148148146</v>
      </c>
      <c r="AG389" t="s">
        <v>796</v>
      </c>
      <c r="AI389" t="s">
        <v>4264</v>
      </c>
      <c r="AL389" t="s">
        <v>4264</v>
      </c>
      <c r="AM389">
        <v>30</v>
      </c>
      <c r="AR389">
        <v>1</v>
      </c>
    </row>
    <row r="390" spans="1:44" x14ac:dyDescent="0.3">
      <c r="A390" t="s">
        <v>31</v>
      </c>
      <c r="B390">
        <v>752</v>
      </c>
      <c r="C390">
        <v>0</v>
      </c>
      <c r="D390">
        <v>3020</v>
      </c>
      <c r="G390" t="s">
        <v>4265</v>
      </c>
      <c r="H390">
        <v>38160619000136</v>
      </c>
      <c r="J390" t="s">
        <v>4198</v>
      </c>
      <c r="K390" t="s">
        <v>4198</v>
      </c>
      <c r="L390" t="s">
        <v>4199</v>
      </c>
      <c r="N390" t="s">
        <v>4200</v>
      </c>
      <c r="P390" t="s">
        <v>778</v>
      </c>
      <c r="T390" t="s">
        <v>1718</v>
      </c>
      <c r="U390" t="s">
        <v>319</v>
      </c>
      <c r="V390" t="s">
        <v>781</v>
      </c>
      <c r="AA390">
        <v>37</v>
      </c>
      <c r="AB390" s="31">
        <v>46028</v>
      </c>
      <c r="AC390" s="61">
        <v>0.49056712962962962</v>
      </c>
      <c r="AD390" t="s">
        <v>795</v>
      </c>
      <c r="AE390" s="31">
        <v>46065</v>
      </c>
      <c r="AF390" s="61">
        <v>0.7333912037037037</v>
      </c>
      <c r="AG390" t="s">
        <v>796</v>
      </c>
      <c r="AL390" t="s">
        <v>4264</v>
      </c>
      <c r="AM390">
        <v>30</v>
      </c>
      <c r="AR390">
        <v>1</v>
      </c>
    </row>
    <row r="391" spans="1:44" x14ac:dyDescent="0.3">
      <c r="A391" t="s">
        <v>31</v>
      </c>
      <c r="B391">
        <v>753</v>
      </c>
      <c r="C391">
        <v>152</v>
      </c>
      <c r="D391">
        <v>3021</v>
      </c>
      <c r="E391" t="s">
        <v>4598</v>
      </c>
      <c r="G391" t="s">
        <v>3661</v>
      </c>
      <c r="I391" t="s">
        <v>3445</v>
      </c>
      <c r="J391" t="s">
        <v>4273</v>
      </c>
      <c r="K391" t="s">
        <v>4273</v>
      </c>
      <c r="L391" t="s">
        <v>3621</v>
      </c>
      <c r="N391" t="s">
        <v>3448</v>
      </c>
      <c r="P391" t="s">
        <v>778</v>
      </c>
      <c r="T391" t="s">
        <v>1718</v>
      </c>
      <c r="U391" t="s">
        <v>319</v>
      </c>
      <c r="V391" t="s">
        <v>3417</v>
      </c>
      <c r="X391">
        <v>12351</v>
      </c>
      <c r="Y391">
        <v>0</v>
      </c>
      <c r="AA391">
        <v>30</v>
      </c>
      <c r="AB391" s="31">
        <v>46028</v>
      </c>
      <c r="AC391" s="61">
        <v>0.50945601851851852</v>
      </c>
      <c r="AD391" t="s">
        <v>795</v>
      </c>
      <c r="AE391" s="31">
        <v>46058</v>
      </c>
      <c r="AF391" s="61">
        <v>0.60276620370370371</v>
      </c>
      <c r="AG391" t="s">
        <v>3463</v>
      </c>
      <c r="AI391" t="s">
        <v>4264</v>
      </c>
      <c r="AL391" t="s">
        <v>2990</v>
      </c>
      <c r="AR391">
        <v>1</v>
      </c>
    </row>
    <row r="392" spans="1:44" x14ac:dyDescent="0.3">
      <c r="A392" t="s">
        <v>31</v>
      </c>
      <c r="B392">
        <v>755</v>
      </c>
      <c r="C392">
        <v>194</v>
      </c>
      <c r="D392">
        <v>3043</v>
      </c>
      <c r="G392" t="s">
        <v>4277</v>
      </c>
      <c r="H392">
        <v>44580314000186</v>
      </c>
      <c r="I392" t="s">
        <v>3682</v>
      </c>
      <c r="J392" t="s">
        <v>704</v>
      </c>
      <c r="K392" t="s">
        <v>704</v>
      </c>
      <c r="L392" t="s">
        <v>3684</v>
      </c>
      <c r="N392" t="s">
        <v>3685</v>
      </c>
      <c r="P392" t="s">
        <v>3686</v>
      </c>
      <c r="Q392" t="s">
        <v>3687</v>
      </c>
      <c r="R392" t="s">
        <v>790</v>
      </c>
      <c r="T392" t="s">
        <v>1704</v>
      </c>
      <c r="U392" t="s">
        <v>319</v>
      </c>
      <c r="V392" t="s">
        <v>816</v>
      </c>
      <c r="X392">
        <v>8100</v>
      </c>
      <c r="Y392">
        <v>1080</v>
      </c>
      <c r="AA392">
        <v>37</v>
      </c>
      <c r="AB392" s="31">
        <v>46029</v>
      </c>
      <c r="AC392" s="61">
        <v>0.7151967592592593</v>
      </c>
      <c r="AD392" t="s">
        <v>818</v>
      </c>
      <c r="AE392" s="31">
        <v>46066</v>
      </c>
      <c r="AF392" s="61">
        <v>0.39057870370370368</v>
      </c>
      <c r="AI392" t="s">
        <v>4278</v>
      </c>
      <c r="AJ392" t="s">
        <v>4278</v>
      </c>
      <c r="AL392" t="s">
        <v>4278</v>
      </c>
      <c r="AM392">
        <v>90</v>
      </c>
      <c r="AR392">
        <v>1</v>
      </c>
    </row>
    <row r="393" spans="1:44" x14ac:dyDescent="0.3">
      <c r="A393" t="s">
        <v>31</v>
      </c>
      <c r="B393">
        <v>756</v>
      </c>
      <c r="C393">
        <v>194</v>
      </c>
      <c r="D393">
        <v>3044</v>
      </c>
      <c r="G393" t="s">
        <v>233</v>
      </c>
      <c r="H393">
        <v>44580314000186</v>
      </c>
      <c r="I393" t="s">
        <v>3682</v>
      </c>
      <c r="J393" t="s">
        <v>704</v>
      </c>
      <c r="K393" t="s">
        <v>704</v>
      </c>
      <c r="L393" t="s">
        <v>3684</v>
      </c>
      <c r="N393" t="s">
        <v>3685</v>
      </c>
      <c r="P393" t="s">
        <v>3686</v>
      </c>
      <c r="Q393" t="s">
        <v>3687</v>
      </c>
      <c r="R393" t="s">
        <v>790</v>
      </c>
      <c r="T393" t="s">
        <v>1718</v>
      </c>
      <c r="U393" t="s">
        <v>319</v>
      </c>
      <c r="V393" t="s">
        <v>816</v>
      </c>
      <c r="X393">
        <v>29400</v>
      </c>
      <c r="Y393">
        <v>0</v>
      </c>
      <c r="AA393">
        <v>98</v>
      </c>
      <c r="AB393" s="31">
        <v>46029</v>
      </c>
      <c r="AC393" s="61">
        <v>0.72042824074074074</v>
      </c>
      <c r="AD393" t="s">
        <v>782</v>
      </c>
      <c r="AE393" s="31"/>
      <c r="AF393" s="61"/>
      <c r="AI393" t="s">
        <v>4279</v>
      </c>
      <c r="AL393" t="s">
        <v>2591</v>
      </c>
      <c r="AM393">
        <v>30</v>
      </c>
      <c r="AR393">
        <v>1</v>
      </c>
    </row>
    <row r="394" spans="1:44" x14ac:dyDescent="0.3">
      <c r="A394" t="s">
        <v>31</v>
      </c>
      <c r="B394">
        <v>791</v>
      </c>
      <c r="C394">
        <v>182</v>
      </c>
      <c r="D394">
        <v>3085</v>
      </c>
      <c r="E394" t="s">
        <v>4599</v>
      </c>
      <c r="G394" t="s">
        <v>4600</v>
      </c>
      <c r="H394">
        <v>23873456000161</v>
      </c>
      <c r="I394" t="s">
        <v>3573</v>
      </c>
      <c r="J394" t="s">
        <v>3655</v>
      </c>
      <c r="K394" t="s">
        <v>3655</v>
      </c>
      <c r="L394" t="s">
        <v>3575</v>
      </c>
      <c r="N394" t="s">
        <v>3576</v>
      </c>
      <c r="P394" t="s">
        <v>3577</v>
      </c>
      <c r="Q394" t="s">
        <v>1837</v>
      </c>
      <c r="R394" t="s">
        <v>790</v>
      </c>
      <c r="U394" t="s">
        <v>319</v>
      </c>
      <c r="V394" t="s">
        <v>3417</v>
      </c>
      <c r="X394">
        <v>16200</v>
      </c>
      <c r="Y394">
        <v>7128</v>
      </c>
      <c r="AA394">
        <v>8</v>
      </c>
      <c r="AB394" s="31">
        <v>46035</v>
      </c>
      <c r="AC394" s="61">
        <v>0.70474537037037033</v>
      </c>
      <c r="AD394" t="s">
        <v>795</v>
      </c>
      <c r="AE394" s="31">
        <v>46043</v>
      </c>
      <c r="AF394" s="61">
        <v>0.3976736111111111</v>
      </c>
      <c r="AG394" t="s">
        <v>3463</v>
      </c>
      <c r="AI394" t="s">
        <v>2770</v>
      </c>
      <c r="AJ394" t="s">
        <v>2770</v>
      </c>
      <c r="AL394" t="s">
        <v>2770</v>
      </c>
      <c r="AR394">
        <v>1</v>
      </c>
    </row>
    <row r="395" spans="1:44" x14ac:dyDescent="0.3">
      <c r="A395" t="s">
        <v>31</v>
      </c>
      <c r="B395">
        <v>797</v>
      </c>
      <c r="C395">
        <v>103</v>
      </c>
      <c r="D395">
        <v>3089</v>
      </c>
      <c r="E395" t="s">
        <v>4601</v>
      </c>
      <c r="G395" t="s">
        <v>4602</v>
      </c>
      <c r="H395">
        <v>12549273000179</v>
      </c>
      <c r="I395" t="s">
        <v>3309</v>
      </c>
      <c r="J395" t="s">
        <v>4297</v>
      </c>
      <c r="K395" t="s">
        <v>4297</v>
      </c>
      <c r="N395" t="s">
        <v>3312</v>
      </c>
      <c r="P395" t="s">
        <v>3313</v>
      </c>
      <c r="Q395" t="s">
        <v>1596</v>
      </c>
      <c r="R395" t="s">
        <v>790</v>
      </c>
      <c r="T395" t="s">
        <v>1718</v>
      </c>
      <c r="U395" t="s">
        <v>319</v>
      </c>
      <c r="V395" t="s">
        <v>816</v>
      </c>
      <c r="X395">
        <v>3000</v>
      </c>
      <c r="Y395">
        <v>0</v>
      </c>
      <c r="AA395">
        <v>29</v>
      </c>
      <c r="AB395" s="31">
        <v>46036</v>
      </c>
      <c r="AC395" s="61">
        <v>0.4802777777777778</v>
      </c>
      <c r="AD395" t="s">
        <v>818</v>
      </c>
      <c r="AE395" s="31">
        <v>46065</v>
      </c>
      <c r="AF395" s="61">
        <v>0.67753472222222222</v>
      </c>
      <c r="AI395" t="s">
        <v>2808</v>
      </c>
      <c r="AJ395" t="s">
        <v>2770</v>
      </c>
      <c r="AL395" t="s">
        <v>4603</v>
      </c>
      <c r="AM395">
        <v>30</v>
      </c>
      <c r="AR395">
        <v>1</v>
      </c>
    </row>
    <row r="396" spans="1:44" x14ac:dyDescent="0.3">
      <c r="A396" t="s">
        <v>31</v>
      </c>
      <c r="B396">
        <v>798</v>
      </c>
      <c r="C396">
        <v>149</v>
      </c>
      <c r="D396">
        <v>3090</v>
      </c>
      <c r="E396" t="s">
        <v>4300</v>
      </c>
      <c r="G396" t="s">
        <v>4301</v>
      </c>
      <c r="H396">
        <v>12418196000118</v>
      </c>
      <c r="I396" t="s">
        <v>3645</v>
      </c>
      <c r="J396" t="s">
        <v>3878</v>
      </c>
      <c r="K396" t="s">
        <v>3878</v>
      </c>
      <c r="L396" t="s">
        <v>3647</v>
      </c>
      <c r="N396" t="s">
        <v>3648</v>
      </c>
      <c r="P396" t="s">
        <v>778</v>
      </c>
      <c r="U396" t="s">
        <v>319</v>
      </c>
      <c r="V396" t="s">
        <v>3606</v>
      </c>
      <c r="AA396">
        <v>0</v>
      </c>
      <c r="AB396" s="31">
        <v>46036</v>
      </c>
      <c r="AC396" s="61">
        <v>0.52998842592592588</v>
      </c>
      <c r="AD396" t="s">
        <v>795</v>
      </c>
      <c r="AE396" s="31">
        <v>46036</v>
      </c>
      <c r="AF396" s="61">
        <v>0.53285879629629629</v>
      </c>
      <c r="AG396" t="s">
        <v>1358</v>
      </c>
      <c r="AJ396" t="s">
        <v>2770</v>
      </c>
      <c r="AL396" t="s">
        <v>2808</v>
      </c>
      <c r="AR396">
        <v>1</v>
      </c>
    </row>
    <row r="397" spans="1:44" x14ac:dyDescent="0.3">
      <c r="A397" t="s">
        <v>31</v>
      </c>
      <c r="B397">
        <v>801</v>
      </c>
      <c r="C397">
        <v>211</v>
      </c>
      <c r="D397">
        <v>3097</v>
      </c>
      <c r="E397" t="s">
        <v>4302</v>
      </c>
      <c r="G397" t="s">
        <v>4303</v>
      </c>
      <c r="H397">
        <v>5691820000190</v>
      </c>
      <c r="I397" t="s">
        <v>3912</v>
      </c>
      <c r="J397" t="s">
        <v>3431</v>
      </c>
      <c r="K397" t="s">
        <v>3431</v>
      </c>
      <c r="L397" t="s">
        <v>3913</v>
      </c>
      <c r="N397" t="s">
        <v>3914</v>
      </c>
      <c r="P397" t="s">
        <v>3915</v>
      </c>
      <c r="Q397" t="s">
        <v>1026</v>
      </c>
      <c r="R397" t="s">
        <v>1027</v>
      </c>
      <c r="U397" t="s">
        <v>319</v>
      </c>
      <c r="V397" t="s">
        <v>816</v>
      </c>
      <c r="X397">
        <v>2310</v>
      </c>
      <c r="Y397">
        <v>0</v>
      </c>
      <c r="AA397">
        <v>4</v>
      </c>
      <c r="AB397" s="31">
        <v>46038</v>
      </c>
      <c r="AC397" s="61">
        <v>0.64081018518518518</v>
      </c>
      <c r="AD397" t="s">
        <v>818</v>
      </c>
      <c r="AE397" s="31">
        <v>46042</v>
      </c>
      <c r="AF397" s="61">
        <v>0.42754629629629631</v>
      </c>
      <c r="AI397" t="s">
        <v>4304</v>
      </c>
      <c r="AL397" t="s">
        <v>2829</v>
      </c>
      <c r="AR397">
        <v>1</v>
      </c>
    </row>
    <row r="398" spans="1:44" x14ac:dyDescent="0.3">
      <c r="A398" t="s">
        <v>31</v>
      </c>
      <c r="B398">
        <v>802</v>
      </c>
      <c r="C398">
        <v>208</v>
      </c>
      <c r="D398">
        <v>3098</v>
      </c>
      <c r="G398" t="s">
        <v>4305</v>
      </c>
      <c r="H398">
        <v>42830750000130</v>
      </c>
      <c r="I398" t="s">
        <v>3903</v>
      </c>
      <c r="J398" t="s">
        <v>1804</v>
      </c>
      <c r="K398" t="s">
        <v>1804</v>
      </c>
      <c r="L398" t="s">
        <v>3905</v>
      </c>
      <c r="N398" t="s">
        <v>4594</v>
      </c>
      <c r="P398" t="s">
        <v>3907</v>
      </c>
      <c r="Q398" t="s">
        <v>1094</v>
      </c>
      <c r="R398" t="s">
        <v>790</v>
      </c>
      <c r="U398" t="s">
        <v>319</v>
      </c>
      <c r="V398" t="s">
        <v>816</v>
      </c>
      <c r="X398">
        <v>2100</v>
      </c>
      <c r="Y398">
        <v>0</v>
      </c>
      <c r="AA398">
        <v>0</v>
      </c>
      <c r="AB398" s="31">
        <v>46038</v>
      </c>
      <c r="AC398" s="61">
        <v>0.64391203703703703</v>
      </c>
      <c r="AD398" t="s">
        <v>818</v>
      </c>
      <c r="AE398" s="31">
        <v>46038</v>
      </c>
      <c r="AF398" s="61">
        <v>0.67453703703703705</v>
      </c>
      <c r="AI398" t="s">
        <v>4304</v>
      </c>
      <c r="AL398" t="s">
        <v>4304</v>
      </c>
      <c r="AR398">
        <v>1</v>
      </c>
    </row>
    <row r="399" spans="1:44" x14ac:dyDescent="0.3">
      <c r="A399" t="s">
        <v>31</v>
      </c>
      <c r="B399">
        <v>806</v>
      </c>
      <c r="C399">
        <v>185</v>
      </c>
      <c r="D399">
        <v>3100</v>
      </c>
      <c r="G399" t="s">
        <v>4306</v>
      </c>
      <c r="H399">
        <v>51496785000176</v>
      </c>
      <c r="I399" t="s">
        <v>3599</v>
      </c>
      <c r="J399" t="s">
        <v>3600</v>
      </c>
      <c r="K399" t="s">
        <v>3600</v>
      </c>
      <c r="L399" t="s">
        <v>3601</v>
      </c>
      <c r="N399" t="s">
        <v>3602</v>
      </c>
      <c r="P399" t="s">
        <v>3603</v>
      </c>
      <c r="Q399" t="s">
        <v>847</v>
      </c>
      <c r="R399" t="s">
        <v>848</v>
      </c>
      <c r="T399" t="s">
        <v>1718</v>
      </c>
      <c r="U399" t="s">
        <v>319</v>
      </c>
      <c r="V399" t="s">
        <v>3417</v>
      </c>
      <c r="X399">
        <v>3360</v>
      </c>
      <c r="Y399">
        <v>7128</v>
      </c>
      <c r="AA399">
        <v>54</v>
      </c>
      <c r="AB399" s="31">
        <v>46038</v>
      </c>
      <c r="AC399" s="61">
        <v>0.69921296296296298</v>
      </c>
      <c r="AD399" t="s">
        <v>795</v>
      </c>
      <c r="AE399" s="31">
        <v>46092</v>
      </c>
      <c r="AF399" s="61">
        <v>0.48524305555555558</v>
      </c>
      <c r="AG399" t="s">
        <v>3463</v>
      </c>
      <c r="AI399" t="s">
        <v>4304</v>
      </c>
      <c r="AJ399" t="s">
        <v>4304</v>
      </c>
      <c r="AL399" t="s">
        <v>380</v>
      </c>
      <c r="AM399">
        <v>30</v>
      </c>
      <c r="AR399">
        <v>1</v>
      </c>
    </row>
    <row r="400" spans="1:44" x14ac:dyDescent="0.3">
      <c r="A400" t="s">
        <v>31</v>
      </c>
      <c r="B400">
        <v>807</v>
      </c>
      <c r="C400">
        <v>0</v>
      </c>
      <c r="D400">
        <v>3104</v>
      </c>
      <c r="E400" t="s">
        <v>4604</v>
      </c>
      <c r="G400" t="s">
        <v>4605</v>
      </c>
      <c r="H400">
        <v>82128935000201</v>
      </c>
      <c r="J400" t="s">
        <v>4314</v>
      </c>
      <c r="K400" t="s">
        <v>4314</v>
      </c>
      <c r="L400" t="s">
        <v>4315</v>
      </c>
      <c r="N400" t="s">
        <v>4316</v>
      </c>
      <c r="P400" t="s">
        <v>778</v>
      </c>
      <c r="S400" t="s">
        <v>2919</v>
      </c>
      <c r="U400" t="s">
        <v>4317</v>
      </c>
      <c r="V400" t="s">
        <v>4318</v>
      </c>
      <c r="AA400">
        <v>86</v>
      </c>
      <c r="AB400" s="31">
        <v>46041</v>
      </c>
      <c r="AC400" s="61">
        <v>0.36096064814814821</v>
      </c>
      <c r="AD400" t="s">
        <v>782</v>
      </c>
      <c r="AE400" s="31"/>
      <c r="AF400" s="61"/>
      <c r="AL400" t="s">
        <v>2829</v>
      </c>
      <c r="AR400">
        <v>1</v>
      </c>
    </row>
    <row r="401" spans="1:44" x14ac:dyDescent="0.3">
      <c r="A401" t="s">
        <v>31</v>
      </c>
      <c r="B401">
        <v>808</v>
      </c>
      <c r="C401">
        <v>0</v>
      </c>
      <c r="D401">
        <v>3105</v>
      </c>
      <c r="E401" t="s">
        <v>4606</v>
      </c>
      <c r="G401" t="s">
        <v>4607</v>
      </c>
      <c r="H401">
        <v>11247450000108</v>
      </c>
      <c r="J401" t="s">
        <v>1474</v>
      </c>
      <c r="K401" t="s">
        <v>1474</v>
      </c>
      <c r="L401" t="s">
        <v>4321</v>
      </c>
      <c r="N401" t="s">
        <v>4322</v>
      </c>
      <c r="P401" t="s">
        <v>778</v>
      </c>
      <c r="U401" t="s">
        <v>4317</v>
      </c>
      <c r="V401" t="s">
        <v>4318</v>
      </c>
      <c r="AA401">
        <v>86</v>
      </c>
      <c r="AB401" s="31">
        <v>46041</v>
      </c>
      <c r="AC401" s="61">
        <v>0.36554398148148148</v>
      </c>
      <c r="AD401" t="s">
        <v>782</v>
      </c>
      <c r="AE401" s="31"/>
      <c r="AF401" s="61"/>
      <c r="AL401" t="s">
        <v>2891</v>
      </c>
      <c r="AR401">
        <v>1</v>
      </c>
    </row>
    <row r="402" spans="1:44" x14ac:dyDescent="0.3">
      <c r="A402" t="s">
        <v>31</v>
      </c>
      <c r="B402">
        <v>809</v>
      </c>
      <c r="C402">
        <v>0</v>
      </c>
      <c r="D402">
        <v>3106</v>
      </c>
      <c r="E402" t="s">
        <v>4608</v>
      </c>
      <c r="G402" t="s">
        <v>4609</v>
      </c>
      <c r="H402">
        <v>32258848000101</v>
      </c>
      <c r="J402" t="s">
        <v>1540</v>
      </c>
      <c r="K402" t="s">
        <v>1540</v>
      </c>
      <c r="L402" t="s">
        <v>3493</v>
      </c>
      <c r="N402" t="s">
        <v>3437</v>
      </c>
      <c r="P402" t="s">
        <v>778</v>
      </c>
      <c r="U402" t="s">
        <v>4317</v>
      </c>
      <c r="V402" t="s">
        <v>4318</v>
      </c>
      <c r="AA402">
        <v>86</v>
      </c>
      <c r="AB402" s="31">
        <v>46041</v>
      </c>
      <c r="AC402" s="61">
        <v>0.36634259259259261</v>
      </c>
      <c r="AD402" t="s">
        <v>782</v>
      </c>
      <c r="AE402" s="31"/>
      <c r="AF402" s="61"/>
      <c r="AL402" t="s">
        <v>2890</v>
      </c>
      <c r="AR402">
        <v>1</v>
      </c>
    </row>
    <row r="403" spans="1:44" x14ac:dyDescent="0.3">
      <c r="A403" t="s">
        <v>44</v>
      </c>
      <c r="B403">
        <v>810</v>
      </c>
      <c r="C403">
        <v>0</v>
      </c>
      <c r="D403">
        <v>3107</v>
      </c>
      <c r="G403" t="s">
        <v>4325</v>
      </c>
      <c r="H403">
        <v>4150555000170</v>
      </c>
      <c r="J403" t="s">
        <v>4326</v>
      </c>
      <c r="K403" t="s">
        <v>4326</v>
      </c>
      <c r="L403" t="s">
        <v>4327</v>
      </c>
      <c r="N403" t="s">
        <v>4328</v>
      </c>
      <c r="P403" t="s">
        <v>778</v>
      </c>
      <c r="U403" t="s">
        <v>4317</v>
      </c>
      <c r="V403" t="s">
        <v>4329</v>
      </c>
      <c r="AA403">
        <v>86</v>
      </c>
      <c r="AB403" s="31">
        <v>46041</v>
      </c>
      <c r="AC403" s="61">
        <v>0.36829861111111112</v>
      </c>
      <c r="AD403" t="s">
        <v>782</v>
      </c>
      <c r="AE403" s="31"/>
      <c r="AF403" s="61"/>
      <c r="AL403" t="s">
        <v>4330</v>
      </c>
      <c r="AR403">
        <v>1</v>
      </c>
    </row>
    <row r="404" spans="1:44" x14ac:dyDescent="0.3">
      <c r="A404" t="s">
        <v>44</v>
      </c>
      <c r="B404">
        <v>811</v>
      </c>
      <c r="C404">
        <v>0</v>
      </c>
      <c r="D404">
        <v>3108</v>
      </c>
      <c r="G404" t="s">
        <v>4331</v>
      </c>
      <c r="H404">
        <v>16710794000117</v>
      </c>
      <c r="J404" t="s">
        <v>1540</v>
      </c>
      <c r="K404" t="s">
        <v>1540</v>
      </c>
      <c r="L404" t="s">
        <v>4332</v>
      </c>
      <c r="N404" t="s">
        <v>4333</v>
      </c>
      <c r="P404" t="s">
        <v>778</v>
      </c>
      <c r="U404" t="s">
        <v>4317</v>
      </c>
      <c r="V404" t="s">
        <v>4329</v>
      </c>
      <c r="AA404">
        <v>86</v>
      </c>
      <c r="AB404" s="31">
        <v>46041</v>
      </c>
      <c r="AC404" s="61">
        <v>0.37181712962962971</v>
      </c>
      <c r="AD404" t="s">
        <v>782</v>
      </c>
      <c r="AE404" s="31"/>
      <c r="AF404" s="61"/>
      <c r="AL404" t="s">
        <v>4330</v>
      </c>
      <c r="AR404">
        <v>1</v>
      </c>
    </row>
    <row r="405" spans="1:44" x14ac:dyDescent="0.3">
      <c r="A405" t="s">
        <v>44</v>
      </c>
      <c r="B405">
        <v>812</v>
      </c>
      <c r="C405">
        <v>0</v>
      </c>
      <c r="D405">
        <v>3109</v>
      </c>
      <c r="G405" t="s">
        <v>4334</v>
      </c>
      <c r="H405">
        <v>59262535000183</v>
      </c>
      <c r="J405" t="s">
        <v>4335</v>
      </c>
      <c r="K405" t="s">
        <v>4335</v>
      </c>
      <c r="L405" t="s">
        <v>4336</v>
      </c>
      <c r="N405" t="s">
        <v>4337</v>
      </c>
      <c r="P405" t="s">
        <v>778</v>
      </c>
      <c r="U405" t="s">
        <v>4317</v>
      </c>
      <c r="V405" t="s">
        <v>4329</v>
      </c>
      <c r="AA405">
        <v>86</v>
      </c>
      <c r="AB405" s="31">
        <v>46041</v>
      </c>
      <c r="AC405" s="61">
        <v>0.37361111111111112</v>
      </c>
      <c r="AD405" t="s">
        <v>782</v>
      </c>
      <c r="AE405" s="31"/>
      <c r="AF405" s="61"/>
      <c r="AL405" t="s">
        <v>4330</v>
      </c>
      <c r="AR405">
        <v>1</v>
      </c>
    </row>
    <row r="406" spans="1:44" x14ac:dyDescent="0.3">
      <c r="A406" t="s">
        <v>22</v>
      </c>
      <c r="B406">
        <v>813</v>
      </c>
      <c r="C406">
        <v>0</v>
      </c>
      <c r="D406">
        <v>3110</v>
      </c>
      <c r="G406" t="s">
        <v>4338</v>
      </c>
      <c r="H406">
        <v>8616236000169</v>
      </c>
      <c r="J406" t="s">
        <v>1499</v>
      </c>
      <c r="K406" t="s">
        <v>1499</v>
      </c>
      <c r="L406" t="s">
        <v>4339</v>
      </c>
      <c r="N406" t="s">
        <v>3728</v>
      </c>
      <c r="P406" t="s">
        <v>778</v>
      </c>
      <c r="U406" t="s">
        <v>4317</v>
      </c>
      <c r="V406" t="s">
        <v>4329</v>
      </c>
      <c r="AA406">
        <v>86</v>
      </c>
      <c r="AB406" s="31">
        <v>46041</v>
      </c>
      <c r="AC406" s="61">
        <v>0.37436342592592592</v>
      </c>
      <c r="AD406" t="s">
        <v>782</v>
      </c>
      <c r="AE406" s="31"/>
      <c r="AF406" s="61"/>
      <c r="AL406" t="s">
        <v>4330</v>
      </c>
      <c r="AR406">
        <v>1</v>
      </c>
    </row>
    <row r="407" spans="1:44" x14ac:dyDescent="0.3">
      <c r="A407" t="s">
        <v>22</v>
      </c>
      <c r="B407">
        <v>814</v>
      </c>
      <c r="C407">
        <v>0</v>
      </c>
      <c r="D407">
        <v>3114</v>
      </c>
      <c r="G407" t="s">
        <v>4340</v>
      </c>
      <c r="H407">
        <v>7527737000297</v>
      </c>
      <c r="J407" t="s">
        <v>4067</v>
      </c>
      <c r="K407" t="s">
        <v>4067</v>
      </c>
      <c r="L407" t="s">
        <v>4341</v>
      </c>
      <c r="N407" t="s">
        <v>4342</v>
      </c>
      <c r="P407" t="s">
        <v>778</v>
      </c>
      <c r="U407" t="s">
        <v>4317</v>
      </c>
      <c r="V407" t="s">
        <v>4329</v>
      </c>
      <c r="AA407">
        <v>86</v>
      </c>
      <c r="AB407" s="31">
        <v>46041</v>
      </c>
      <c r="AC407" s="61">
        <v>0.38780092592592591</v>
      </c>
      <c r="AD407" t="s">
        <v>782</v>
      </c>
      <c r="AE407" s="31"/>
      <c r="AF407" s="61"/>
      <c r="AL407" t="s">
        <v>4330</v>
      </c>
      <c r="AR407">
        <v>1</v>
      </c>
    </row>
    <row r="408" spans="1:44" x14ac:dyDescent="0.3">
      <c r="A408" t="s">
        <v>31</v>
      </c>
      <c r="B408">
        <v>815</v>
      </c>
      <c r="C408">
        <v>191</v>
      </c>
      <c r="D408">
        <v>3115</v>
      </c>
      <c r="E408" t="s">
        <v>4610</v>
      </c>
      <c r="G408" t="s">
        <v>4245</v>
      </c>
      <c r="H408">
        <v>18628799000120</v>
      </c>
      <c r="I408" t="s">
        <v>3734</v>
      </c>
      <c r="J408" t="s">
        <v>4346</v>
      </c>
      <c r="K408" t="s">
        <v>4346</v>
      </c>
      <c r="L408" t="s">
        <v>2216</v>
      </c>
      <c r="N408" t="s">
        <v>2217</v>
      </c>
      <c r="P408" t="s">
        <v>3736</v>
      </c>
      <c r="Q408" t="s">
        <v>1094</v>
      </c>
      <c r="R408" t="s">
        <v>790</v>
      </c>
      <c r="U408" t="s">
        <v>319</v>
      </c>
      <c r="V408" t="s">
        <v>816</v>
      </c>
      <c r="X408">
        <v>527518</v>
      </c>
      <c r="Y408">
        <v>0</v>
      </c>
      <c r="AA408">
        <v>9</v>
      </c>
      <c r="AB408" s="31">
        <v>46041</v>
      </c>
      <c r="AC408" s="61">
        <v>0.38818287037037041</v>
      </c>
      <c r="AD408" t="s">
        <v>818</v>
      </c>
      <c r="AE408" s="31">
        <v>46050</v>
      </c>
      <c r="AF408" s="61">
        <v>0.60274305555555552</v>
      </c>
      <c r="AI408" t="s">
        <v>4330</v>
      </c>
      <c r="AL408" t="s">
        <v>4349</v>
      </c>
      <c r="AR408">
        <v>1</v>
      </c>
    </row>
    <row r="409" spans="1:44" x14ac:dyDescent="0.3">
      <c r="A409" t="s">
        <v>31</v>
      </c>
      <c r="B409">
        <v>816</v>
      </c>
      <c r="C409">
        <v>184</v>
      </c>
      <c r="D409">
        <v>3116</v>
      </c>
      <c r="E409" t="s">
        <v>4611</v>
      </c>
      <c r="G409" t="s">
        <v>419</v>
      </c>
      <c r="H409">
        <v>11861121000144</v>
      </c>
      <c r="I409" t="s">
        <v>3877</v>
      </c>
      <c r="J409" t="s">
        <v>1401</v>
      </c>
      <c r="K409" t="s">
        <v>1401</v>
      </c>
      <c r="L409" t="s">
        <v>3879</v>
      </c>
      <c r="N409" t="s">
        <v>3880</v>
      </c>
      <c r="P409" t="s">
        <v>3881</v>
      </c>
      <c r="Q409" t="s">
        <v>1094</v>
      </c>
      <c r="R409" t="s">
        <v>790</v>
      </c>
      <c r="T409" t="s">
        <v>1718</v>
      </c>
      <c r="U409" t="s">
        <v>319</v>
      </c>
      <c r="V409" t="s">
        <v>3417</v>
      </c>
      <c r="X409">
        <v>6000</v>
      </c>
      <c r="Y409">
        <v>2000</v>
      </c>
      <c r="AA409">
        <v>86</v>
      </c>
      <c r="AB409" s="31">
        <v>46041</v>
      </c>
      <c r="AC409" s="61">
        <v>0.39466435185185178</v>
      </c>
      <c r="AD409" t="s">
        <v>782</v>
      </c>
      <c r="AE409" s="31"/>
      <c r="AF409" s="61"/>
      <c r="AI409" t="s">
        <v>420</v>
      </c>
      <c r="AJ409" t="s">
        <v>420</v>
      </c>
      <c r="AL409" t="s">
        <v>4612</v>
      </c>
      <c r="AM409">
        <v>30</v>
      </c>
      <c r="AQ409" t="s">
        <v>2922</v>
      </c>
      <c r="AR409">
        <v>1</v>
      </c>
    </row>
    <row r="410" spans="1:44" x14ac:dyDescent="0.3">
      <c r="A410" t="s">
        <v>31</v>
      </c>
      <c r="B410">
        <v>817</v>
      </c>
      <c r="C410">
        <v>208</v>
      </c>
      <c r="D410">
        <v>3117</v>
      </c>
      <c r="G410" t="s">
        <v>4351</v>
      </c>
      <c r="H410">
        <v>42830750000130</v>
      </c>
      <c r="I410" t="s">
        <v>3903</v>
      </c>
      <c r="J410" t="s">
        <v>4091</v>
      </c>
      <c r="K410" t="s">
        <v>4091</v>
      </c>
      <c r="L410" t="s">
        <v>3905</v>
      </c>
      <c r="N410" t="s">
        <v>4594</v>
      </c>
      <c r="P410" t="s">
        <v>3907</v>
      </c>
      <c r="Q410" t="s">
        <v>1094</v>
      </c>
      <c r="R410" t="s">
        <v>790</v>
      </c>
      <c r="T410" t="s">
        <v>1718</v>
      </c>
      <c r="U410" t="s">
        <v>319</v>
      </c>
      <c r="V410" t="s">
        <v>3606</v>
      </c>
      <c r="AA410">
        <v>86</v>
      </c>
      <c r="AB410" s="31">
        <v>46041</v>
      </c>
      <c r="AC410" s="61">
        <v>0.39607638888888891</v>
      </c>
      <c r="AD410" t="s">
        <v>782</v>
      </c>
      <c r="AE410" s="31"/>
      <c r="AF410" s="61"/>
      <c r="AJ410" t="s">
        <v>4613</v>
      </c>
      <c r="AL410" t="s">
        <v>4352</v>
      </c>
      <c r="AM410">
        <v>30</v>
      </c>
      <c r="AQ410" t="s">
        <v>2922</v>
      </c>
      <c r="AR410">
        <v>1</v>
      </c>
    </row>
    <row r="411" spans="1:44" x14ac:dyDescent="0.3">
      <c r="A411" t="s">
        <v>31</v>
      </c>
      <c r="B411">
        <v>822</v>
      </c>
      <c r="D411">
        <v>3121</v>
      </c>
      <c r="E411" t="s">
        <v>4614</v>
      </c>
      <c r="G411" t="s">
        <v>4354</v>
      </c>
      <c r="H411">
        <v>55585815000171</v>
      </c>
      <c r="J411" t="s">
        <v>4355</v>
      </c>
      <c r="K411" t="s">
        <v>4355</v>
      </c>
      <c r="L411" t="s">
        <v>4181</v>
      </c>
      <c r="N411" t="s">
        <v>4182</v>
      </c>
      <c r="P411" t="s">
        <v>778</v>
      </c>
      <c r="T411" t="s">
        <v>1419</v>
      </c>
      <c r="U411" t="s">
        <v>319</v>
      </c>
      <c r="V411" t="s">
        <v>3417</v>
      </c>
      <c r="X411">
        <v>4760</v>
      </c>
      <c r="Y411">
        <v>712</v>
      </c>
      <c r="AA411">
        <v>85</v>
      </c>
      <c r="AB411" s="31">
        <v>46042</v>
      </c>
      <c r="AC411" s="61">
        <v>0.36277777777777781</v>
      </c>
      <c r="AD411" t="s">
        <v>782</v>
      </c>
      <c r="AE411" s="31"/>
      <c r="AF411" s="61"/>
      <c r="AI411" t="s">
        <v>2891</v>
      </c>
      <c r="AJ411" t="s">
        <v>2829</v>
      </c>
      <c r="AL411" t="s">
        <v>4612</v>
      </c>
      <c r="AM411">
        <v>50</v>
      </c>
      <c r="AR411">
        <v>1</v>
      </c>
    </row>
    <row r="412" spans="1:44" x14ac:dyDescent="0.3">
      <c r="A412" t="s">
        <v>31</v>
      </c>
      <c r="B412">
        <v>824</v>
      </c>
      <c r="C412">
        <v>153</v>
      </c>
      <c r="D412">
        <v>3124</v>
      </c>
      <c r="G412" t="s">
        <v>4356</v>
      </c>
      <c r="I412" t="s">
        <v>3451</v>
      </c>
      <c r="J412" t="s">
        <v>3982</v>
      </c>
      <c r="K412" t="s">
        <v>3982</v>
      </c>
      <c r="L412" t="s">
        <v>3983</v>
      </c>
      <c r="N412" t="s">
        <v>3454</v>
      </c>
      <c r="P412" t="s">
        <v>778</v>
      </c>
      <c r="U412" t="s">
        <v>319</v>
      </c>
      <c r="V412" t="s">
        <v>816</v>
      </c>
      <c r="X412">
        <v>16779</v>
      </c>
      <c r="Y412">
        <v>0</v>
      </c>
      <c r="AA412">
        <v>1</v>
      </c>
      <c r="AB412" s="31">
        <v>46042</v>
      </c>
      <c r="AC412" s="61">
        <v>0.38716435185185177</v>
      </c>
      <c r="AD412" t="s">
        <v>818</v>
      </c>
      <c r="AE412" s="31">
        <v>46043</v>
      </c>
      <c r="AF412" s="61">
        <v>0.39550925925925928</v>
      </c>
      <c r="AI412" t="s">
        <v>4330</v>
      </c>
      <c r="AL412" t="s">
        <v>2576</v>
      </c>
      <c r="AR412">
        <v>1</v>
      </c>
    </row>
    <row r="413" spans="1:44" x14ac:dyDescent="0.3">
      <c r="A413" t="s">
        <v>31</v>
      </c>
      <c r="B413">
        <v>825</v>
      </c>
      <c r="C413">
        <v>0</v>
      </c>
      <c r="D413">
        <v>3125</v>
      </c>
      <c r="E413" t="s">
        <v>4615</v>
      </c>
      <c r="G413" t="s">
        <v>466</v>
      </c>
      <c r="H413">
        <v>9023754000131</v>
      </c>
      <c r="J413" t="s">
        <v>4360</v>
      </c>
      <c r="K413" t="s">
        <v>4360</v>
      </c>
      <c r="L413" t="s">
        <v>4361</v>
      </c>
      <c r="N413" t="s">
        <v>4362</v>
      </c>
      <c r="P413" t="s">
        <v>778</v>
      </c>
      <c r="S413" t="s">
        <v>2919</v>
      </c>
      <c r="U413" t="s">
        <v>4317</v>
      </c>
      <c r="V413" t="s">
        <v>4318</v>
      </c>
      <c r="AA413">
        <v>85</v>
      </c>
      <c r="AB413" s="31">
        <v>46042</v>
      </c>
      <c r="AC413" s="61">
        <v>0.419375</v>
      </c>
      <c r="AD413" t="s">
        <v>782</v>
      </c>
      <c r="AE413" s="31"/>
      <c r="AF413" s="61"/>
      <c r="AL413" t="s">
        <v>4407</v>
      </c>
      <c r="AR413">
        <v>1</v>
      </c>
    </row>
    <row r="414" spans="1:44" x14ac:dyDescent="0.3">
      <c r="A414" t="s">
        <v>31</v>
      </c>
      <c r="B414">
        <v>826</v>
      </c>
      <c r="C414">
        <v>0</v>
      </c>
      <c r="D414">
        <v>3126</v>
      </c>
      <c r="E414" t="s">
        <v>4616</v>
      </c>
      <c r="G414" t="s">
        <v>4372</v>
      </c>
      <c r="H414">
        <v>20353768000156</v>
      </c>
      <c r="J414" t="s">
        <v>4617</v>
      </c>
      <c r="K414" t="s">
        <v>4617</v>
      </c>
      <c r="L414" t="s">
        <v>4374</v>
      </c>
      <c r="N414" t="s">
        <v>4375</v>
      </c>
      <c r="P414" t="s">
        <v>778</v>
      </c>
      <c r="U414" t="s">
        <v>4317</v>
      </c>
      <c r="V414" t="s">
        <v>4318</v>
      </c>
      <c r="AA414">
        <v>85</v>
      </c>
      <c r="AB414" s="31">
        <v>46042</v>
      </c>
      <c r="AC414" s="61">
        <v>0.42237268518518523</v>
      </c>
      <c r="AD414" t="s">
        <v>782</v>
      </c>
      <c r="AE414" s="31"/>
      <c r="AF414" s="61"/>
      <c r="AL414" t="s">
        <v>2890</v>
      </c>
      <c r="AR414">
        <v>1</v>
      </c>
    </row>
    <row r="415" spans="1:44" x14ac:dyDescent="0.3">
      <c r="A415" t="s">
        <v>31</v>
      </c>
      <c r="B415">
        <v>827</v>
      </c>
      <c r="C415">
        <v>0</v>
      </c>
      <c r="D415">
        <v>3127</v>
      </c>
      <c r="E415" t="s">
        <v>4618</v>
      </c>
      <c r="G415" t="s">
        <v>4619</v>
      </c>
      <c r="H415">
        <v>5236564000141</v>
      </c>
      <c r="J415" t="s">
        <v>3922</v>
      </c>
      <c r="K415" t="s">
        <v>3922</v>
      </c>
      <c r="L415" t="s">
        <v>4379</v>
      </c>
      <c r="N415" t="s">
        <v>4380</v>
      </c>
      <c r="P415" t="s">
        <v>778</v>
      </c>
      <c r="U415" t="s">
        <v>4317</v>
      </c>
      <c r="V415" t="s">
        <v>4318</v>
      </c>
      <c r="AA415">
        <v>85</v>
      </c>
      <c r="AB415" s="31">
        <v>46042</v>
      </c>
      <c r="AC415" s="61">
        <v>0.42685185185185193</v>
      </c>
      <c r="AD415" t="s">
        <v>782</v>
      </c>
      <c r="AE415" s="31"/>
      <c r="AF415" s="61"/>
      <c r="AL415" t="s">
        <v>4407</v>
      </c>
      <c r="AR415">
        <v>1</v>
      </c>
    </row>
    <row r="416" spans="1:44" x14ac:dyDescent="0.3">
      <c r="A416" t="s">
        <v>31</v>
      </c>
      <c r="B416">
        <v>828</v>
      </c>
      <c r="C416">
        <v>0</v>
      </c>
      <c r="D416">
        <v>3128</v>
      </c>
      <c r="E416" t="s">
        <v>4620</v>
      </c>
      <c r="G416" t="s">
        <v>471</v>
      </c>
      <c r="H416">
        <v>10303813000104</v>
      </c>
      <c r="J416" t="s">
        <v>1243</v>
      </c>
      <c r="K416" t="s">
        <v>1243</v>
      </c>
      <c r="L416" t="s">
        <v>4621</v>
      </c>
      <c r="N416" t="s">
        <v>4384</v>
      </c>
      <c r="P416" t="s">
        <v>778</v>
      </c>
      <c r="U416" t="s">
        <v>4317</v>
      </c>
      <c r="V416" t="s">
        <v>4318</v>
      </c>
      <c r="AA416">
        <v>85</v>
      </c>
      <c r="AB416" s="31">
        <v>46042</v>
      </c>
      <c r="AC416" s="61">
        <v>0.43459490740740742</v>
      </c>
      <c r="AD416" t="s">
        <v>782</v>
      </c>
      <c r="AE416" s="31"/>
      <c r="AF416" s="61"/>
      <c r="AL416" t="s">
        <v>2890</v>
      </c>
      <c r="AR416">
        <v>1</v>
      </c>
    </row>
    <row r="417" spans="1:44" x14ac:dyDescent="0.3">
      <c r="A417" t="s">
        <v>31</v>
      </c>
      <c r="B417">
        <v>829</v>
      </c>
      <c r="C417">
        <v>0</v>
      </c>
      <c r="D417">
        <v>3130</v>
      </c>
      <c r="E417" t="s">
        <v>4622</v>
      </c>
      <c r="G417" t="s">
        <v>4623</v>
      </c>
      <c r="H417">
        <v>55585815000171</v>
      </c>
      <c r="J417" t="s">
        <v>914</v>
      </c>
      <c r="K417" t="s">
        <v>914</v>
      </c>
      <c r="L417" t="s">
        <v>4181</v>
      </c>
      <c r="N417" t="s">
        <v>4182</v>
      </c>
      <c r="P417" t="s">
        <v>778</v>
      </c>
      <c r="U417" t="s">
        <v>4317</v>
      </c>
      <c r="V417" t="s">
        <v>4318</v>
      </c>
      <c r="AA417">
        <v>85</v>
      </c>
      <c r="AB417" s="31">
        <v>46042</v>
      </c>
      <c r="AC417" s="61">
        <v>0.49190972222222218</v>
      </c>
      <c r="AD417" t="s">
        <v>782</v>
      </c>
      <c r="AE417" s="31"/>
      <c r="AF417" s="61"/>
      <c r="AL417" t="s">
        <v>4407</v>
      </c>
      <c r="AR417">
        <v>1</v>
      </c>
    </row>
    <row r="418" spans="1:44" x14ac:dyDescent="0.3">
      <c r="A418" t="s">
        <v>31</v>
      </c>
      <c r="B418">
        <v>830</v>
      </c>
      <c r="C418">
        <v>0</v>
      </c>
      <c r="D418">
        <v>3131</v>
      </c>
      <c r="E418" t="s">
        <v>4624</v>
      </c>
      <c r="G418" t="s">
        <v>3529</v>
      </c>
      <c r="H418">
        <v>34728104000139</v>
      </c>
      <c r="J418" t="s">
        <v>1474</v>
      </c>
      <c r="K418" t="s">
        <v>1474</v>
      </c>
      <c r="L418" t="s">
        <v>3531</v>
      </c>
      <c r="N418" t="s">
        <v>4399</v>
      </c>
      <c r="P418" t="s">
        <v>778</v>
      </c>
      <c r="U418" t="s">
        <v>4317</v>
      </c>
      <c r="V418" t="s">
        <v>4318</v>
      </c>
      <c r="AA418">
        <v>85</v>
      </c>
      <c r="AB418" s="31">
        <v>46042</v>
      </c>
      <c r="AC418" s="61">
        <v>0.49453703703703711</v>
      </c>
      <c r="AD418" t="s">
        <v>782</v>
      </c>
      <c r="AE418" s="31"/>
      <c r="AF418" s="61"/>
      <c r="AL418" t="s">
        <v>4625</v>
      </c>
      <c r="AR418">
        <v>1</v>
      </c>
    </row>
    <row r="419" spans="1:44" x14ac:dyDescent="0.3">
      <c r="A419" t="s">
        <v>22</v>
      </c>
      <c r="B419">
        <v>831</v>
      </c>
      <c r="C419">
        <v>0</v>
      </c>
      <c r="D419">
        <v>3132</v>
      </c>
      <c r="E419" t="s">
        <v>4626</v>
      </c>
      <c r="G419" t="s">
        <v>4403</v>
      </c>
      <c r="H419">
        <v>23085291000163</v>
      </c>
      <c r="J419" t="s">
        <v>3848</v>
      </c>
      <c r="K419" t="s">
        <v>3848</v>
      </c>
      <c r="L419" t="s">
        <v>4405</v>
      </c>
      <c r="N419" t="s">
        <v>3237</v>
      </c>
      <c r="P419" t="s">
        <v>778</v>
      </c>
      <c r="T419" t="s">
        <v>4406</v>
      </c>
      <c r="U419" t="s">
        <v>4317</v>
      </c>
      <c r="V419" t="s">
        <v>4318</v>
      </c>
      <c r="AA419">
        <v>85</v>
      </c>
      <c r="AB419" s="31">
        <v>46042</v>
      </c>
      <c r="AC419" s="61">
        <v>0.49695601851851851</v>
      </c>
      <c r="AD419" t="s">
        <v>782</v>
      </c>
      <c r="AE419" s="31"/>
      <c r="AF419" s="61"/>
      <c r="AL419" t="s">
        <v>4407</v>
      </c>
      <c r="AR419">
        <v>1</v>
      </c>
    </row>
    <row r="420" spans="1:44" x14ac:dyDescent="0.3">
      <c r="A420" t="s">
        <v>31</v>
      </c>
      <c r="B420">
        <v>832</v>
      </c>
      <c r="C420">
        <v>0</v>
      </c>
      <c r="D420">
        <v>3133</v>
      </c>
      <c r="E420" t="s">
        <v>4627</v>
      </c>
      <c r="G420" t="s">
        <v>4628</v>
      </c>
      <c r="H420">
        <v>35548485000137</v>
      </c>
      <c r="J420" t="s">
        <v>4411</v>
      </c>
      <c r="K420" t="s">
        <v>4411</v>
      </c>
      <c r="L420" t="s">
        <v>4412</v>
      </c>
      <c r="N420" t="s">
        <v>4413</v>
      </c>
      <c r="P420" t="s">
        <v>778</v>
      </c>
      <c r="U420" t="s">
        <v>4317</v>
      </c>
      <c r="V420" t="s">
        <v>4318</v>
      </c>
      <c r="AA420">
        <v>85</v>
      </c>
      <c r="AB420" s="31">
        <v>46042</v>
      </c>
      <c r="AC420" s="61">
        <v>0.49824074074074082</v>
      </c>
      <c r="AD420" t="s">
        <v>782</v>
      </c>
      <c r="AE420" s="31"/>
      <c r="AF420" s="61"/>
      <c r="AL420" t="s">
        <v>4407</v>
      </c>
      <c r="AR420">
        <v>1</v>
      </c>
    </row>
    <row r="421" spans="1:44" x14ac:dyDescent="0.3">
      <c r="A421" t="s">
        <v>44</v>
      </c>
      <c r="B421">
        <v>833</v>
      </c>
      <c r="C421">
        <v>0</v>
      </c>
      <c r="D421">
        <v>3134</v>
      </c>
      <c r="G421" t="s">
        <v>4414</v>
      </c>
      <c r="H421">
        <v>26699965000108</v>
      </c>
      <c r="J421" t="s">
        <v>4415</v>
      </c>
      <c r="K421" t="s">
        <v>4415</v>
      </c>
      <c r="L421" t="s">
        <v>4416</v>
      </c>
      <c r="N421" t="s">
        <v>4417</v>
      </c>
      <c r="P421" t="s">
        <v>778</v>
      </c>
      <c r="U421" t="s">
        <v>4317</v>
      </c>
      <c r="V421" t="s">
        <v>4329</v>
      </c>
      <c r="AA421">
        <v>85</v>
      </c>
      <c r="AB421" s="31">
        <v>46042</v>
      </c>
      <c r="AC421" s="61">
        <v>0.50177083333333339</v>
      </c>
      <c r="AD421" t="s">
        <v>782</v>
      </c>
      <c r="AE421" s="31"/>
      <c r="AF421" s="61"/>
      <c r="AL421" t="s">
        <v>4407</v>
      </c>
      <c r="AR421">
        <v>1</v>
      </c>
    </row>
    <row r="422" spans="1:44" x14ac:dyDescent="0.3">
      <c r="A422" t="s">
        <v>44</v>
      </c>
      <c r="B422">
        <v>834</v>
      </c>
      <c r="C422">
        <v>0</v>
      </c>
      <c r="D422">
        <v>3135</v>
      </c>
      <c r="G422" t="s">
        <v>4418</v>
      </c>
      <c r="H422">
        <v>2462686000168</v>
      </c>
      <c r="J422" t="s">
        <v>3530</v>
      </c>
      <c r="K422" t="s">
        <v>3530</v>
      </c>
      <c r="L422" t="s">
        <v>4419</v>
      </c>
      <c r="N422" t="s">
        <v>4420</v>
      </c>
      <c r="P422" t="s">
        <v>778</v>
      </c>
      <c r="U422" t="s">
        <v>4317</v>
      </c>
      <c r="V422" t="s">
        <v>4329</v>
      </c>
      <c r="AA422">
        <v>85</v>
      </c>
      <c r="AB422" s="31">
        <v>46042</v>
      </c>
      <c r="AC422" s="61">
        <v>0.50340277777777775</v>
      </c>
      <c r="AD422" t="s">
        <v>782</v>
      </c>
      <c r="AE422" s="31"/>
      <c r="AF422" s="61"/>
      <c r="AL422" t="s">
        <v>4407</v>
      </c>
      <c r="AR422">
        <v>1</v>
      </c>
    </row>
    <row r="423" spans="1:44" x14ac:dyDescent="0.3">
      <c r="A423" t="s">
        <v>44</v>
      </c>
      <c r="B423">
        <v>835</v>
      </c>
      <c r="C423">
        <v>0</v>
      </c>
      <c r="D423">
        <v>3136</v>
      </c>
      <c r="G423" t="s">
        <v>4421</v>
      </c>
      <c r="H423">
        <v>6959313000158</v>
      </c>
      <c r="J423" t="s">
        <v>4422</v>
      </c>
      <c r="K423" t="s">
        <v>4422</v>
      </c>
      <c r="L423" t="s">
        <v>4423</v>
      </c>
      <c r="N423" t="s">
        <v>4424</v>
      </c>
      <c r="P423" t="s">
        <v>778</v>
      </c>
      <c r="U423" t="s">
        <v>4317</v>
      </c>
      <c r="V423" t="s">
        <v>4329</v>
      </c>
      <c r="AA423">
        <v>85</v>
      </c>
      <c r="AB423" s="31">
        <v>46042</v>
      </c>
      <c r="AC423" s="61">
        <v>0.50469907407407411</v>
      </c>
      <c r="AD423" t="s">
        <v>782</v>
      </c>
      <c r="AE423" s="31"/>
      <c r="AF423" s="61"/>
      <c r="AL423" t="s">
        <v>4407</v>
      </c>
      <c r="AR423">
        <v>1</v>
      </c>
    </row>
    <row r="424" spans="1:44" x14ac:dyDescent="0.3">
      <c r="A424" t="s">
        <v>44</v>
      </c>
      <c r="B424">
        <v>836</v>
      </c>
      <c r="C424">
        <v>0</v>
      </c>
      <c r="D424">
        <v>3137</v>
      </c>
      <c r="G424" t="s">
        <v>4425</v>
      </c>
      <c r="H424">
        <v>14172069000107</v>
      </c>
      <c r="J424" t="s">
        <v>4426</v>
      </c>
      <c r="K424" t="s">
        <v>4426</v>
      </c>
      <c r="L424" t="s">
        <v>4427</v>
      </c>
      <c r="N424" t="s">
        <v>4428</v>
      </c>
      <c r="P424" t="s">
        <v>778</v>
      </c>
      <c r="U424" t="s">
        <v>4317</v>
      </c>
      <c r="V424" t="s">
        <v>4329</v>
      </c>
      <c r="AA424">
        <v>85</v>
      </c>
      <c r="AB424" s="31">
        <v>46042</v>
      </c>
      <c r="AC424" s="61">
        <v>0.50646990740740738</v>
      </c>
      <c r="AD424" t="s">
        <v>782</v>
      </c>
      <c r="AE424" s="31"/>
      <c r="AF424" s="61"/>
      <c r="AL424" t="s">
        <v>4407</v>
      </c>
      <c r="AR424">
        <v>1</v>
      </c>
    </row>
    <row r="425" spans="1:44" x14ac:dyDescent="0.3">
      <c r="A425" t="s">
        <v>44</v>
      </c>
      <c r="B425">
        <v>837</v>
      </c>
      <c r="C425">
        <v>0</v>
      </c>
      <c r="D425">
        <v>3138</v>
      </c>
      <c r="E425" t="s">
        <v>4629</v>
      </c>
      <c r="G425" t="s">
        <v>3239</v>
      </c>
      <c r="H425">
        <v>11458315000101</v>
      </c>
      <c r="J425" t="s">
        <v>4436</v>
      </c>
      <c r="K425" t="s">
        <v>4436</v>
      </c>
      <c r="L425" t="s">
        <v>4630</v>
      </c>
      <c r="N425" t="s">
        <v>3468</v>
      </c>
      <c r="P425" t="s">
        <v>778</v>
      </c>
      <c r="U425" t="s">
        <v>4317</v>
      </c>
      <c r="V425" t="s">
        <v>4437</v>
      </c>
      <c r="AA425">
        <v>85</v>
      </c>
      <c r="AB425" s="31">
        <v>46042</v>
      </c>
      <c r="AC425" s="61">
        <v>0.50835648148148149</v>
      </c>
      <c r="AD425" t="s">
        <v>782</v>
      </c>
      <c r="AE425" s="31"/>
      <c r="AF425" s="61"/>
      <c r="AL425" t="s">
        <v>4407</v>
      </c>
      <c r="AR425">
        <v>1</v>
      </c>
    </row>
    <row r="426" spans="1:44" x14ac:dyDescent="0.3">
      <c r="A426" t="s">
        <v>44</v>
      </c>
      <c r="B426">
        <v>838</v>
      </c>
      <c r="C426">
        <v>0</v>
      </c>
      <c r="D426">
        <v>3139</v>
      </c>
      <c r="E426" t="s">
        <v>4631</v>
      </c>
      <c r="G426" t="s">
        <v>4632</v>
      </c>
      <c r="H426">
        <v>7554218000137</v>
      </c>
      <c r="J426" t="s">
        <v>4445</v>
      </c>
      <c r="K426" t="s">
        <v>4445</v>
      </c>
      <c r="L426" t="s">
        <v>4446</v>
      </c>
      <c r="N426" t="s">
        <v>4447</v>
      </c>
      <c r="P426" t="s">
        <v>778</v>
      </c>
      <c r="U426" t="s">
        <v>4317</v>
      </c>
      <c r="V426" t="s">
        <v>4437</v>
      </c>
      <c r="AA426">
        <v>85</v>
      </c>
      <c r="AB426" s="31">
        <v>46042</v>
      </c>
      <c r="AC426" s="61">
        <v>0.50949074074074074</v>
      </c>
      <c r="AD426" t="s">
        <v>782</v>
      </c>
      <c r="AE426" s="31"/>
      <c r="AF426" s="61"/>
      <c r="AL426" t="s">
        <v>2576</v>
      </c>
      <c r="AR426">
        <v>1</v>
      </c>
    </row>
    <row r="427" spans="1:44" x14ac:dyDescent="0.3">
      <c r="A427" t="s">
        <v>44</v>
      </c>
      <c r="B427">
        <v>839</v>
      </c>
      <c r="C427">
        <v>0</v>
      </c>
      <c r="D427">
        <v>3140</v>
      </c>
      <c r="G427" t="s">
        <v>4448</v>
      </c>
      <c r="H427">
        <v>7044171000161</v>
      </c>
      <c r="J427" t="s">
        <v>4449</v>
      </c>
      <c r="K427" t="s">
        <v>4449</v>
      </c>
      <c r="L427" t="s">
        <v>4450</v>
      </c>
      <c r="N427" t="s">
        <v>4451</v>
      </c>
      <c r="P427" t="s">
        <v>778</v>
      </c>
      <c r="U427" t="s">
        <v>4317</v>
      </c>
      <c r="V427" t="s">
        <v>4329</v>
      </c>
      <c r="AA427">
        <v>85</v>
      </c>
      <c r="AB427" s="31">
        <v>46042</v>
      </c>
      <c r="AC427" s="61">
        <v>0.51048611111111108</v>
      </c>
      <c r="AD427" t="s">
        <v>782</v>
      </c>
      <c r="AE427" s="31"/>
      <c r="AF427" s="61"/>
      <c r="AL427" t="s">
        <v>4407</v>
      </c>
      <c r="AR427">
        <v>1</v>
      </c>
    </row>
    <row r="428" spans="1:44" x14ac:dyDescent="0.3">
      <c r="A428" t="s">
        <v>22</v>
      </c>
      <c r="B428">
        <v>840</v>
      </c>
      <c r="C428">
        <v>0</v>
      </c>
      <c r="D428">
        <v>3141</v>
      </c>
      <c r="G428" t="s">
        <v>4452</v>
      </c>
      <c r="H428">
        <v>6847915000202</v>
      </c>
      <c r="J428" t="s">
        <v>1804</v>
      </c>
      <c r="K428" t="s">
        <v>1804</v>
      </c>
      <c r="L428" t="s">
        <v>4453</v>
      </c>
      <c r="N428" t="s">
        <v>4242</v>
      </c>
      <c r="P428" t="s">
        <v>778</v>
      </c>
      <c r="U428" t="s">
        <v>4317</v>
      </c>
      <c r="V428" t="s">
        <v>4329</v>
      </c>
      <c r="AA428">
        <v>85</v>
      </c>
      <c r="AB428" s="31">
        <v>46042</v>
      </c>
      <c r="AC428" s="61">
        <v>0.58880787037037041</v>
      </c>
      <c r="AD428" t="s">
        <v>782</v>
      </c>
      <c r="AE428" s="31"/>
      <c r="AF428" s="61"/>
      <c r="AL428" t="s">
        <v>4407</v>
      </c>
      <c r="AR428">
        <v>1</v>
      </c>
    </row>
    <row r="429" spans="1:44" x14ac:dyDescent="0.3">
      <c r="A429" t="s">
        <v>22</v>
      </c>
      <c r="B429">
        <v>841</v>
      </c>
      <c r="C429">
        <v>0</v>
      </c>
      <c r="D429">
        <v>3142</v>
      </c>
      <c r="G429" t="s">
        <v>4454</v>
      </c>
      <c r="H429">
        <v>8636039000101</v>
      </c>
      <c r="J429" t="s">
        <v>4455</v>
      </c>
      <c r="K429" t="s">
        <v>4455</v>
      </c>
      <c r="L429" t="s">
        <v>4456</v>
      </c>
      <c r="N429" t="s">
        <v>4163</v>
      </c>
      <c r="P429" t="s">
        <v>778</v>
      </c>
      <c r="U429" t="s">
        <v>4317</v>
      </c>
      <c r="V429" t="s">
        <v>4329</v>
      </c>
      <c r="AA429">
        <v>85</v>
      </c>
      <c r="AB429" s="31">
        <v>46042</v>
      </c>
      <c r="AC429" s="61">
        <v>0.58991898148148147</v>
      </c>
      <c r="AD429" t="s">
        <v>782</v>
      </c>
      <c r="AE429" s="31"/>
      <c r="AF429" s="61"/>
      <c r="AL429" t="s">
        <v>4407</v>
      </c>
      <c r="AR429">
        <v>1</v>
      </c>
    </row>
    <row r="430" spans="1:44" x14ac:dyDescent="0.3">
      <c r="A430" t="s">
        <v>22</v>
      </c>
      <c r="B430">
        <v>842</v>
      </c>
      <c r="C430">
        <v>0</v>
      </c>
      <c r="D430">
        <v>3143</v>
      </c>
      <c r="G430" t="s">
        <v>4457</v>
      </c>
      <c r="H430">
        <v>7729393000118</v>
      </c>
      <c r="J430" t="s">
        <v>4458</v>
      </c>
      <c r="K430" t="s">
        <v>4458</v>
      </c>
      <c r="L430" t="s">
        <v>4459</v>
      </c>
      <c r="N430" t="s">
        <v>4460</v>
      </c>
      <c r="P430" t="s">
        <v>778</v>
      </c>
      <c r="U430" t="s">
        <v>4317</v>
      </c>
      <c r="V430" t="s">
        <v>4329</v>
      </c>
      <c r="AA430">
        <v>85</v>
      </c>
      <c r="AB430" s="31">
        <v>46042</v>
      </c>
      <c r="AC430" s="61">
        <v>0.59046296296296297</v>
      </c>
      <c r="AD430" t="s">
        <v>782</v>
      </c>
      <c r="AE430" s="31"/>
      <c r="AF430" s="61"/>
      <c r="AL430" t="s">
        <v>4407</v>
      </c>
      <c r="AR430">
        <v>1</v>
      </c>
    </row>
    <row r="431" spans="1:44" x14ac:dyDescent="0.3">
      <c r="A431" t="s">
        <v>22</v>
      </c>
      <c r="B431">
        <v>844</v>
      </c>
      <c r="C431">
        <v>0</v>
      </c>
      <c r="D431">
        <v>3145</v>
      </c>
      <c r="G431" t="s">
        <v>4461</v>
      </c>
      <c r="H431">
        <v>27914031000104</v>
      </c>
      <c r="J431" t="s">
        <v>3496</v>
      </c>
      <c r="K431" t="s">
        <v>3496</v>
      </c>
      <c r="L431" t="s">
        <v>3497</v>
      </c>
      <c r="N431" t="s">
        <v>3498</v>
      </c>
      <c r="P431" t="s">
        <v>778</v>
      </c>
      <c r="U431" t="s">
        <v>4317</v>
      </c>
      <c r="V431" t="s">
        <v>4329</v>
      </c>
      <c r="AA431">
        <v>85</v>
      </c>
      <c r="AB431" s="31">
        <v>46042</v>
      </c>
      <c r="AC431" s="61">
        <v>0.59171296296296294</v>
      </c>
      <c r="AD431" t="s">
        <v>782</v>
      </c>
      <c r="AE431" s="31"/>
      <c r="AF431" s="61"/>
      <c r="AL431" t="s">
        <v>4407</v>
      </c>
      <c r="AR431">
        <v>1</v>
      </c>
    </row>
    <row r="432" spans="1:44" x14ac:dyDescent="0.3">
      <c r="A432" t="s">
        <v>22</v>
      </c>
      <c r="B432">
        <v>845</v>
      </c>
      <c r="C432">
        <v>0</v>
      </c>
      <c r="D432">
        <v>3146</v>
      </c>
      <c r="E432" t="s">
        <v>4633</v>
      </c>
      <c r="G432" t="s">
        <v>4634</v>
      </c>
      <c r="H432">
        <v>43204189000147</v>
      </c>
      <c r="J432" t="s">
        <v>990</v>
      </c>
      <c r="K432" t="s">
        <v>990</v>
      </c>
      <c r="L432" t="s">
        <v>4635</v>
      </c>
      <c r="N432" t="s">
        <v>3614</v>
      </c>
      <c r="P432" t="s">
        <v>778</v>
      </c>
      <c r="U432" t="s">
        <v>4317</v>
      </c>
      <c r="V432" t="s">
        <v>4437</v>
      </c>
      <c r="AA432">
        <v>85</v>
      </c>
      <c r="AB432" s="31">
        <v>46042</v>
      </c>
      <c r="AC432" s="61">
        <v>0.59254629629629629</v>
      </c>
      <c r="AD432" t="s">
        <v>782</v>
      </c>
      <c r="AE432" s="31"/>
      <c r="AF432" s="61"/>
      <c r="AL432" t="s">
        <v>4407</v>
      </c>
      <c r="AR432">
        <v>1</v>
      </c>
    </row>
    <row r="433" spans="1:44" x14ac:dyDescent="0.3">
      <c r="A433" t="s">
        <v>22</v>
      </c>
      <c r="B433">
        <v>846</v>
      </c>
      <c r="C433">
        <v>0</v>
      </c>
      <c r="D433">
        <v>3147</v>
      </c>
      <c r="G433" t="s">
        <v>4464</v>
      </c>
      <c r="H433">
        <v>24435880000197</v>
      </c>
      <c r="J433" t="s">
        <v>4465</v>
      </c>
      <c r="K433" t="s">
        <v>4465</v>
      </c>
      <c r="L433" t="s">
        <v>4466</v>
      </c>
      <c r="N433" t="s">
        <v>4467</v>
      </c>
      <c r="P433" t="s">
        <v>778</v>
      </c>
      <c r="U433" t="s">
        <v>4317</v>
      </c>
      <c r="V433" t="s">
        <v>4329</v>
      </c>
      <c r="AA433">
        <v>85</v>
      </c>
      <c r="AB433" s="31">
        <v>46042</v>
      </c>
      <c r="AC433" s="61">
        <v>0.59587962962962959</v>
      </c>
      <c r="AD433" t="s">
        <v>782</v>
      </c>
      <c r="AE433" s="31"/>
      <c r="AF433" s="61"/>
      <c r="AL433" t="s">
        <v>4407</v>
      </c>
      <c r="AR433">
        <v>1</v>
      </c>
    </row>
    <row r="434" spans="1:44" x14ac:dyDescent="0.3">
      <c r="A434" t="s">
        <v>44</v>
      </c>
      <c r="B434">
        <v>852</v>
      </c>
      <c r="C434">
        <v>0</v>
      </c>
      <c r="D434">
        <v>3152</v>
      </c>
      <c r="G434" t="s">
        <v>508</v>
      </c>
      <c r="H434">
        <v>11119066000111</v>
      </c>
      <c r="J434" t="s">
        <v>4468</v>
      </c>
      <c r="K434" t="s">
        <v>4468</v>
      </c>
      <c r="L434" t="s">
        <v>4469</v>
      </c>
      <c r="N434" t="s">
        <v>4470</v>
      </c>
      <c r="P434" t="s">
        <v>778</v>
      </c>
      <c r="U434" t="s">
        <v>4317</v>
      </c>
      <c r="V434" t="s">
        <v>4437</v>
      </c>
      <c r="AA434">
        <v>84</v>
      </c>
      <c r="AB434" s="31">
        <v>46043</v>
      </c>
      <c r="AC434" s="61">
        <v>0.60939814814814819</v>
      </c>
      <c r="AD434" t="s">
        <v>782</v>
      </c>
      <c r="AE434" s="31"/>
      <c r="AF434" s="61"/>
      <c r="AL434" t="s">
        <v>4471</v>
      </c>
      <c r="AR434">
        <v>1</v>
      </c>
    </row>
    <row r="435" spans="1:44" x14ac:dyDescent="0.3">
      <c r="A435" t="s">
        <v>31</v>
      </c>
      <c r="B435">
        <v>855</v>
      </c>
      <c r="C435">
        <v>0</v>
      </c>
      <c r="D435">
        <v>3159</v>
      </c>
      <c r="G435" t="s">
        <v>4472</v>
      </c>
      <c r="H435">
        <v>56450877000309</v>
      </c>
      <c r="J435" t="s">
        <v>4473</v>
      </c>
      <c r="K435" t="s">
        <v>4473</v>
      </c>
      <c r="L435" t="s">
        <v>4474</v>
      </c>
      <c r="N435" t="s">
        <v>4475</v>
      </c>
      <c r="P435" t="s">
        <v>778</v>
      </c>
      <c r="U435" t="s">
        <v>4317</v>
      </c>
      <c r="V435" t="s">
        <v>4329</v>
      </c>
      <c r="AA435">
        <v>83</v>
      </c>
      <c r="AB435" s="31">
        <v>46044</v>
      </c>
      <c r="AC435" s="61">
        <v>0.68799768518518523</v>
      </c>
      <c r="AD435" t="s">
        <v>782</v>
      </c>
      <c r="AE435" s="31"/>
      <c r="AF435" s="61"/>
      <c r="AL435" t="s">
        <v>4476</v>
      </c>
      <c r="AR435">
        <v>1</v>
      </c>
    </row>
    <row r="436" spans="1:44" x14ac:dyDescent="0.3">
      <c r="A436" t="s">
        <v>31</v>
      </c>
      <c r="B436">
        <v>856</v>
      </c>
      <c r="C436">
        <v>0</v>
      </c>
      <c r="D436">
        <v>3160</v>
      </c>
      <c r="E436" t="s">
        <v>4477</v>
      </c>
      <c r="G436" t="s">
        <v>4478</v>
      </c>
      <c r="H436">
        <v>10294630000170</v>
      </c>
      <c r="J436" t="s">
        <v>4479</v>
      </c>
      <c r="K436" t="s">
        <v>4479</v>
      </c>
      <c r="L436" t="s">
        <v>4480</v>
      </c>
      <c r="N436" t="s">
        <v>4481</v>
      </c>
      <c r="P436" t="s">
        <v>778</v>
      </c>
      <c r="U436" t="s">
        <v>4317</v>
      </c>
      <c r="V436" t="s">
        <v>4437</v>
      </c>
      <c r="AA436">
        <v>83</v>
      </c>
      <c r="AB436" s="31">
        <v>46044</v>
      </c>
      <c r="AC436" s="61">
        <v>0.68909722222222225</v>
      </c>
      <c r="AD436" t="s">
        <v>782</v>
      </c>
      <c r="AE436" s="31"/>
      <c r="AF436" s="61"/>
      <c r="AL436" t="s">
        <v>2890</v>
      </c>
      <c r="AR436">
        <v>1</v>
      </c>
    </row>
    <row r="437" spans="1:44" x14ac:dyDescent="0.3">
      <c r="A437" t="s">
        <v>31</v>
      </c>
      <c r="B437">
        <v>857</v>
      </c>
      <c r="C437">
        <v>0</v>
      </c>
      <c r="D437">
        <v>3161</v>
      </c>
      <c r="E437" t="s">
        <v>4636</v>
      </c>
      <c r="G437" t="s">
        <v>4489</v>
      </c>
      <c r="H437">
        <v>56712607000159</v>
      </c>
      <c r="J437" t="s">
        <v>4637</v>
      </c>
      <c r="K437" t="s">
        <v>4637</v>
      </c>
      <c r="L437" t="s">
        <v>4491</v>
      </c>
      <c r="N437" t="s">
        <v>4492</v>
      </c>
      <c r="P437" t="s">
        <v>778</v>
      </c>
      <c r="U437" t="s">
        <v>4317</v>
      </c>
      <c r="V437" t="s">
        <v>4318</v>
      </c>
      <c r="AA437">
        <v>83</v>
      </c>
      <c r="AB437" s="31">
        <v>46044</v>
      </c>
      <c r="AC437" s="61">
        <v>0.68972222222222224</v>
      </c>
      <c r="AD437" t="s">
        <v>782</v>
      </c>
      <c r="AE437" s="31"/>
      <c r="AF437" s="61"/>
      <c r="AL437" t="s">
        <v>2890</v>
      </c>
      <c r="AR437">
        <v>1</v>
      </c>
    </row>
    <row r="438" spans="1:44" x14ac:dyDescent="0.3">
      <c r="A438" t="s">
        <v>31</v>
      </c>
      <c r="B438">
        <v>858</v>
      </c>
      <c r="C438">
        <v>0</v>
      </c>
      <c r="D438">
        <v>3162</v>
      </c>
      <c r="E438" t="s">
        <v>4493</v>
      </c>
      <c r="G438" t="s">
        <v>4494</v>
      </c>
      <c r="H438">
        <v>12549273000179</v>
      </c>
      <c r="J438" t="s">
        <v>1804</v>
      </c>
      <c r="K438" t="s">
        <v>1804</v>
      </c>
      <c r="L438" t="s">
        <v>4495</v>
      </c>
      <c r="N438" t="s">
        <v>4496</v>
      </c>
      <c r="P438" t="s">
        <v>778</v>
      </c>
      <c r="U438" t="s">
        <v>4317</v>
      </c>
      <c r="V438" t="s">
        <v>4318</v>
      </c>
      <c r="AA438">
        <v>83</v>
      </c>
      <c r="AB438" s="31">
        <v>46044</v>
      </c>
      <c r="AC438" s="61">
        <v>0.69061342592592589</v>
      </c>
      <c r="AD438" t="s">
        <v>782</v>
      </c>
      <c r="AE438" s="31"/>
      <c r="AF438" s="61"/>
      <c r="AL438" t="s">
        <v>2890</v>
      </c>
      <c r="AR438">
        <v>1</v>
      </c>
    </row>
    <row r="439" spans="1:44" x14ac:dyDescent="0.3">
      <c r="A439" t="s">
        <v>31</v>
      </c>
      <c r="B439">
        <v>859</v>
      </c>
      <c r="C439">
        <v>0</v>
      </c>
      <c r="D439">
        <v>3163</v>
      </c>
      <c r="G439" t="s">
        <v>4497</v>
      </c>
      <c r="H439">
        <v>3431924000130</v>
      </c>
      <c r="J439" t="s">
        <v>3691</v>
      </c>
      <c r="K439" t="s">
        <v>3691</v>
      </c>
      <c r="L439" t="s">
        <v>4498</v>
      </c>
      <c r="N439" t="s">
        <v>4499</v>
      </c>
      <c r="P439" t="s">
        <v>778</v>
      </c>
      <c r="U439" t="s">
        <v>4317</v>
      </c>
      <c r="V439" t="s">
        <v>4329</v>
      </c>
      <c r="AA439">
        <v>83</v>
      </c>
      <c r="AB439" s="31">
        <v>46044</v>
      </c>
      <c r="AC439" s="61">
        <v>0.69150462962962966</v>
      </c>
      <c r="AD439" t="s">
        <v>782</v>
      </c>
      <c r="AE439" s="31"/>
      <c r="AF439" s="61"/>
      <c r="AL439" t="s">
        <v>4476</v>
      </c>
      <c r="AR439">
        <v>1</v>
      </c>
    </row>
    <row r="440" spans="1:44" x14ac:dyDescent="0.3">
      <c r="A440" t="s">
        <v>31</v>
      </c>
      <c r="B440">
        <v>863</v>
      </c>
      <c r="C440">
        <v>203</v>
      </c>
      <c r="D440">
        <v>3168</v>
      </c>
      <c r="E440" t="s">
        <v>4500</v>
      </c>
      <c r="G440" t="s">
        <v>4501</v>
      </c>
      <c r="H440">
        <v>11806036000183</v>
      </c>
      <c r="I440" t="s">
        <v>3791</v>
      </c>
      <c r="J440" t="s">
        <v>2600</v>
      </c>
      <c r="K440" t="s">
        <v>2600</v>
      </c>
      <c r="L440" t="s">
        <v>3792</v>
      </c>
      <c r="N440" t="s">
        <v>3793</v>
      </c>
      <c r="P440" t="s">
        <v>3794</v>
      </c>
      <c r="Q440" t="s">
        <v>3636</v>
      </c>
      <c r="R440" t="s">
        <v>1699</v>
      </c>
      <c r="U440" t="s">
        <v>319</v>
      </c>
      <c r="V440" t="s">
        <v>816</v>
      </c>
      <c r="X440">
        <v>8100</v>
      </c>
      <c r="Y440">
        <v>1080</v>
      </c>
      <c r="AA440">
        <v>5</v>
      </c>
      <c r="AB440" s="31">
        <v>46045</v>
      </c>
      <c r="AC440" s="61">
        <v>0.67321759259259262</v>
      </c>
      <c r="AD440" t="s">
        <v>818</v>
      </c>
      <c r="AE440" s="31">
        <v>46050</v>
      </c>
      <c r="AF440" s="61">
        <v>0.60244212962962962</v>
      </c>
      <c r="AI440" t="s">
        <v>4278</v>
      </c>
      <c r="AJ440" t="s">
        <v>2920</v>
      </c>
      <c r="AL440" t="s">
        <v>2920</v>
      </c>
      <c r="AR440">
        <v>1</v>
      </c>
    </row>
    <row r="441" spans="1:44" x14ac:dyDescent="0.3">
      <c r="A441" t="s">
        <v>31</v>
      </c>
      <c r="B441">
        <v>875</v>
      </c>
      <c r="D441">
        <v>3181</v>
      </c>
      <c r="E441" t="s">
        <v>4638</v>
      </c>
      <c r="G441" t="s">
        <v>4619</v>
      </c>
      <c r="H441">
        <v>5236564000141</v>
      </c>
      <c r="J441" t="s">
        <v>4504</v>
      </c>
      <c r="K441" t="s">
        <v>4504</v>
      </c>
      <c r="L441" t="s">
        <v>4379</v>
      </c>
      <c r="N441" t="s">
        <v>4380</v>
      </c>
      <c r="P441" t="s">
        <v>778</v>
      </c>
      <c r="U441" t="s">
        <v>319</v>
      </c>
      <c r="V441" t="s">
        <v>3417</v>
      </c>
      <c r="X441">
        <v>1600</v>
      </c>
      <c r="Y441">
        <v>229519</v>
      </c>
      <c r="AA441">
        <v>9</v>
      </c>
      <c r="AB441" s="31">
        <v>46049</v>
      </c>
      <c r="AC441" s="61">
        <v>0.70740740740740737</v>
      </c>
      <c r="AD441" t="s">
        <v>795</v>
      </c>
      <c r="AE441" s="31">
        <v>46058</v>
      </c>
      <c r="AF441" s="61">
        <v>0.59599537037037043</v>
      </c>
      <c r="AG441" t="s">
        <v>3463</v>
      </c>
      <c r="AI441" t="s">
        <v>4639</v>
      </c>
      <c r="AJ441" t="s">
        <v>4639</v>
      </c>
      <c r="AL441" t="s">
        <v>382</v>
      </c>
      <c r="AR441">
        <v>1</v>
      </c>
    </row>
    <row r="442" spans="1:44" x14ac:dyDescent="0.3">
      <c r="A442" t="s">
        <v>31</v>
      </c>
      <c r="B442">
        <v>878</v>
      </c>
      <c r="C442">
        <v>206</v>
      </c>
      <c r="D442">
        <v>3189</v>
      </c>
      <c r="G442" t="s">
        <v>4508</v>
      </c>
      <c r="H442">
        <v>37075503000136</v>
      </c>
      <c r="I442" t="s">
        <v>3826</v>
      </c>
      <c r="J442" t="s">
        <v>1474</v>
      </c>
      <c r="K442" t="s">
        <v>1474</v>
      </c>
      <c r="L442" t="s">
        <v>1475</v>
      </c>
      <c r="N442" t="s">
        <v>1476</v>
      </c>
      <c r="P442" t="s">
        <v>3827</v>
      </c>
      <c r="Q442" t="s">
        <v>1477</v>
      </c>
      <c r="R442" t="s">
        <v>932</v>
      </c>
      <c r="U442" t="s">
        <v>319</v>
      </c>
      <c r="V442" t="s">
        <v>816</v>
      </c>
      <c r="X442">
        <v>7110</v>
      </c>
      <c r="Y442">
        <v>0</v>
      </c>
      <c r="AA442">
        <v>1</v>
      </c>
      <c r="AB442" s="31">
        <v>46050</v>
      </c>
      <c r="AC442" s="61">
        <v>0.72538194444444448</v>
      </c>
      <c r="AD442" t="s">
        <v>818</v>
      </c>
      <c r="AE442" s="31">
        <v>46051</v>
      </c>
      <c r="AF442" s="61">
        <v>0.38591435185185191</v>
      </c>
      <c r="AI442" t="s">
        <v>4509</v>
      </c>
      <c r="AL442" t="s">
        <v>4509</v>
      </c>
      <c r="AR442">
        <v>1</v>
      </c>
    </row>
    <row r="443" spans="1:44" x14ac:dyDescent="0.3">
      <c r="A443" t="s">
        <v>31</v>
      </c>
      <c r="B443">
        <v>880</v>
      </c>
      <c r="D443">
        <v>3194</v>
      </c>
      <c r="E443" t="s">
        <v>4640</v>
      </c>
      <c r="G443" t="s">
        <v>4511</v>
      </c>
      <c r="H443">
        <v>55585815000171</v>
      </c>
      <c r="J443" t="s">
        <v>914</v>
      </c>
      <c r="K443" t="s">
        <v>914</v>
      </c>
      <c r="L443" t="s">
        <v>4181</v>
      </c>
      <c r="N443" t="s">
        <v>4182</v>
      </c>
      <c r="P443" t="s">
        <v>778</v>
      </c>
      <c r="T443" t="s">
        <v>1419</v>
      </c>
      <c r="U443" t="s">
        <v>319</v>
      </c>
      <c r="V443" t="s">
        <v>3417</v>
      </c>
      <c r="X443">
        <v>8100</v>
      </c>
      <c r="Y443">
        <v>1080</v>
      </c>
      <c r="AA443">
        <v>76</v>
      </c>
      <c r="AB443" s="31">
        <v>46051</v>
      </c>
      <c r="AC443" s="61">
        <v>0.41949074074074072</v>
      </c>
      <c r="AD443" t="s">
        <v>782</v>
      </c>
      <c r="AE443" s="31"/>
      <c r="AF443" s="61"/>
      <c r="AI443" t="s">
        <v>4512</v>
      </c>
      <c r="AJ443" t="s">
        <v>4407</v>
      </c>
      <c r="AL443" t="s">
        <v>4612</v>
      </c>
      <c r="AM443">
        <v>50</v>
      </c>
      <c r="AR443">
        <v>1</v>
      </c>
    </row>
    <row r="444" spans="1:44" x14ac:dyDescent="0.3">
      <c r="A444" t="s">
        <v>31</v>
      </c>
      <c r="B444">
        <v>881</v>
      </c>
      <c r="C444">
        <v>0</v>
      </c>
      <c r="D444">
        <v>3195</v>
      </c>
      <c r="E444" t="s">
        <v>4641</v>
      </c>
      <c r="G444" t="s">
        <v>428</v>
      </c>
      <c r="H444">
        <v>55585815000171</v>
      </c>
      <c r="J444" t="s">
        <v>914</v>
      </c>
      <c r="K444" t="s">
        <v>914</v>
      </c>
      <c r="L444" t="s">
        <v>4181</v>
      </c>
      <c r="N444" t="s">
        <v>4182</v>
      </c>
      <c r="P444" t="s">
        <v>778</v>
      </c>
      <c r="T444" t="s">
        <v>1718</v>
      </c>
      <c r="U444" t="s">
        <v>319</v>
      </c>
      <c r="V444" t="s">
        <v>3417</v>
      </c>
      <c r="X444">
        <v>8400</v>
      </c>
      <c r="Y444">
        <v>0</v>
      </c>
      <c r="AA444">
        <v>76</v>
      </c>
      <c r="AB444" s="31">
        <v>46051</v>
      </c>
      <c r="AC444" s="61">
        <v>0.42379629629629628</v>
      </c>
      <c r="AD444" t="s">
        <v>782</v>
      </c>
      <c r="AE444" s="31"/>
      <c r="AF444" s="61"/>
      <c r="AI444" t="s">
        <v>403</v>
      </c>
      <c r="AJ444" t="s">
        <v>4407</v>
      </c>
      <c r="AK444" t="s">
        <v>4517</v>
      </c>
      <c r="AL444" t="s">
        <v>4612</v>
      </c>
      <c r="AM444">
        <v>30</v>
      </c>
      <c r="AQ444" t="s">
        <v>54</v>
      </c>
      <c r="AR444">
        <v>1</v>
      </c>
    </row>
    <row r="445" spans="1:44" x14ac:dyDescent="0.3">
      <c r="A445" t="s">
        <v>31</v>
      </c>
      <c r="B445">
        <v>896</v>
      </c>
      <c r="C445">
        <v>181</v>
      </c>
      <c r="D445">
        <v>3212</v>
      </c>
      <c r="E445" t="s">
        <v>4642</v>
      </c>
      <c r="G445" t="s">
        <v>435</v>
      </c>
      <c r="H445">
        <v>43204189000147</v>
      </c>
      <c r="I445" t="s">
        <v>3612</v>
      </c>
      <c r="J445" t="s">
        <v>990</v>
      </c>
      <c r="K445" t="s">
        <v>990</v>
      </c>
      <c r="L445" t="s">
        <v>3613</v>
      </c>
      <c r="N445" t="s">
        <v>3614</v>
      </c>
      <c r="P445" t="s">
        <v>3615</v>
      </c>
      <c r="Q445" t="s">
        <v>3616</v>
      </c>
      <c r="R445" t="s">
        <v>790</v>
      </c>
      <c r="U445" t="s">
        <v>319</v>
      </c>
      <c r="V445" t="s">
        <v>816</v>
      </c>
      <c r="X445">
        <v>1512</v>
      </c>
      <c r="Y445">
        <v>0</v>
      </c>
      <c r="AA445">
        <v>0</v>
      </c>
      <c r="AB445" s="31">
        <v>46055</v>
      </c>
      <c r="AC445" s="61">
        <v>0.4690509259259259</v>
      </c>
      <c r="AD445" t="s">
        <v>818</v>
      </c>
      <c r="AE445" s="31">
        <v>46055</v>
      </c>
      <c r="AF445" s="61">
        <v>0.47340277777777778</v>
      </c>
      <c r="AI445" t="s">
        <v>436</v>
      </c>
      <c r="AJ445" t="s">
        <v>436</v>
      </c>
      <c r="AL445" t="s">
        <v>436</v>
      </c>
      <c r="AR445">
        <v>1</v>
      </c>
    </row>
    <row r="446" spans="1:44" x14ac:dyDescent="0.3">
      <c r="A446" t="s">
        <v>31</v>
      </c>
      <c r="B446">
        <v>897</v>
      </c>
      <c r="C446">
        <v>133</v>
      </c>
      <c r="D446">
        <v>3213</v>
      </c>
      <c r="E446" t="s">
        <v>4643</v>
      </c>
      <c r="G446" t="s">
        <v>443</v>
      </c>
      <c r="H446">
        <v>9517464000144</v>
      </c>
      <c r="I446" t="s">
        <v>625</v>
      </c>
      <c r="J446" t="s">
        <v>4541</v>
      </c>
      <c r="K446" t="s">
        <v>4541</v>
      </c>
      <c r="L446" t="s">
        <v>3584</v>
      </c>
      <c r="N446" t="s">
        <v>2207</v>
      </c>
      <c r="P446" t="s">
        <v>778</v>
      </c>
      <c r="T446" t="s">
        <v>1419</v>
      </c>
      <c r="U446" t="s">
        <v>319</v>
      </c>
      <c r="V446" t="s">
        <v>3417</v>
      </c>
      <c r="X446">
        <v>13100</v>
      </c>
      <c r="Y446">
        <v>1900</v>
      </c>
      <c r="AA446">
        <v>72</v>
      </c>
      <c r="AB446" s="31">
        <v>46055</v>
      </c>
      <c r="AC446" s="61">
        <v>0.48864583333333328</v>
      </c>
      <c r="AD446" t="s">
        <v>782</v>
      </c>
      <c r="AE446" s="31"/>
      <c r="AF446" s="61"/>
      <c r="AI446" t="s">
        <v>436</v>
      </c>
      <c r="AJ446" t="s">
        <v>436</v>
      </c>
      <c r="AL446" t="s">
        <v>4644</v>
      </c>
      <c r="AM446">
        <v>50</v>
      </c>
      <c r="AQ446" t="s">
        <v>69</v>
      </c>
      <c r="AR446">
        <v>1</v>
      </c>
    </row>
    <row r="447" spans="1:44" x14ac:dyDescent="0.3">
      <c r="A447" t="s">
        <v>31</v>
      </c>
      <c r="B447">
        <v>899</v>
      </c>
      <c r="C447">
        <v>210</v>
      </c>
      <c r="D447">
        <v>3215</v>
      </c>
      <c r="E447" t="s">
        <v>4645</v>
      </c>
      <c r="G447" t="s">
        <v>476</v>
      </c>
      <c r="H447">
        <v>51781567000183</v>
      </c>
      <c r="I447" t="s">
        <v>3886</v>
      </c>
      <c r="J447" t="s">
        <v>1804</v>
      </c>
      <c r="K447" t="s">
        <v>1804</v>
      </c>
      <c r="L447" t="s">
        <v>3887</v>
      </c>
      <c r="N447" t="s">
        <v>3888</v>
      </c>
      <c r="P447" t="s">
        <v>3889</v>
      </c>
      <c r="Q447" t="s">
        <v>3890</v>
      </c>
      <c r="R447" t="s">
        <v>932</v>
      </c>
      <c r="T447" t="s">
        <v>1718</v>
      </c>
      <c r="U447" t="s">
        <v>319</v>
      </c>
      <c r="V447" t="s">
        <v>816</v>
      </c>
      <c r="X447">
        <v>8100</v>
      </c>
      <c r="Y447">
        <v>1080</v>
      </c>
      <c r="AA447">
        <v>29</v>
      </c>
      <c r="AB447" s="31">
        <v>46056</v>
      </c>
      <c r="AC447" s="61">
        <v>0.85563657407407412</v>
      </c>
      <c r="AD447" t="s">
        <v>795</v>
      </c>
      <c r="AE447" s="31">
        <v>46085</v>
      </c>
      <c r="AF447" s="61">
        <v>0.72565972222222219</v>
      </c>
      <c r="AG447" t="s">
        <v>3463</v>
      </c>
      <c r="AJ447" t="s">
        <v>382</v>
      </c>
      <c r="AL447" t="s">
        <v>4603</v>
      </c>
      <c r="AM447">
        <v>30</v>
      </c>
      <c r="AQ447" t="s">
        <v>52</v>
      </c>
      <c r="AR447">
        <v>1</v>
      </c>
    </row>
    <row r="448" spans="1:44" x14ac:dyDescent="0.3">
      <c r="A448" t="s">
        <v>31</v>
      </c>
      <c r="B448">
        <v>904</v>
      </c>
      <c r="D448">
        <v>3221</v>
      </c>
      <c r="E448" t="s">
        <v>4646</v>
      </c>
      <c r="G448" t="s">
        <v>448</v>
      </c>
      <c r="H448">
        <v>10303813000104</v>
      </c>
      <c r="J448" t="s">
        <v>4555</v>
      </c>
      <c r="K448" t="s">
        <v>4555</v>
      </c>
      <c r="L448" t="s">
        <v>4556</v>
      </c>
      <c r="N448" t="s">
        <v>4384</v>
      </c>
      <c r="P448" t="s">
        <v>778</v>
      </c>
      <c r="T448" t="s">
        <v>1704</v>
      </c>
      <c r="U448" t="s">
        <v>319</v>
      </c>
      <c r="V448" t="s">
        <v>816</v>
      </c>
      <c r="X448">
        <v>0</v>
      </c>
      <c r="Y448">
        <v>575</v>
      </c>
      <c r="AA448">
        <v>6</v>
      </c>
      <c r="AB448" s="31">
        <v>46058</v>
      </c>
      <c r="AC448" s="61">
        <v>0.38868055555555547</v>
      </c>
      <c r="AD448" t="s">
        <v>818</v>
      </c>
      <c r="AE448" s="31">
        <v>46064</v>
      </c>
      <c r="AF448" s="61">
        <v>0.37197916666666669</v>
      </c>
      <c r="AI448" t="s">
        <v>449</v>
      </c>
      <c r="AJ448" t="s">
        <v>4559</v>
      </c>
      <c r="AL448" t="s">
        <v>449</v>
      </c>
      <c r="AM448">
        <v>90</v>
      </c>
      <c r="AR448">
        <v>1</v>
      </c>
    </row>
    <row r="449" spans="1:44" x14ac:dyDescent="0.3">
      <c r="A449" t="s">
        <v>31</v>
      </c>
      <c r="B449">
        <v>905</v>
      </c>
      <c r="C449">
        <v>147</v>
      </c>
      <c r="D449">
        <v>3223</v>
      </c>
      <c r="G449" t="s">
        <v>456</v>
      </c>
      <c r="H449">
        <v>7964558000136</v>
      </c>
      <c r="I449" t="s">
        <v>3430</v>
      </c>
      <c r="J449" t="s">
        <v>3431</v>
      </c>
      <c r="K449" t="s">
        <v>3431</v>
      </c>
      <c r="L449" t="s">
        <v>3515</v>
      </c>
      <c r="N449" t="s">
        <v>3433</v>
      </c>
      <c r="P449" t="s">
        <v>778</v>
      </c>
      <c r="T449" t="s">
        <v>1718</v>
      </c>
      <c r="U449" t="s">
        <v>319</v>
      </c>
      <c r="V449" t="s">
        <v>3417</v>
      </c>
      <c r="X449">
        <v>1680</v>
      </c>
      <c r="Y449">
        <v>7128</v>
      </c>
      <c r="AA449">
        <v>18</v>
      </c>
      <c r="AB449" s="31">
        <v>46058</v>
      </c>
      <c r="AC449" s="61">
        <v>0.47660879629629632</v>
      </c>
      <c r="AD449" t="s">
        <v>795</v>
      </c>
      <c r="AE449" s="31">
        <v>46076</v>
      </c>
      <c r="AF449" s="61">
        <v>0.71887731481481476</v>
      </c>
      <c r="AG449" t="s">
        <v>796</v>
      </c>
      <c r="AI449" t="s">
        <v>449</v>
      </c>
      <c r="AJ449" t="s">
        <v>4559</v>
      </c>
      <c r="AL449" t="s">
        <v>449</v>
      </c>
      <c r="AM449">
        <v>30</v>
      </c>
      <c r="AR449">
        <v>1</v>
      </c>
    </row>
    <row r="450" spans="1:44" x14ac:dyDescent="0.3">
      <c r="A450" t="s">
        <v>31</v>
      </c>
      <c r="B450">
        <v>910</v>
      </c>
      <c r="D450">
        <v>3246</v>
      </c>
      <c r="E450" t="s">
        <v>4560</v>
      </c>
      <c r="G450" t="s">
        <v>4561</v>
      </c>
      <c r="H450">
        <v>55585815000171</v>
      </c>
      <c r="J450" t="s">
        <v>914</v>
      </c>
      <c r="K450" t="s">
        <v>914</v>
      </c>
      <c r="L450" t="s">
        <v>4181</v>
      </c>
      <c r="N450" t="s">
        <v>4182</v>
      </c>
      <c r="P450" t="s">
        <v>778</v>
      </c>
      <c r="U450" t="s">
        <v>319</v>
      </c>
      <c r="V450" t="s">
        <v>3606</v>
      </c>
      <c r="AA450">
        <v>63</v>
      </c>
      <c r="AB450" s="31">
        <v>46064</v>
      </c>
      <c r="AC450" s="61">
        <v>0.4114814814814815</v>
      </c>
      <c r="AD450" t="s">
        <v>782</v>
      </c>
      <c r="AE450" s="31"/>
      <c r="AF450" s="61"/>
      <c r="AJ450" t="s">
        <v>463</v>
      </c>
      <c r="AL450" t="s">
        <v>4613</v>
      </c>
      <c r="AM450">
        <v>30</v>
      </c>
      <c r="AQ450" t="s">
        <v>2922</v>
      </c>
      <c r="AR450">
        <v>1</v>
      </c>
    </row>
    <row r="451" spans="1:44" x14ac:dyDescent="0.3">
      <c r="A451" t="s">
        <v>31</v>
      </c>
      <c r="B451">
        <v>911</v>
      </c>
      <c r="D451">
        <v>3247</v>
      </c>
      <c r="E451" t="s">
        <v>4647</v>
      </c>
      <c r="G451" t="s">
        <v>4191</v>
      </c>
      <c r="H451">
        <v>49119936000125</v>
      </c>
      <c r="J451" t="s">
        <v>4565</v>
      </c>
      <c r="K451" t="s">
        <v>4565</v>
      </c>
      <c r="L451" t="s">
        <v>4193</v>
      </c>
      <c r="N451" t="s">
        <v>4096</v>
      </c>
      <c r="P451" t="s">
        <v>778</v>
      </c>
      <c r="U451" t="s">
        <v>319</v>
      </c>
      <c r="V451" t="s">
        <v>3417</v>
      </c>
      <c r="X451">
        <v>13100</v>
      </c>
      <c r="Y451">
        <v>1700</v>
      </c>
      <c r="AA451">
        <v>63</v>
      </c>
      <c r="AB451" s="31">
        <v>46064</v>
      </c>
      <c r="AC451" s="61">
        <v>0.41498842592592589</v>
      </c>
      <c r="AD451" t="s">
        <v>782</v>
      </c>
      <c r="AE451" s="31"/>
      <c r="AF451" s="61"/>
      <c r="AI451" t="s">
        <v>463</v>
      </c>
      <c r="AJ451" t="s">
        <v>403</v>
      </c>
      <c r="AK451" t="s">
        <v>458</v>
      </c>
      <c r="AL451" t="s">
        <v>4612</v>
      </c>
      <c r="AM451">
        <v>30</v>
      </c>
      <c r="AQ451" t="s">
        <v>69</v>
      </c>
      <c r="AR451">
        <v>1</v>
      </c>
    </row>
    <row r="452" spans="1:44" x14ac:dyDescent="0.3">
      <c r="A452" t="s">
        <v>31</v>
      </c>
      <c r="B452">
        <v>913</v>
      </c>
      <c r="C452">
        <v>173</v>
      </c>
      <c r="D452">
        <v>3251</v>
      </c>
      <c r="E452" t="s">
        <v>4648</v>
      </c>
      <c r="G452" t="s">
        <v>468</v>
      </c>
      <c r="H452">
        <v>27914031000104</v>
      </c>
      <c r="I452" t="s">
        <v>3495</v>
      </c>
      <c r="J452" t="s">
        <v>3496</v>
      </c>
      <c r="K452" t="s">
        <v>3496</v>
      </c>
      <c r="L452" t="s">
        <v>3497</v>
      </c>
      <c r="N452" t="s">
        <v>3498</v>
      </c>
      <c r="P452" t="s">
        <v>3499</v>
      </c>
      <c r="Q452" t="s">
        <v>2489</v>
      </c>
      <c r="R452" t="s">
        <v>790</v>
      </c>
      <c r="U452" t="s">
        <v>319</v>
      </c>
      <c r="V452" t="s">
        <v>3417</v>
      </c>
      <c r="X452">
        <v>1680</v>
      </c>
      <c r="Y452">
        <v>7128</v>
      </c>
      <c r="AA452">
        <v>48</v>
      </c>
      <c r="AB452" s="31">
        <v>46064</v>
      </c>
      <c r="AC452" s="61">
        <v>0.42258101851851848</v>
      </c>
      <c r="AD452" t="s">
        <v>795</v>
      </c>
      <c r="AE452" s="31">
        <v>46112</v>
      </c>
      <c r="AF452" s="61">
        <v>0.66119212962962959</v>
      </c>
      <c r="AG452" t="s">
        <v>796</v>
      </c>
      <c r="AI452" t="s">
        <v>449</v>
      </c>
      <c r="AJ452" t="s">
        <v>449</v>
      </c>
      <c r="AL452" t="s">
        <v>4649</v>
      </c>
      <c r="AM452">
        <v>30</v>
      </c>
      <c r="AQ452" t="s">
        <v>2605</v>
      </c>
      <c r="AR452">
        <v>1</v>
      </c>
    </row>
    <row r="453" spans="1:44" x14ac:dyDescent="0.3">
      <c r="A453" t="s">
        <v>31</v>
      </c>
      <c r="B453">
        <v>914</v>
      </c>
      <c r="C453">
        <v>147</v>
      </c>
      <c r="D453">
        <v>3252</v>
      </c>
      <c r="E453" t="s">
        <v>4571</v>
      </c>
      <c r="G453" t="s">
        <v>473</v>
      </c>
      <c r="H453">
        <v>7964558000136</v>
      </c>
      <c r="I453" t="s">
        <v>3430</v>
      </c>
      <c r="J453" t="s">
        <v>3431</v>
      </c>
      <c r="K453" t="s">
        <v>3431</v>
      </c>
      <c r="L453" t="s">
        <v>3515</v>
      </c>
      <c r="N453" t="s">
        <v>3433</v>
      </c>
      <c r="P453" t="s">
        <v>778</v>
      </c>
      <c r="U453" t="s">
        <v>319</v>
      </c>
      <c r="V453" t="s">
        <v>3417</v>
      </c>
      <c r="X453">
        <v>1680</v>
      </c>
      <c r="Y453">
        <v>7128</v>
      </c>
      <c r="AA453">
        <v>63</v>
      </c>
      <c r="AB453" s="31">
        <v>46064</v>
      </c>
      <c r="AC453" s="61">
        <v>0.42469907407407409</v>
      </c>
      <c r="AD453" t="s">
        <v>782</v>
      </c>
      <c r="AE453" s="31"/>
      <c r="AF453" s="61"/>
      <c r="AI453" t="s">
        <v>403</v>
      </c>
      <c r="AJ453" t="s">
        <v>4572</v>
      </c>
      <c r="AL453" t="s">
        <v>4644</v>
      </c>
      <c r="AM453">
        <v>30</v>
      </c>
      <c r="AQ453" t="s">
        <v>2605</v>
      </c>
      <c r="AR453">
        <v>1</v>
      </c>
    </row>
    <row r="454" spans="1:44" x14ac:dyDescent="0.3">
      <c r="A454" t="s">
        <v>31</v>
      </c>
      <c r="B454">
        <v>916</v>
      </c>
      <c r="C454">
        <v>196</v>
      </c>
      <c r="D454">
        <v>3254</v>
      </c>
      <c r="E454" t="s">
        <v>4650</v>
      </c>
      <c r="G454" t="s">
        <v>478</v>
      </c>
      <c r="H454">
        <v>32494222000102</v>
      </c>
      <c r="I454" t="s">
        <v>3715</v>
      </c>
      <c r="J454" t="s">
        <v>3716</v>
      </c>
      <c r="K454" t="s">
        <v>3716</v>
      </c>
      <c r="L454" t="s">
        <v>3717</v>
      </c>
      <c r="N454" t="s">
        <v>3718</v>
      </c>
      <c r="P454" t="s">
        <v>3719</v>
      </c>
      <c r="Q454" t="s">
        <v>3720</v>
      </c>
      <c r="R454" t="s">
        <v>790</v>
      </c>
      <c r="U454" t="s">
        <v>319</v>
      </c>
      <c r="V454" t="s">
        <v>3417</v>
      </c>
      <c r="X454">
        <v>8100</v>
      </c>
      <c r="Y454">
        <v>1080</v>
      </c>
      <c r="AA454">
        <v>63</v>
      </c>
      <c r="AB454" s="31">
        <v>46064</v>
      </c>
      <c r="AC454" s="61">
        <v>0.45479166666666659</v>
      </c>
      <c r="AD454" t="s">
        <v>782</v>
      </c>
      <c r="AE454" s="31"/>
      <c r="AF454" s="61"/>
      <c r="AI454" t="s">
        <v>463</v>
      </c>
      <c r="AJ454" t="s">
        <v>452</v>
      </c>
      <c r="AL454" t="s">
        <v>463</v>
      </c>
      <c r="AM454">
        <v>30</v>
      </c>
      <c r="AQ454" t="s">
        <v>52</v>
      </c>
      <c r="AR454">
        <v>1</v>
      </c>
    </row>
    <row r="455" spans="1:44" x14ac:dyDescent="0.3">
      <c r="A455" t="s">
        <v>31</v>
      </c>
      <c r="B455">
        <v>917</v>
      </c>
      <c r="C455">
        <v>196</v>
      </c>
      <c r="D455">
        <v>3255</v>
      </c>
      <c r="E455" t="s">
        <v>4651</v>
      </c>
      <c r="G455" t="s">
        <v>4577</v>
      </c>
      <c r="H455">
        <v>32494222000102</v>
      </c>
      <c r="I455" t="s">
        <v>3715</v>
      </c>
      <c r="J455" t="s">
        <v>3716</v>
      </c>
      <c r="K455" t="s">
        <v>3716</v>
      </c>
      <c r="L455" t="s">
        <v>3717</v>
      </c>
      <c r="N455" t="s">
        <v>3718</v>
      </c>
      <c r="P455" t="s">
        <v>3719</v>
      </c>
      <c r="Q455" t="s">
        <v>3720</v>
      </c>
      <c r="R455" t="s">
        <v>790</v>
      </c>
      <c r="U455" t="s">
        <v>319</v>
      </c>
      <c r="V455" t="s">
        <v>816</v>
      </c>
      <c r="X455">
        <v>9000</v>
      </c>
      <c r="Y455">
        <v>0</v>
      </c>
      <c r="AA455">
        <v>15</v>
      </c>
      <c r="AB455" s="31">
        <v>46064</v>
      </c>
      <c r="AC455" s="61">
        <v>0.45805555555555549</v>
      </c>
      <c r="AD455" t="s">
        <v>818</v>
      </c>
      <c r="AE455" s="31">
        <v>46079</v>
      </c>
      <c r="AF455" s="61">
        <v>0.72291666666666665</v>
      </c>
      <c r="AI455" t="s">
        <v>484</v>
      </c>
      <c r="AJ455" t="s">
        <v>452</v>
      </c>
      <c r="AL455" t="s">
        <v>4568</v>
      </c>
      <c r="AM455">
        <v>60</v>
      </c>
      <c r="AQ455" t="s">
        <v>4581</v>
      </c>
      <c r="AR455">
        <v>1</v>
      </c>
    </row>
    <row r="456" spans="1:44" x14ac:dyDescent="0.3">
      <c r="A456" t="s">
        <v>31</v>
      </c>
      <c r="B456">
        <v>918</v>
      </c>
      <c r="C456">
        <v>196</v>
      </c>
      <c r="D456">
        <v>3256</v>
      </c>
      <c r="E456" t="s">
        <v>4652</v>
      </c>
      <c r="G456" t="s">
        <v>488</v>
      </c>
      <c r="H456">
        <v>32494222000102</v>
      </c>
      <c r="I456" t="s">
        <v>3715</v>
      </c>
      <c r="J456" t="s">
        <v>3716</v>
      </c>
      <c r="K456" t="s">
        <v>3716</v>
      </c>
      <c r="L456" t="s">
        <v>3717</v>
      </c>
      <c r="N456" t="s">
        <v>3718</v>
      </c>
      <c r="P456" t="s">
        <v>3719</v>
      </c>
      <c r="Q456" t="s">
        <v>3720</v>
      </c>
      <c r="R456" t="s">
        <v>790</v>
      </c>
      <c r="U456" t="s">
        <v>319</v>
      </c>
      <c r="V456" t="s">
        <v>816</v>
      </c>
      <c r="X456">
        <v>1600</v>
      </c>
      <c r="Y456">
        <v>31504</v>
      </c>
      <c r="AA456">
        <v>63</v>
      </c>
      <c r="AB456" s="31">
        <v>46064</v>
      </c>
      <c r="AC456" s="61">
        <v>0.4621527777777778</v>
      </c>
      <c r="AD456" t="s">
        <v>782</v>
      </c>
      <c r="AE456" s="31"/>
      <c r="AF456" s="61"/>
      <c r="AI456" t="s">
        <v>463</v>
      </c>
      <c r="AJ456" t="s">
        <v>452</v>
      </c>
      <c r="AL456" t="s">
        <v>463</v>
      </c>
      <c r="AM456">
        <v>30</v>
      </c>
      <c r="AQ456" t="s">
        <v>53</v>
      </c>
      <c r="AR456">
        <v>1</v>
      </c>
    </row>
    <row r="457" spans="1:44" x14ac:dyDescent="0.3">
      <c r="A457" t="s">
        <v>31</v>
      </c>
      <c r="B457">
        <v>939</v>
      </c>
      <c r="C457">
        <v>207</v>
      </c>
      <c r="D457">
        <v>3272</v>
      </c>
      <c r="E457" t="s">
        <v>4653</v>
      </c>
      <c r="G457" t="s">
        <v>492</v>
      </c>
      <c r="H457">
        <v>43609706000168</v>
      </c>
      <c r="I457" t="s">
        <v>3839</v>
      </c>
      <c r="J457" t="s">
        <v>1804</v>
      </c>
      <c r="K457" t="s">
        <v>1804</v>
      </c>
      <c r="L457" t="s">
        <v>3840</v>
      </c>
      <c r="N457" t="s">
        <v>3841</v>
      </c>
      <c r="P457" t="s">
        <v>3842</v>
      </c>
      <c r="Q457" t="s">
        <v>3843</v>
      </c>
      <c r="R457" t="s">
        <v>932</v>
      </c>
      <c r="U457" t="s">
        <v>319</v>
      </c>
      <c r="V457" t="s">
        <v>3417</v>
      </c>
      <c r="X457">
        <v>13100</v>
      </c>
      <c r="Y457">
        <v>1700</v>
      </c>
      <c r="AA457">
        <v>57</v>
      </c>
      <c r="AB457" s="31">
        <v>46070</v>
      </c>
      <c r="AC457" s="61">
        <v>0.41354166666666659</v>
      </c>
      <c r="AD457" t="s">
        <v>782</v>
      </c>
      <c r="AE457" s="31"/>
      <c r="AF457" s="61"/>
      <c r="AI457" t="s">
        <v>493</v>
      </c>
      <c r="AL457" t="s">
        <v>4654</v>
      </c>
      <c r="AM457">
        <v>30</v>
      </c>
      <c r="AQ457" t="s">
        <v>69</v>
      </c>
      <c r="AR457">
        <v>1</v>
      </c>
    </row>
    <row r="458" spans="1:44" x14ac:dyDescent="0.3">
      <c r="A458" t="s">
        <v>31</v>
      </c>
      <c r="B458">
        <v>940</v>
      </c>
      <c r="C458">
        <v>170</v>
      </c>
      <c r="D458">
        <v>3273</v>
      </c>
      <c r="G458" t="s">
        <v>496</v>
      </c>
      <c r="H458">
        <v>4150555001304</v>
      </c>
      <c r="I458" t="s">
        <v>3477</v>
      </c>
      <c r="J458" t="s">
        <v>4585</v>
      </c>
      <c r="K458" t="s">
        <v>4585</v>
      </c>
      <c r="L458" t="s">
        <v>3569</v>
      </c>
      <c r="N458" t="s">
        <v>3480</v>
      </c>
      <c r="P458" t="s">
        <v>3481</v>
      </c>
      <c r="Q458" t="s">
        <v>3482</v>
      </c>
      <c r="R458" t="s">
        <v>1699</v>
      </c>
      <c r="U458" t="s">
        <v>319</v>
      </c>
      <c r="V458" t="s">
        <v>816</v>
      </c>
      <c r="X458">
        <v>1512</v>
      </c>
      <c r="Y458">
        <v>0</v>
      </c>
      <c r="AA458">
        <v>8</v>
      </c>
      <c r="AB458" s="31">
        <v>46070</v>
      </c>
      <c r="AC458" s="61">
        <v>0.41755787037037029</v>
      </c>
      <c r="AD458" t="s">
        <v>818</v>
      </c>
      <c r="AE458" s="31">
        <v>46078</v>
      </c>
      <c r="AF458" s="61">
        <v>0.65865740740740741</v>
      </c>
      <c r="AI458" t="s">
        <v>497</v>
      </c>
      <c r="AL458" t="s">
        <v>480</v>
      </c>
      <c r="AM458">
        <v>30</v>
      </c>
      <c r="AQ458" t="s">
        <v>318</v>
      </c>
      <c r="AR458">
        <v>1</v>
      </c>
    </row>
    <row r="459" spans="1:44" x14ac:dyDescent="0.3">
      <c r="A459" t="s">
        <v>31</v>
      </c>
      <c r="B459">
        <v>941</v>
      </c>
      <c r="C459">
        <v>181</v>
      </c>
      <c r="D459">
        <v>3274</v>
      </c>
      <c r="E459" t="s">
        <v>4655</v>
      </c>
      <c r="G459" t="s">
        <v>499</v>
      </c>
      <c r="H459">
        <v>43204189000147</v>
      </c>
      <c r="I459" t="s">
        <v>3612</v>
      </c>
      <c r="J459" t="s">
        <v>990</v>
      </c>
      <c r="K459" t="s">
        <v>990</v>
      </c>
      <c r="L459" t="s">
        <v>3613</v>
      </c>
      <c r="N459" t="s">
        <v>3614</v>
      </c>
      <c r="P459" t="s">
        <v>3615</v>
      </c>
      <c r="Q459" t="s">
        <v>3616</v>
      </c>
      <c r="R459" t="s">
        <v>790</v>
      </c>
      <c r="U459" t="s">
        <v>319</v>
      </c>
      <c r="V459" t="s">
        <v>3417</v>
      </c>
      <c r="X459">
        <v>1600</v>
      </c>
      <c r="Y459">
        <v>384454</v>
      </c>
      <c r="AA459">
        <v>22</v>
      </c>
      <c r="AB459" s="31">
        <v>46070</v>
      </c>
      <c r="AC459" s="61">
        <v>0.42311342592592588</v>
      </c>
      <c r="AD459" t="s">
        <v>795</v>
      </c>
      <c r="AE459" s="31">
        <v>46092</v>
      </c>
      <c r="AF459" s="61">
        <v>0.48651620370370369</v>
      </c>
      <c r="AG459" t="s">
        <v>3463</v>
      </c>
      <c r="AI459" t="s">
        <v>500</v>
      </c>
      <c r="AJ459" t="s">
        <v>480</v>
      </c>
      <c r="AL459" t="s">
        <v>480</v>
      </c>
      <c r="AM459">
        <v>30</v>
      </c>
      <c r="AQ459" t="s">
        <v>53</v>
      </c>
      <c r="AR459">
        <v>1</v>
      </c>
    </row>
    <row r="460" spans="1:44" x14ac:dyDescent="0.3">
      <c r="A460" t="s">
        <v>31</v>
      </c>
      <c r="B460">
        <v>942</v>
      </c>
      <c r="C460">
        <v>103</v>
      </c>
      <c r="D460">
        <v>3275</v>
      </c>
      <c r="E460" t="s">
        <v>4586</v>
      </c>
      <c r="G460" t="s">
        <v>4587</v>
      </c>
      <c r="H460">
        <v>12549273000179</v>
      </c>
      <c r="I460" t="s">
        <v>3309</v>
      </c>
      <c r="J460" t="s">
        <v>1804</v>
      </c>
      <c r="K460" t="s">
        <v>1804</v>
      </c>
      <c r="N460" t="s">
        <v>3312</v>
      </c>
      <c r="P460" t="s">
        <v>3313</v>
      </c>
      <c r="Q460" t="s">
        <v>1596</v>
      </c>
      <c r="R460" t="s">
        <v>790</v>
      </c>
      <c r="U460" t="s">
        <v>319</v>
      </c>
      <c r="V460" t="s">
        <v>3606</v>
      </c>
      <c r="AA460">
        <v>57</v>
      </c>
      <c r="AB460" s="31">
        <v>46070</v>
      </c>
      <c r="AC460" s="61">
        <v>0.43594907407407413</v>
      </c>
      <c r="AD460" t="s">
        <v>782</v>
      </c>
      <c r="AE460" s="31"/>
      <c r="AF460" s="61"/>
      <c r="AJ460" t="s">
        <v>497</v>
      </c>
      <c r="AL460" t="s">
        <v>497</v>
      </c>
      <c r="AM460">
        <v>30</v>
      </c>
      <c r="AQ460" t="s">
        <v>2922</v>
      </c>
      <c r="AR460">
        <v>1</v>
      </c>
    </row>
    <row r="461" spans="1:44" x14ac:dyDescent="0.3">
      <c r="A461" t="s">
        <v>31</v>
      </c>
      <c r="B461">
        <v>943</v>
      </c>
      <c r="C461">
        <v>149</v>
      </c>
      <c r="D461">
        <v>3276</v>
      </c>
      <c r="G461" t="s">
        <v>502</v>
      </c>
      <c r="H461">
        <v>12418196000118</v>
      </c>
      <c r="I461" t="s">
        <v>3645</v>
      </c>
      <c r="J461" t="s">
        <v>844</v>
      </c>
      <c r="K461" t="s">
        <v>844</v>
      </c>
      <c r="L461" t="s">
        <v>3647</v>
      </c>
      <c r="N461" t="s">
        <v>3648</v>
      </c>
      <c r="P461" t="s">
        <v>778</v>
      </c>
      <c r="U461" t="s">
        <v>319</v>
      </c>
      <c r="V461" t="s">
        <v>816</v>
      </c>
      <c r="X461">
        <v>8400</v>
      </c>
      <c r="Y461">
        <v>0</v>
      </c>
      <c r="AA461">
        <v>8</v>
      </c>
      <c r="AB461" s="31">
        <v>46070</v>
      </c>
      <c r="AC461" s="61">
        <v>0.6010416666666667</v>
      </c>
      <c r="AD461" t="s">
        <v>818</v>
      </c>
      <c r="AE461" s="31">
        <v>46078</v>
      </c>
      <c r="AF461" s="61">
        <v>0.68366898148148147</v>
      </c>
      <c r="AI461" t="s">
        <v>497</v>
      </c>
      <c r="AJ461" t="s">
        <v>480</v>
      </c>
      <c r="AL461" t="s">
        <v>380</v>
      </c>
      <c r="AM461">
        <v>30</v>
      </c>
      <c r="AQ461" t="s">
        <v>318</v>
      </c>
      <c r="AR461">
        <v>1</v>
      </c>
    </row>
    <row r="462" spans="1:44" x14ac:dyDescent="0.3">
      <c r="A462" t="s">
        <v>31</v>
      </c>
      <c r="B462">
        <v>944</v>
      </c>
      <c r="C462">
        <v>149</v>
      </c>
      <c r="D462">
        <v>3277</v>
      </c>
      <c r="E462" t="s">
        <v>4589</v>
      </c>
      <c r="G462" t="s">
        <v>504</v>
      </c>
      <c r="H462">
        <v>12418196000118</v>
      </c>
      <c r="I462" t="s">
        <v>3645</v>
      </c>
      <c r="J462" t="s">
        <v>844</v>
      </c>
      <c r="K462" t="s">
        <v>844</v>
      </c>
      <c r="L462" t="s">
        <v>3647</v>
      </c>
      <c r="N462" t="s">
        <v>3648</v>
      </c>
      <c r="P462" t="s">
        <v>778</v>
      </c>
      <c r="U462" t="s">
        <v>319</v>
      </c>
      <c r="V462" t="s">
        <v>3417</v>
      </c>
      <c r="X462">
        <v>1680</v>
      </c>
      <c r="Y462">
        <v>0</v>
      </c>
      <c r="AA462">
        <v>2</v>
      </c>
      <c r="AB462" s="31">
        <v>46070</v>
      </c>
      <c r="AC462" s="61">
        <v>0.63858796296296294</v>
      </c>
      <c r="AD462" t="s">
        <v>795</v>
      </c>
      <c r="AE462" s="31">
        <v>46072</v>
      </c>
      <c r="AF462" s="61">
        <v>0.46702546296296299</v>
      </c>
      <c r="AG462" t="s">
        <v>796</v>
      </c>
      <c r="AI462" t="s">
        <v>497</v>
      </c>
      <c r="AJ462" t="s">
        <v>480</v>
      </c>
      <c r="AL462" t="s">
        <v>497</v>
      </c>
      <c r="AM462">
        <v>30</v>
      </c>
      <c r="AQ462" t="s">
        <v>318</v>
      </c>
      <c r="AR462">
        <v>1</v>
      </c>
    </row>
    <row r="463" spans="1:44" x14ac:dyDescent="0.3">
      <c r="A463" t="s">
        <v>31</v>
      </c>
      <c r="B463">
        <v>947</v>
      </c>
      <c r="C463">
        <v>194</v>
      </c>
      <c r="D463">
        <v>3281</v>
      </c>
      <c r="E463" t="s">
        <v>4590</v>
      </c>
      <c r="G463" t="s">
        <v>506</v>
      </c>
      <c r="H463">
        <v>44580314000186</v>
      </c>
      <c r="I463" t="s">
        <v>3682</v>
      </c>
      <c r="J463" t="s">
        <v>4411</v>
      </c>
      <c r="K463" t="s">
        <v>4411</v>
      </c>
      <c r="L463" t="s">
        <v>4591</v>
      </c>
      <c r="N463" t="s">
        <v>3685</v>
      </c>
      <c r="P463" t="s">
        <v>3686</v>
      </c>
      <c r="Q463" t="s">
        <v>3687</v>
      </c>
      <c r="R463" t="s">
        <v>790</v>
      </c>
      <c r="U463" t="s">
        <v>319</v>
      </c>
      <c r="V463" t="s">
        <v>816</v>
      </c>
      <c r="X463">
        <v>3024</v>
      </c>
      <c r="Y463">
        <v>1080</v>
      </c>
      <c r="AA463">
        <v>56</v>
      </c>
      <c r="AB463" s="31">
        <v>46071</v>
      </c>
      <c r="AC463" s="61">
        <v>0.39603009259259259</v>
      </c>
      <c r="AD463" t="s">
        <v>782</v>
      </c>
      <c r="AE463" s="31"/>
      <c r="AF463" s="61"/>
      <c r="AI463" t="s">
        <v>507</v>
      </c>
      <c r="AJ463" t="s">
        <v>480</v>
      </c>
      <c r="AL463" t="s">
        <v>507</v>
      </c>
      <c r="AM463">
        <v>50</v>
      </c>
      <c r="AQ463" t="s">
        <v>52</v>
      </c>
      <c r="AR463">
        <v>1</v>
      </c>
    </row>
    <row r="464" spans="1:44" x14ac:dyDescent="0.3">
      <c r="A464" t="s">
        <v>31</v>
      </c>
      <c r="B464">
        <v>954</v>
      </c>
      <c r="C464">
        <v>159</v>
      </c>
      <c r="D464">
        <v>3285</v>
      </c>
      <c r="E464" t="s">
        <v>4656</v>
      </c>
      <c r="G464" t="s">
        <v>255</v>
      </c>
      <c r="H464">
        <v>43526090000161</v>
      </c>
      <c r="I464" t="s">
        <v>913</v>
      </c>
      <c r="J464" t="s">
        <v>4657</v>
      </c>
      <c r="K464" t="s">
        <v>4657</v>
      </c>
      <c r="L464" t="s">
        <v>4155</v>
      </c>
      <c r="N464" t="s">
        <v>916</v>
      </c>
      <c r="P464" t="s">
        <v>778</v>
      </c>
      <c r="Q464" t="s">
        <v>909</v>
      </c>
      <c r="R464" t="s">
        <v>790</v>
      </c>
      <c r="U464" t="s">
        <v>319</v>
      </c>
      <c r="V464" t="s">
        <v>816</v>
      </c>
      <c r="X464">
        <v>8100</v>
      </c>
      <c r="Y464">
        <v>1080</v>
      </c>
      <c r="AA464">
        <v>55</v>
      </c>
      <c r="AB464" s="31">
        <v>46072</v>
      </c>
      <c r="AC464" s="61">
        <v>0.67166666666666663</v>
      </c>
      <c r="AD464" t="s">
        <v>782</v>
      </c>
      <c r="AE464" s="31"/>
      <c r="AF464" s="61"/>
      <c r="AI464" t="s">
        <v>393</v>
      </c>
      <c r="AJ464" t="s">
        <v>393</v>
      </c>
      <c r="AL464" t="s">
        <v>4658</v>
      </c>
      <c r="AM464">
        <v>30</v>
      </c>
      <c r="AQ464" t="s">
        <v>4659</v>
      </c>
      <c r="AR464">
        <v>1</v>
      </c>
    </row>
    <row r="465" spans="1:44" x14ac:dyDescent="0.3">
      <c r="A465" t="s">
        <v>31</v>
      </c>
      <c r="B465">
        <v>955</v>
      </c>
      <c r="D465">
        <v>3289</v>
      </c>
      <c r="E465" t="s">
        <v>4660</v>
      </c>
      <c r="G465" t="s">
        <v>508</v>
      </c>
      <c r="H465">
        <v>11119066000111</v>
      </c>
      <c r="J465" t="s">
        <v>4661</v>
      </c>
      <c r="K465" t="s">
        <v>4661</v>
      </c>
      <c r="L465" t="s">
        <v>4662</v>
      </c>
      <c r="N465" t="s">
        <v>4470</v>
      </c>
      <c r="P465" t="s">
        <v>778</v>
      </c>
      <c r="U465" t="s">
        <v>319</v>
      </c>
      <c r="V465" t="s">
        <v>816</v>
      </c>
      <c r="X465">
        <v>420</v>
      </c>
      <c r="Y465">
        <v>3564</v>
      </c>
      <c r="AA465">
        <v>6</v>
      </c>
      <c r="AB465" s="31">
        <v>46073</v>
      </c>
      <c r="AC465" s="61">
        <v>0.52296296296296296</v>
      </c>
      <c r="AD465" t="s">
        <v>818</v>
      </c>
      <c r="AE465" s="31">
        <v>46079</v>
      </c>
      <c r="AF465" s="61">
        <v>0.72277777777777774</v>
      </c>
      <c r="AI465" t="s">
        <v>401</v>
      </c>
      <c r="AJ465" t="s">
        <v>401</v>
      </c>
      <c r="AL465" t="s">
        <v>401</v>
      </c>
      <c r="AM465">
        <v>30</v>
      </c>
      <c r="AQ465" t="s">
        <v>2605</v>
      </c>
      <c r="AR465">
        <v>1</v>
      </c>
    </row>
    <row r="466" spans="1:44" x14ac:dyDescent="0.3">
      <c r="A466" t="s">
        <v>31</v>
      </c>
      <c r="B466">
        <v>957</v>
      </c>
      <c r="C466">
        <v>186</v>
      </c>
      <c r="D466">
        <v>3291</v>
      </c>
      <c r="E466" t="s">
        <v>4663</v>
      </c>
      <c r="G466" t="s">
        <v>482</v>
      </c>
      <c r="H466">
        <v>10899939000193</v>
      </c>
      <c r="I466" t="s">
        <v>3625</v>
      </c>
      <c r="J466" t="s">
        <v>704</v>
      </c>
      <c r="K466" t="s">
        <v>704</v>
      </c>
      <c r="L466" t="s">
        <v>3626</v>
      </c>
      <c r="N466" t="s">
        <v>3627</v>
      </c>
      <c r="P466" t="s">
        <v>3628</v>
      </c>
      <c r="Q466" t="s">
        <v>3629</v>
      </c>
      <c r="R466" t="s">
        <v>932</v>
      </c>
      <c r="U466" t="s">
        <v>319</v>
      </c>
      <c r="V466" t="s">
        <v>3417</v>
      </c>
      <c r="X466">
        <v>13100</v>
      </c>
      <c r="Y466">
        <v>1700</v>
      </c>
      <c r="AA466">
        <v>54</v>
      </c>
      <c r="AB466" s="31">
        <v>46073</v>
      </c>
      <c r="AC466" s="61">
        <v>0.73730324074074072</v>
      </c>
      <c r="AD466" t="s">
        <v>782</v>
      </c>
      <c r="AE466" s="31"/>
      <c r="AF466" s="61"/>
      <c r="AI466" t="s">
        <v>4664</v>
      </c>
      <c r="AJ466" t="s">
        <v>4664</v>
      </c>
      <c r="AL466" t="s">
        <v>4665</v>
      </c>
      <c r="AM466">
        <v>30</v>
      </c>
      <c r="AQ466" t="s">
        <v>69</v>
      </c>
      <c r="AR466">
        <v>1</v>
      </c>
    </row>
    <row r="467" spans="1:44" x14ac:dyDescent="0.3">
      <c r="A467" t="s">
        <v>31</v>
      </c>
      <c r="B467">
        <v>958</v>
      </c>
      <c r="C467">
        <v>142</v>
      </c>
      <c r="D467">
        <v>3292</v>
      </c>
      <c r="E467" t="s">
        <v>4666</v>
      </c>
      <c r="G467" t="s">
        <v>509</v>
      </c>
      <c r="H467">
        <v>1101123000181</v>
      </c>
      <c r="I467" t="s">
        <v>3397</v>
      </c>
      <c r="J467" t="s">
        <v>2610</v>
      </c>
      <c r="K467" t="s">
        <v>2610</v>
      </c>
      <c r="L467" t="s">
        <v>3698</v>
      </c>
      <c r="N467" t="s">
        <v>3399</v>
      </c>
      <c r="P467" t="s">
        <v>778</v>
      </c>
      <c r="Q467" t="s">
        <v>3400</v>
      </c>
      <c r="R467" t="s">
        <v>1699</v>
      </c>
      <c r="U467" t="s">
        <v>319</v>
      </c>
      <c r="V467" t="s">
        <v>3417</v>
      </c>
      <c r="X467">
        <v>32400</v>
      </c>
      <c r="Y467">
        <v>14256</v>
      </c>
      <c r="AA467">
        <v>11</v>
      </c>
      <c r="AB467" s="31">
        <v>46073</v>
      </c>
      <c r="AC467" s="61">
        <v>0.74099537037037033</v>
      </c>
      <c r="AD467" t="s">
        <v>795</v>
      </c>
      <c r="AE467" s="31">
        <v>46084</v>
      </c>
      <c r="AF467" s="61">
        <v>0.525787037037037</v>
      </c>
      <c r="AG467" t="s">
        <v>3463</v>
      </c>
      <c r="AI467" t="s">
        <v>401</v>
      </c>
      <c r="AJ467" t="s">
        <v>401</v>
      </c>
      <c r="AL467" t="s">
        <v>401</v>
      </c>
      <c r="AM467">
        <v>30</v>
      </c>
      <c r="AQ467" t="s">
        <v>2605</v>
      </c>
      <c r="AR467">
        <v>1</v>
      </c>
    </row>
    <row r="468" spans="1:44" x14ac:dyDescent="0.3">
      <c r="A468" t="s">
        <v>31</v>
      </c>
      <c r="B468">
        <v>970</v>
      </c>
      <c r="C468">
        <v>0</v>
      </c>
      <c r="D468">
        <v>3307</v>
      </c>
      <c r="E468" t="s">
        <v>4667</v>
      </c>
      <c r="G468" t="s">
        <v>466</v>
      </c>
      <c r="H468">
        <v>9023754000131</v>
      </c>
      <c r="J468" t="s">
        <v>4360</v>
      </c>
      <c r="K468" t="s">
        <v>4360</v>
      </c>
      <c r="L468" t="s">
        <v>4361</v>
      </c>
      <c r="N468" t="s">
        <v>4362</v>
      </c>
      <c r="P468" t="s">
        <v>778</v>
      </c>
      <c r="U468" t="s">
        <v>319</v>
      </c>
      <c r="V468" t="s">
        <v>3417</v>
      </c>
      <c r="X468">
        <v>0</v>
      </c>
      <c r="Y468">
        <v>5775</v>
      </c>
      <c r="AA468">
        <v>49</v>
      </c>
      <c r="AB468" s="31">
        <v>46078</v>
      </c>
      <c r="AC468" s="61">
        <v>0.41778935185185179</v>
      </c>
      <c r="AD468" t="s">
        <v>782</v>
      </c>
      <c r="AE468" s="31"/>
      <c r="AF468" s="61"/>
      <c r="AI468" t="s">
        <v>4668</v>
      </c>
      <c r="AJ468" t="s">
        <v>4669</v>
      </c>
      <c r="AL468" t="s">
        <v>4664</v>
      </c>
      <c r="AM468">
        <v>30</v>
      </c>
      <c r="AQ468" t="s">
        <v>2605</v>
      </c>
      <c r="AR468">
        <v>1</v>
      </c>
    </row>
    <row r="469" spans="1:44" x14ac:dyDescent="0.3">
      <c r="A469" t="s">
        <v>31</v>
      </c>
      <c r="B469">
        <v>975</v>
      </c>
      <c r="C469">
        <v>190</v>
      </c>
      <c r="D469">
        <v>3313</v>
      </c>
      <c r="G469" t="s">
        <v>510</v>
      </c>
      <c r="H469">
        <v>18203215000175</v>
      </c>
      <c r="I469" t="s">
        <v>3690</v>
      </c>
      <c r="J469" t="s">
        <v>4670</v>
      </c>
      <c r="K469" t="s">
        <v>4670</v>
      </c>
      <c r="L469" t="s">
        <v>3692</v>
      </c>
      <c r="N469" t="s">
        <v>3693</v>
      </c>
      <c r="P469" t="s">
        <v>3694</v>
      </c>
      <c r="Q469" t="s">
        <v>3695</v>
      </c>
      <c r="R469" t="s">
        <v>790</v>
      </c>
      <c r="U469" t="s">
        <v>319</v>
      </c>
      <c r="V469" t="s">
        <v>816</v>
      </c>
      <c r="X469">
        <v>1680</v>
      </c>
      <c r="Y469">
        <v>3564</v>
      </c>
      <c r="AA469">
        <v>20</v>
      </c>
      <c r="AB469" s="31">
        <v>46079</v>
      </c>
      <c r="AC469" s="61">
        <v>0.52194444444444443</v>
      </c>
      <c r="AD469" t="s">
        <v>818</v>
      </c>
      <c r="AE469" s="31">
        <v>46099</v>
      </c>
      <c r="AF469" s="61">
        <v>0.62033564814814812</v>
      </c>
      <c r="AI469" t="s">
        <v>511</v>
      </c>
      <c r="AJ469" t="s">
        <v>511</v>
      </c>
      <c r="AL469" t="s">
        <v>395</v>
      </c>
      <c r="AM469">
        <v>30</v>
      </c>
      <c r="AQ469" t="s">
        <v>2605</v>
      </c>
      <c r="AR469">
        <v>1</v>
      </c>
    </row>
    <row r="470" spans="1:44" x14ac:dyDescent="0.3">
      <c r="A470" t="s">
        <v>31</v>
      </c>
      <c r="B470">
        <v>986</v>
      </c>
      <c r="C470">
        <v>147</v>
      </c>
      <c r="D470">
        <v>3333</v>
      </c>
      <c r="G470" t="s">
        <v>4671</v>
      </c>
      <c r="H470">
        <v>7964558000136</v>
      </c>
      <c r="I470" t="s">
        <v>3430</v>
      </c>
      <c r="J470" t="s">
        <v>3679</v>
      </c>
      <c r="K470" t="s">
        <v>3679</v>
      </c>
      <c r="L470" t="s">
        <v>3515</v>
      </c>
      <c r="N470" t="s">
        <v>3433</v>
      </c>
      <c r="P470" t="s">
        <v>778</v>
      </c>
      <c r="U470" t="s">
        <v>319</v>
      </c>
      <c r="V470" t="s">
        <v>3417</v>
      </c>
      <c r="X470">
        <v>6000</v>
      </c>
      <c r="Y470">
        <v>2000</v>
      </c>
      <c r="AA470">
        <v>47</v>
      </c>
      <c r="AB470" s="31">
        <v>46080</v>
      </c>
      <c r="AC470" s="61">
        <v>0.66025462962962966</v>
      </c>
      <c r="AD470" t="s">
        <v>782</v>
      </c>
      <c r="AE470" s="31"/>
      <c r="AF470" s="61"/>
      <c r="AJ470" t="s">
        <v>4672</v>
      </c>
      <c r="AL470" t="s">
        <v>4672</v>
      </c>
      <c r="AM470">
        <v>30</v>
      </c>
      <c r="AQ470" t="s">
        <v>2922</v>
      </c>
      <c r="AR470">
        <v>1</v>
      </c>
    </row>
    <row r="471" spans="1:44" x14ac:dyDescent="0.3">
      <c r="A471" t="s">
        <v>31</v>
      </c>
      <c r="B471">
        <v>988</v>
      </c>
      <c r="C471">
        <v>0</v>
      </c>
      <c r="D471">
        <v>3336</v>
      </c>
      <c r="G471" t="s">
        <v>4673</v>
      </c>
      <c r="H471">
        <v>40082701000131</v>
      </c>
      <c r="J471" t="s">
        <v>4674</v>
      </c>
      <c r="K471" t="s">
        <v>4674</v>
      </c>
      <c r="L471" t="s">
        <v>1531</v>
      </c>
      <c r="N471" t="s">
        <v>1532</v>
      </c>
      <c r="P471" t="s">
        <v>778</v>
      </c>
      <c r="U471" t="s">
        <v>319</v>
      </c>
      <c r="V471" t="s">
        <v>781</v>
      </c>
      <c r="AA471">
        <v>14</v>
      </c>
      <c r="AB471" s="31">
        <v>46084</v>
      </c>
      <c r="AC471" s="61">
        <v>0.65028935185185188</v>
      </c>
      <c r="AD471" t="s">
        <v>795</v>
      </c>
      <c r="AE471" s="31">
        <v>46098</v>
      </c>
      <c r="AF471" s="61">
        <v>0.71456018518518516</v>
      </c>
      <c r="AG471" t="s">
        <v>796</v>
      </c>
      <c r="AL471" t="s">
        <v>4675</v>
      </c>
      <c r="AM471">
        <v>30</v>
      </c>
      <c r="AQ471" t="s">
        <v>321</v>
      </c>
      <c r="AR471">
        <v>1</v>
      </c>
    </row>
    <row r="472" spans="1:44" x14ac:dyDescent="0.3">
      <c r="A472" t="s">
        <v>31</v>
      </c>
      <c r="B472">
        <v>989</v>
      </c>
      <c r="C472">
        <v>154</v>
      </c>
      <c r="D472">
        <v>3337</v>
      </c>
      <c r="E472" t="s">
        <v>4676</v>
      </c>
      <c r="G472" t="s">
        <v>486</v>
      </c>
      <c r="H472">
        <v>790751000159</v>
      </c>
      <c r="I472" t="s">
        <v>3456</v>
      </c>
      <c r="J472" t="s">
        <v>1540</v>
      </c>
      <c r="K472" t="s">
        <v>1540</v>
      </c>
      <c r="L472" t="s">
        <v>3580</v>
      </c>
      <c r="N472" t="s">
        <v>3459</v>
      </c>
      <c r="P472" t="s">
        <v>778</v>
      </c>
      <c r="U472" t="s">
        <v>319</v>
      </c>
      <c r="V472" t="s">
        <v>3417</v>
      </c>
      <c r="X472">
        <v>6000</v>
      </c>
      <c r="Y472">
        <v>2000</v>
      </c>
      <c r="AA472">
        <v>43</v>
      </c>
      <c r="AB472" s="31">
        <v>46084</v>
      </c>
      <c r="AC472" s="61">
        <v>0.69407407407407407</v>
      </c>
      <c r="AD472" t="s">
        <v>782</v>
      </c>
      <c r="AE472" s="31"/>
      <c r="AF472" s="61"/>
      <c r="AI472" t="s">
        <v>4675</v>
      </c>
      <c r="AJ472" t="s">
        <v>4675</v>
      </c>
      <c r="AL472" t="s">
        <v>4644</v>
      </c>
      <c r="AM472">
        <v>30</v>
      </c>
      <c r="AQ472" t="s">
        <v>2922</v>
      </c>
      <c r="AR472">
        <v>1</v>
      </c>
    </row>
    <row r="473" spans="1:44" x14ac:dyDescent="0.3">
      <c r="A473" t="s">
        <v>31</v>
      </c>
      <c r="B473">
        <v>992</v>
      </c>
      <c r="C473">
        <v>170</v>
      </c>
      <c r="D473">
        <v>3340</v>
      </c>
      <c r="G473" t="s">
        <v>460</v>
      </c>
      <c r="H473">
        <v>4150555001304</v>
      </c>
      <c r="I473" t="s">
        <v>3477</v>
      </c>
      <c r="J473" t="s">
        <v>3477</v>
      </c>
      <c r="K473" t="s">
        <v>3477</v>
      </c>
      <c r="L473" t="s">
        <v>3569</v>
      </c>
      <c r="N473" t="s">
        <v>3480</v>
      </c>
      <c r="P473" t="s">
        <v>3481</v>
      </c>
      <c r="Q473" t="s">
        <v>3482</v>
      </c>
      <c r="R473" t="s">
        <v>1699</v>
      </c>
      <c r="U473" t="s">
        <v>319</v>
      </c>
      <c r="V473" t="s">
        <v>816</v>
      </c>
      <c r="X473">
        <v>74718</v>
      </c>
      <c r="Y473">
        <v>0</v>
      </c>
      <c r="AA473">
        <v>13</v>
      </c>
      <c r="AB473" s="31">
        <v>46085</v>
      </c>
      <c r="AC473" s="61">
        <v>0.71363425925925927</v>
      </c>
      <c r="AD473" t="s">
        <v>818</v>
      </c>
      <c r="AE473" s="31">
        <v>46098</v>
      </c>
      <c r="AF473" s="61">
        <v>0.46490740740740738</v>
      </c>
      <c r="AI473" t="s">
        <v>4677</v>
      </c>
      <c r="AL473" t="s">
        <v>4677</v>
      </c>
      <c r="AM473">
        <v>100</v>
      </c>
      <c r="AQ473" t="s">
        <v>2605</v>
      </c>
      <c r="AR473">
        <v>1</v>
      </c>
    </row>
    <row r="474" spans="1:44" x14ac:dyDescent="0.3">
      <c r="A474" t="s">
        <v>31</v>
      </c>
      <c r="B474">
        <v>998</v>
      </c>
      <c r="C474">
        <v>129</v>
      </c>
      <c r="D474">
        <v>3359</v>
      </c>
      <c r="E474" t="s">
        <v>4678</v>
      </c>
      <c r="G474" t="s">
        <v>490</v>
      </c>
      <c r="H474">
        <v>2867917000113</v>
      </c>
      <c r="I474" t="s">
        <v>679</v>
      </c>
      <c r="J474" t="s">
        <v>679</v>
      </c>
      <c r="K474" t="s">
        <v>679</v>
      </c>
      <c r="L474" t="s">
        <v>3537</v>
      </c>
      <c r="N474" t="s">
        <v>3366</v>
      </c>
      <c r="P474" t="s">
        <v>778</v>
      </c>
      <c r="U474" t="s">
        <v>319</v>
      </c>
      <c r="V474" t="s">
        <v>3417</v>
      </c>
      <c r="X474">
        <v>1680</v>
      </c>
      <c r="Y474">
        <v>3564</v>
      </c>
      <c r="AA474">
        <v>37</v>
      </c>
      <c r="AB474" s="31">
        <v>46090</v>
      </c>
      <c r="AC474" s="61">
        <v>0.72798611111111111</v>
      </c>
      <c r="AD474" t="s">
        <v>782</v>
      </c>
      <c r="AE474" s="31"/>
      <c r="AF474" s="61"/>
      <c r="AI474" t="s">
        <v>4679</v>
      </c>
      <c r="AJ474" t="s">
        <v>4679</v>
      </c>
      <c r="AL474" t="s">
        <v>4679</v>
      </c>
      <c r="AM474">
        <v>30</v>
      </c>
      <c r="AQ474" t="s">
        <v>2605</v>
      </c>
      <c r="AR474">
        <v>1</v>
      </c>
    </row>
    <row r="475" spans="1:44" x14ac:dyDescent="0.3">
      <c r="A475" t="s">
        <v>31</v>
      </c>
      <c r="B475">
        <v>1010</v>
      </c>
      <c r="C475">
        <v>141</v>
      </c>
      <c r="D475">
        <v>3366</v>
      </c>
      <c r="G475" t="s">
        <v>434</v>
      </c>
      <c r="I475" t="s">
        <v>434</v>
      </c>
      <c r="J475" t="s">
        <v>434</v>
      </c>
      <c r="K475" t="s">
        <v>434</v>
      </c>
      <c r="L475" t="s">
        <v>4127</v>
      </c>
      <c r="N475" t="s">
        <v>3396</v>
      </c>
      <c r="P475" t="s">
        <v>778</v>
      </c>
      <c r="U475" t="s">
        <v>319</v>
      </c>
      <c r="V475" t="s">
        <v>816</v>
      </c>
      <c r="X475">
        <v>1600</v>
      </c>
      <c r="Y475">
        <v>34428</v>
      </c>
      <c r="AA475">
        <v>8</v>
      </c>
      <c r="AB475" s="31">
        <v>46092</v>
      </c>
      <c r="AC475" s="61">
        <v>0.47452546296296289</v>
      </c>
      <c r="AD475" t="s">
        <v>818</v>
      </c>
      <c r="AE475" s="31">
        <v>46100</v>
      </c>
      <c r="AF475" s="61">
        <v>0.6378935185185185</v>
      </c>
      <c r="AI475" t="s">
        <v>4680</v>
      </c>
      <c r="AL475" t="s">
        <v>4680</v>
      </c>
      <c r="AM475">
        <v>30</v>
      </c>
      <c r="AQ475" t="s">
        <v>53</v>
      </c>
      <c r="AR475">
        <v>1</v>
      </c>
    </row>
    <row r="476" spans="1:44" x14ac:dyDescent="0.3">
      <c r="A476" t="s">
        <v>31</v>
      </c>
      <c r="B476">
        <v>1028</v>
      </c>
      <c r="D476">
        <v>3398</v>
      </c>
      <c r="G476" t="s">
        <v>471</v>
      </c>
      <c r="H476">
        <v>10303813000104</v>
      </c>
      <c r="J476" t="s">
        <v>1243</v>
      </c>
      <c r="K476" t="s">
        <v>1243</v>
      </c>
      <c r="L476" t="s">
        <v>4556</v>
      </c>
      <c r="N476" t="s">
        <v>4384</v>
      </c>
      <c r="P476" t="s">
        <v>778</v>
      </c>
      <c r="U476" t="s">
        <v>319</v>
      </c>
      <c r="V476" t="s">
        <v>816</v>
      </c>
      <c r="X476">
        <v>2100</v>
      </c>
      <c r="Y476">
        <v>0</v>
      </c>
      <c r="AA476">
        <v>0</v>
      </c>
      <c r="AB476" s="31">
        <v>46098</v>
      </c>
      <c r="AC476" s="61">
        <v>0.62350694444444443</v>
      </c>
      <c r="AD476" t="s">
        <v>818</v>
      </c>
      <c r="AE476" s="31">
        <v>46098</v>
      </c>
      <c r="AF476" s="61">
        <v>0.71381944444444445</v>
      </c>
      <c r="AI476" t="s">
        <v>4681</v>
      </c>
      <c r="AL476" t="s">
        <v>4682</v>
      </c>
      <c r="AM476">
        <v>29</v>
      </c>
      <c r="AQ476" t="s">
        <v>63</v>
      </c>
      <c r="AR476">
        <v>1</v>
      </c>
    </row>
    <row r="477" spans="1:44" x14ac:dyDescent="0.3">
      <c r="A477" t="s">
        <v>31</v>
      </c>
      <c r="B477">
        <v>1036</v>
      </c>
      <c r="C477">
        <v>184</v>
      </c>
      <c r="D477">
        <v>3406</v>
      </c>
      <c r="E477" t="s">
        <v>4683</v>
      </c>
      <c r="G477" t="s">
        <v>453</v>
      </c>
      <c r="H477">
        <v>11861121000144</v>
      </c>
      <c r="I477" t="s">
        <v>3877</v>
      </c>
      <c r="J477" t="s">
        <v>3877</v>
      </c>
      <c r="K477" t="s">
        <v>3877</v>
      </c>
      <c r="L477" t="s">
        <v>3879</v>
      </c>
      <c r="N477" t="s">
        <v>3880</v>
      </c>
      <c r="P477" t="s">
        <v>3881</v>
      </c>
      <c r="Q477" t="s">
        <v>1094</v>
      </c>
      <c r="R477" t="s">
        <v>790</v>
      </c>
      <c r="U477" t="s">
        <v>319</v>
      </c>
      <c r="V477" t="s">
        <v>3417</v>
      </c>
      <c r="X477">
        <v>8100</v>
      </c>
      <c r="Y477">
        <v>1080</v>
      </c>
      <c r="AA477">
        <v>27</v>
      </c>
      <c r="AB477" s="31">
        <v>46100</v>
      </c>
      <c r="AC477" s="61">
        <v>0.42835648148148148</v>
      </c>
      <c r="AD477" t="s">
        <v>782</v>
      </c>
      <c r="AE477" s="31"/>
      <c r="AF477" s="61"/>
      <c r="AI477" t="s">
        <v>4684</v>
      </c>
      <c r="AJ477" t="s">
        <v>4684</v>
      </c>
      <c r="AK477" t="s">
        <v>4649</v>
      </c>
      <c r="AL477" t="s">
        <v>4649</v>
      </c>
      <c r="AM477">
        <v>30</v>
      </c>
      <c r="AQ477" t="s">
        <v>52</v>
      </c>
      <c r="AR477">
        <v>1</v>
      </c>
    </row>
    <row r="478" spans="1:44" x14ac:dyDescent="0.3">
      <c r="A478" t="s">
        <v>31</v>
      </c>
      <c r="B478">
        <v>1039</v>
      </c>
      <c r="C478">
        <v>97</v>
      </c>
      <c r="D478">
        <v>3407</v>
      </c>
      <c r="E478" t="s">
        <v>4685</v>
      </c>
      <c r="G478" t="s">
        <v>494</v>
      </c>
      <c r="H478">
        <v>22500484000170</v>
      </c>
      <c r="I478" t="s">
        <v>669</v>
      </c>
      <c r="J478" t="s">
        <v>669</v>
      </c>
      <c r="K478" t="s">
        <v>669</v>
      </c>
      <c r="L478" t="s">
        <v>4035</v>
      </c>
      <c r="N478" t="s">
        <v>3294</v>
      </c>
      <c r="P478" t="s">
        <v>778</v>
      </c>
      <c r="U478" t="s">
        <v>319</v>
      </c>
      <c r="V478" t="s">
        <v>816</v>
      </c>
      <c r="X478">
        <v>4200</v>
      </c>
      <c r="Y478">
        <v>0</v>
      </c>
      <c r="AA478">
        <v>26</v>
      </c>
      <c r="AB478" s="31">
        <v>46100</v>
      </c>
      <c r="AC478" s="61">
        <v>0.68789351851851854</v>
      </c>
      <c r="AD478" t="s">
        <v>795</v>
      </c>
      <c r="AE478" s="31">
        <v>46126</v>
      </c>
      <c r="AF478" s="61">
        <v>0.70424768518518521</v>
      </c>
      <c r="AG478" t="s">
        <v>796</v>
      </c>
      <c r="AI478" t="s">
        <v>4684</v>
      </c>
      <c r="AL478" t="s">
        <v>4684</v>
      </c>
      <c r="AM478">
        <v>30</v>
      </c>
      <c r="AQ478" t="s">
        <v>318</v>
      </c>
      <c r="AR478">
        <v>1</v>
      </c>
    </row>
    <row r="479" spans="1:44" x14ac:dyDescent="0.3">
      <c r="A479" t="s">
        <v>31</v>
      </c>
      <c r="B479">
        <v>1043</v>
      </c>
      <c r="C479">
        <v>149</v>
      </c>
      <c r="D479">
        <v>3415</v>
      </c>
      <c r="E479" t="s">
        <v>4686</v>
      </c>
      <c r="G479" t="s">
        <v>498</v>
      </c>
      <c r="H479">
        <v>12418196000118</v>
      </c>
      <c r="I479" t="s">
        <v>3645</v>
      </c>
      <c r="J479" t="s">
        <v>3645</v>
      </c>
      <c r="K479" t="s">
        <v>3645</v>
      </c>
      <c r="L479" t="s">
        <v>3647</v>
      </c>
      <c r="N479" t="s">
        <v>3648</v>
      </c>
      <c r="P479" t="s">
        <v>778</v>
      </c>
      <c r="U479" t="s">
        <v>319</v>
      </c>
      <c r="V479" t="s">
        <v>3417</v>
      </c>
      <c r="X479">
        <v>25200</v>
      </c>
      <c r="Y479">
        <v>104544</v>
      </c>
      <c r="AA479">
        <v>23</v>
      </c>
      <c r="AB479" s="31">
        <v>46104</v>
      </c>
      <c r="AC479" s="61">
        <v>0.45837962962962958</v>
      </c>
      <c r="AD479" t="s">
        <v>782</v>
      </c>
      <c r="AE479" s="31"/>
      <c r="AF479" s="61"/>
      <c r="AI479" t="s">
        <v>4687</v>
      </c>
      <c r="AL479" t="s">
        <v>4687</v>
      </c>
      <c r="AM479">
        <v>30</v>
      </c>
      <c r="AN479">
        <v>140</v>
      </c>
      <c r="AQ479" t="s">
        <v>2605</v>
      </c>
      <c r="AR479">
        <v>1</v>
      </c>
    </row>
    <row r="480" spans="1:44" x14ac:dyDescent="0.3">
      <c r="A480" t="s">
        <v>31</v>
      </c>
      <c r="B480">
        <v>1048</v>
      </c>
      <c r="C480">
        <v>137</v>
      </c>
      <c r="D480">
        <v>3418</v>
      </c>
      <c r="E480" t="s">
        <v>4688</v>
      </c>
      <c r="G480" t="s">
        <v>501</v>
      </c>
      <c r="I480" t="s">
        <v>116</v>
      </c>
      <c r="J480" t="s">
        <v>116</v>
      </c>
      <c r="K480" t="s">
        <v>116</v>
      </c>
      <c r="L480" t="s">
        <v>3703</v>
      </c>
      <c r="N480" t="s">
        <v>3386</v>
      </c>
      <c r="P480" t="s">
        <v>778</v>
      </c>
      <c r="U480" t="s">
        <v>319</v>
      </c>
      <c r="V480" t="s">
        <v>816</v>
      </c>
      <c r="X480">
        <v>0</v>
      </c>
      <c r="Y480">
        <v>4752</v>
      </c>
      <c r="AA480">
        <v>8</v>
      </c>
      <c r="AB480" s="31">
        <v>46105</v>
      </c>
      <c r="AC480" s="61">
        <v>0.67633101851851851</v>
      </c>
      <c r="AD480" t="s">
        <v>818</v>
      </c>
      <c r="AE480" s="31">
        <v>46113</v>
      </c>
      <c r="AF480" s="61">
        <v>0.40630787037037042</v>
      </c>
      <c r="AI480" t="s">
        <v>4689</v>
      </c>
      <c r="AL480" t="s">
        <v>4649</v>
      </c>
      <c r="AM480">
        <v>30</v>
      </c>
      <c r="AQ480" t="s">
        <v>2605</v>
      </c>
      <c r="AR480">
        <v>1</v>
      </c>
    </row>
    <row r="481" spans="1:44" x14ac:dyDescent="0.3">
      <c r="A481" t="s">
        <v>31</v>
      </c>
      <c r="B481">
        <v>1056</v>
      </c>
      <c r="C481">
        <v>210</v>
      </c>
      <c r="D481">
        <v>3431</v>
      </c>
      <c r="E481" t="s">
        <v>4690</v>
      </c>
      <c r="G481" t="s">
        <v>476</v>
      </c>
      <c r="H481">
        <v>51781567000183</v>
      </c>
      <c r="I481" t="s">
        <v>3886</v>
      </c>
      <c r="J481" t="s">
        <v>3886</v>
      </c>
      <c r="K481" t="s">
        <v>3886</v>
      </c>
      <c r="L481" t="s">
        <v>3887</v>
      </c>
      <c r="N481" t="s">
        <v>3888</v>
      </c>
      <c r="P481" t="s">
        <v>3889</v>
      </c>
      <c r="Q481" t="s">
        <v>3890</v>
      </c>
      <c r="R481" t="s">
        <v>932</v>
      </c>
      <c r="U481" t="s">
        <v>319</v>
      </c>
      <c r="V481" t="s">
        <v>816</v>
      </c>
      <c r="X481">
        <v>0</v>
      </c>
      <c r="Y481">
        <v>1080</v>
      </c>
      <c r="AA481">
        <v>4</v>
      </c>
      <c r="AB481" s="31">
        <v>46108</v>
      </c>
      <c r="AC481" s="61">
        <v>0.6171875</v>
      </c>
      <c r="AD481" t="s">
        <v>818</v>
      </c>
      <c r="AE481" s="31">
        <v>46112</v>
      </c>
      <c r="AF481" s="61">
        <v>0.64339120370370373</v>
      </c>
      <c r="AI481" t="s">
        <v>4691</v>
      </c>
      <c r="AL481" t="s">
        <v>4691</v>
      </c>
      <c r="AM481">
        <v>30</v>
      </c>
      <c r="AQ481" t="s">
        <v>52</v>
      </c>
      <c r="AR481">
        <v>1</v>
      </c>
    </row>
    <row r="482" spans="1:44" x14ac:dyDescent="0.3">
      <c r="A482" t="s">
        <v>31</v>
      </c>
      <c r="B482">
        <v>1057</v>
      </c>
      <c r="C482">
        <v>187</v>
      </c>
      <c r="D482">
        <v>3432</v>
      </c>
      <c r="E482" t="s">
        <v>4692</v>
      </c>
      <c r="G482" t="s">
        <v>439</v>
      </c>
      <c r="H482">
        <v>17063632000105</v>
      </c>
      <c r="I482" t="s">
        <v>3631</v>
      </c>
      <c r="J482" t="s">
        <v>3631</v>
      </c>
      <c r="K482" t="s">
        <v>3631</v>
      </c>
      <c r="L482" t="s">
        <v>3633</v>
      </c>
      <c r="N482" t="s">
        <v>3634</v>
      </c>
      <c r="P482" t="s">
        <v>3635</v>
      </c>
      <c r="Q482" t="s">
        <v>3636</v>
      </c>
      <c r="R482" t="s">
        <v>1699</v>
      </c>
      <c r="U482" t="s">
        <v>319</v>
      </c>
      <c r="V482" t="s">
        <v>816</v>
      </c>
      <c r="X482">
        <v>861975</v>
      </c>
      <c r="Y482">
        <v>0</v>
      </c>
      <c r="AA482">
        <v>10</v>
      </c>
      <c r="AB482" s="31">
        <v>46108</v>
      </c>
      <c r="AC482" s="61">
        <v>0.63226851851851851</v>
      </c>
      <c r="AD482" t="s">
        <v>795</v>
      </c>
      <c r="AE482" s="31">
        <v>46118</v>
      </c>
      <c r="AF482" s="61">
        <v>0.69535879629629627</v>
      </c>
      <c r="AG482" t="s">
        <v>934</v>
      </c>
      <c r="AI482" t="s">
        <v>4691</v>
      </c>
      <c r="AL482" t="s">
        <v>4691</v>
      </c>
      <c r="AM482">
        <v>30</v>
      </c>
      <c r="AQ482" t="s">
        <v>2605</v>
      </c>
      <c r="AR482">
        <v>1</v>
      </c>
    </row>
    <row r="483" spans="1:44" x14ac:dyDescent="0.3">
      <c r="A483" t="s">
        <v>31</v>
      </c>
      <c r="B483">
        <v>1058</v>
      </c>
      <c r="C483">
        <v>208</v>
      </c>
      <c r="D483">
        <v>3436</v>
      </c>
      <c r="E483" t="s">
        <v>4693</v>
      </c>
      <c r="G483" t="s">
        <v>503</v>
      </c>
      <c r="H483">
        <v>42830750000130</v>
      </c>
      <c r="I483" t="s">
        <v>3903</v>
      </c>
      <c r="J483" t="s">
        <v>3903</v>
      </c>
      <c r="K483" t="s">
        <v>3903</v>
      </c>
      <c r="L483" t="s">
        <v>3905</v>
      </c>
      <c r="N483" t="s">
        <v>4594</v>
      </c>
      <c r="P483" t="s">
        <v>3907</v>
      </c>
      <c r="Q483" t="s">
        <v>1094</v>
      </c>
      <c r="R483" t="s">
        <v>790</v>
      </c>
      <c r="U483" t="s">
        <v>319</v>
      </c>
      <c r="V483" t="s">
        <v>816</v>
      </c>
      <c r="X483">
        <v>1680</v>
      </c>
      <c r="Y483">
        <v>7128</v>
      </c>
      <c r="AA483">
        <v>19</v>
      </c>
      <c r="AB483" s="31">
        <v>46108</v>
      </c>
      <c r="AC483" s="61">
        <v>0.6628356481481481</v>
      </c>
      <c r="AD483" t="s">
        <v>782</v>
      </c>
      <c r="AE483" s="31"/>
      <c r="AF483" s="61"/>
      <c r="AI483" t="s">
        <v>4691</v>
      </c>
      <c r="AL483" t="s">
        <v>4649</v>
      </c>
      <c r="AM483">
        <v>30</v>
      </c>
      <c r="AQ483" t="s">
        <v>2605</v>
      </c>
      <c r="AR483">
        <v>1</v>
      </c>
    </row>
    <row r="484" spans="1:44" x14ac:dyDescent="0.3">
      <c r="A484" t="s">
        <v>31</v>
      </c>
      <c r="B484">
        <v>1070</v>
      </c>
      <c r="C484">
        <v>211</v>
      </c>
      <c r="D484">
        <v>3473</v>
      </c>
      <c r="E484" t="s">
        <v>4694</v>
      </c>
      <c r="G484" t="s">
        <v>505</v>
      </c>
      <c r="H484">
        <v>5691820000190</v>
      </c>
      <c r="I484" t="s">
        <v>3912</v>
      </c>
      <c r="J484" t="s">
        <v>3912</v>
      </c>
      <c r="K484" t="s">
        <v>3912</v>
      </c>
      <c r="L484" t="s">
        <v>3913</v>
      </c>
      <c r="N484" t="s">
        <v>3914</v>
      </c>
      <c r="P484" t="s">
        <v>3915</v>
      </c>
      <c r="Q484" t="s">
        <v>1026</v>
      </c>
      <c r="R484" t="s">
        <v>1027</v>
      </c>
      <c r="U484" t="s">
        <v>319</v>
      </c>
      <c r="V484" t="s">
        <v>816</v>
      </c>
      <c r="X484">
        <v>13100</v>
      </c>
      <c r="Y484">
        <v>1700</v>
      </c>
      <c r="AA484">
        <v>15</v>
      </c>
      <c r="AB484" s="31">
        <v>46112</v>
      </c>
      <c r="AC484" s="61">
        <v>0.69315972222222222</v>
      </c>
      <c r="AD484" t="s">
        <v>782</v>
      </c>
      <c r="AE484" s="31"/>
      <c r="AF484" s="61"/>
      <c r="AI484" t="s">
        <v>4695</v>
      </c>
      <c r="AJ484" t="s">
        <v>4695</v>
      </c>
      <c r="AL484" t="s">
        <v>4695</v>
      </c>
      <c r="AM484">
        <v>30</v>
      </c>
      <c r="AQ484" t="s">
        <v>69</v>
      </c>
      <c r="AR484">
        <v>1</v>
      </c>
    </row>
    <row r="485" spans="1:44" x14ac:dyDescent="0.3">
      <c r="A485" t="s">
        <v>31</v>
      </c>
      <c r="B485">
        <v>1071</v>
      </c>
      <c r="C485">
        <v>185</v>
      </c>
      <c r="D485">
        <v>3475</v>
      </c>
      <c r="G485" t="s">
        <v>441</v>
      </c>
      <c r="H485">
        <v>51496785000176</v>
      </c>
      <c r="I485" t="s">
        <v>3599</v>
      </c>
      <c r="J485" t="s">
        <v>3599</v>
      </c>
      <c r="K485" t="s">
        <v>3599</v>
      </c>
      <c r="L485" t="s">
        <v>3601</v>
      </c>
      <c r="N485" t="s">
        <v>3602</v>
      </c>
      <c r="P485" t="s">
        <v>3603</v>
      </c>
      <c r="Q485" t="s">
        <v>847</v>
      </c>
      <c r="R485" t="s">
        <v>848</v>
      </c>
      <c r="U485" t="s">
        <v>319</v>
      </c>
      <c r="V485" t="s">
        <v>816</v>
      </c>
      <c r="AA485">
        <v>12</v>
      </c>
      <c r="AB485" s="31">
        <v>46113</v>
      </c>
      <c r="AC485" s="61">
        <v>0.4354513888888889</v>
      </c>
      <c r="AD485" t="s">
        <v>818</v>
      </c>
      <c r="AE485" s="31">
        <v>46125</v>
      </c>
      <c r="AF485" s="61">
        <v>0.49717592592592591</v>
      </c>
      <c r="AI485" t="s">
        <v>4696</v>
      </c>
      <c r="AJ485" t="s">
        <v>4696</v>
      </c>
      <c r="AL485" t="s">
        <v>4696</v>
      </c>
      <c r="AM485">
        <v>30</v>
      </c>
      <c r="AQ485" t="s">
        <v>2605</v>
      </c>
      <c r="AR485">
        <v>1</v>
      </c>
    </row>
    <row r="486" spans="1:44" x14ac:dyDescent="0.3">
      <c r="A486" t="s">
        <v>31</v>
      </c>
      <c r="B486">
        <v>1108</v>
      </c>
      <c r="C486">
        <v>107</v>
      </c>
      <c r="D486">
        <v>3537</v>
      </c>
      <c r="E486" t="s">
        <v>4697</v>
      </c>
      <c r="G486" t="s">
        <v>427</v>
      </c>
      <c r="H486">
        <v>7527737000297</v>
      </c>
      <c r="I486" t="s">
        <v>427</v>
      </c>
      <c r="J486" t="s">
        <v>427</v>
      </c>
      <c r="K486" t="s">
        <v>427</v>
      </c>
      <c r="N486" t="s">
        <v>3320</v>
      </c>
      <c r="P486" t="s">
        <v>778</v>
      </c>
      <c r="U486" t="s">
        <v>319</v>
      </c>
      <c r="V486" t="s">
        <v>3417</v>
      </c>
      <c r="X486">
        <v>420</v>
      </c>
      <c r="Y486">
        <v>3564</v>
      </c>
      <c r="AA486">
        <v>1</v>
      </c>
      <c r="AB486" s="31">
        <v>46126</v>
      </c>
      <c r="AC486" s="61">
        <v>0.65339120370370374</v>
      </c>
      <c r="AD486" t="s">
        <v>782</v>
      </c>
      <c r="AE486" s="31"/>
      <c r="AF486" s="61"/>
      <c r="AI486" t="s">
        <v>4698</v>
      </c>
      <c r="AJ486" t="s">
        <v>4698</v>
      </c>
      <c r="AL486" t="s">
        <v>4698</v>
      </c>
      <c r="AM486">
        <v>30</v>
      </c>
      <c r="AQ486" t="s">
        <v>2605</v>
      </c>
      <c r="AR486">
        <v>1</v>
      </c>
    </row>
    <row r="487" spans="1:44" x14ac:dyDescent="0.3">
      <c r="A487" t="s">
        <v>31</v>
      </c>
      <c r="B487">
        <v>1109</v>
      </c>
      <c r="C487">
        <v>190</v>
      </c>
      <c r="D487">
        <v>3538</v>
      </c>
      <c r="G487" t="s">
        <v>447</v>
      </c>
      <c r="H487">
        <v>18203215000175</v>
      </c>
      <c r="I487" t="s">
        <v>3690</v>
      </c>
      <c r="J487" t="s">
        <v>3690</v>
      </c>
      <c r="K487" t="s">
        <v>3690</v>
      </c>
      <c r="L487" t="s">
        <v>3692</v>
      </c>
      <c r="N487" t="s">
        <v>3693</v>
      </c>
      <c r="P487" t="s">
        <v>3694</v>
      </c>
      <c r="Q487" t="s">
        <v>3695</v>
      </c>
      <c r="R487" t="s">
        <v>790</v>
      </c>
      <c r="U487" t="s">
        <v>319</v>
      </c>
      <c r="V487" t="s">
        <v>3606</v>
      </c>
      <c r="X487">
        <v>6000</v>
      </c>
      <c r="Y487">
        <v>2000</v>
      </c>
      <c r="AA487">
        <v>1</v>
      </c>
      <c r="AB487" s="31">
        <v>46126</v>
      </c>
      <c r="AC487" s="61">
        <v>0.65795138888888893</v>
      </c>
      <c r="AD487" t="s">
        <v>782</v>
      </c>
      <c r="AE487" s="31"/>
      <c r="AF487" s="61"/>
      <c r="AI487" t="s">
        <v>4698</v>
      </c>
      <c r="AJ487" t="s">
        <v>4698</v>
      </c>
      <c r="AL487" t="s">
        <v>4698</v>
      </c>
      <c r="AM487">
        <v>30</v>
      </c>
      <c r="AQ487" t="s">
        <v>2922</v>
      </c>
      <c r="AR487">
        <v>1</v>
      </c>
    </row>
    <row r="488" spans="1:44" x14ac:dyDescent="0.3">
      <c r="A488" t="s">
        <v>31</v>
      </c>
      <c r="B488">
        <v>1110</v>
      </c>
      <c r="C488">
        <v>190</v>
      </c>
      <c r="D488">
        <v>3539</v>
      </c>
      <c r="E488" t="s">
        <v>4699</v>
      </c>
      <c r="G488" t="s">
        <v>4700</v>
      </c>
      <c r="H488">
        <v>18203215000175</v>
      </c>
      <c r="I488" t="s">
        <v>3690</v>
      </c>
      <c r="J488" t="s">
        <v>3690</v>
      </c>
      <c r="K488" t="s">
        <v>3690</v>
      </c>
      <c r="L488" t="s">
        <v>3692</v>
      </c>
      <c r="N488" t="s">
        <v>3693</v>
      </c>
      <c r="P488" t="s">
        <v>3694</v>
      </c>
      <c r="Q488" t="s">
        <v>3695</v>
      </c>
      <c r="R488" t="s">
        <v>790</v>
      </c>
      <c r="U488" t="s">
        <v>319</v>
      </c>
      <c r="V488" t="s">
        <v>3606</v>
      </c>
      <c r="X488">
        <v>8100</v>
      </c>
      <c r="Y488">
        <v>1080</v>
      </c>
      <c r="AA488">
        <v>1</v>
      </c>
      <c r="AB488" s="31">
        <v>46126</v>
      </c>
      <c r="AC488" s="61">
        <v>0.65972222222222221</v>
      </c>
      <c r="AD488" t="s">
        <v>782</v>
      </c>
      <c r="AE488" s="31"/>
      <c r="AF488" s="61"/>
      <c r="AJ488" t="s">
        <v>4698</v>
      </c>
      <c r="AL488" t="s">
        <v>4698</v>
      </c>
      <c r="AM488">
        <v>30</v>
      </c>
      <c r="AQ488" t="s">
        <v>52</v>
      </c>
      <c r="AR488">
        <v>1</v>
      </c>
    </row>
    <row r="489" spans="1:44" x14ac:dyDescent="0.3">
      <c r="A489" t="s">
        <v>31</v>
      </c>
      <c r="B489">
        <v>1111</v>
      </c>
      <c r="C489">
        <v>190</v>
      </c>
      <c r="D489">
        <v>3540</v>
      </c>
      <c r="E489" t="s">
        <v>4701</v>
      </c>
      <c r="G489" t="s">
        <v>4702</v>
      </c>
      <c r="H489">
        <v>18203215000175</v>
      </c>
      <c r="I489" t="s">
        <v>3690</v>
      </c>
      <c r="J489" t="s">
        <v>3690</v>
      </c>
      <c r="K489" t="s">
        <v>3690</v>
      </c>
      <c r="L489" t="s">
        <v>3692</v>
      </c>
      <c r="N489" t="s">
        <v>3693</v>
      </c>
      <c r="P489" t="s">
        <v>3694</v>
      </c>
      <c r="Q489" t="s">
        <v>3695</v>
      </c>
      <c r="R489" t="s">
        <v>790</v>
      </c>
      <c r="U489" t="s">
        <v>319</v>
      </c>
      <c r="V489" t="s">
        <v>3606</v>
      </c>
      <c r="X489">
        <v>0</v>
      </c>
      <c r="Y489">
        <v>68904</v>
      </c>
      <c r="AA489">
        <v>1</v>
      </c>
      <c r="AB489" s="31">
        <v>46126</v>
      </c>
      <c r="AC489" s="61">
        <v>0.66122685185185182</v>
      </c>
      <c r="AD489" t="s">
        <v>782</v>
      </c>
      <c r="AE489" s="31"/>
      <c r="AF489" s="61"/>
      <c r="AL489" t="s">
        <v>4698</v>
      </c>
      <c r="AM489">
        <v>28</v>
      </c>
      <c r="AQ489" t="s">
        <v>2605</v>
      </c>
      <c r="AR489">
        <v>1</v>
      </c>
    </row>
    <row r="490" spans="1:44" x14ac:dyDescent="0.3">
      <c r="A490" t="s">
        <v>31</v>
      </c>
      <c r="B490">
        <v>1112</v>
      </c>
      <c r="C490">
        <v>108</v>
      </c>
      <c r="D490">
        <v>3541</v>
      </c>
      <c r="G490" t="s">
        <v>455</v>
      </c>
      <c r="I490" t="s">
        <v>3321</v>
      </c>
      <c r="J490" t="s">
        <v>3321</v>
      </c>
      <c r="K490" t="s">
        <v>3321</v>
      </c>
      <c r="N490" t="s">
        <v>3322</v>
      </c>
      <c r="P490" t="s">
        <v>778</v>
      </c>
      <c r="U490" t="s">
        <v>319</v>
      </c>
      <c r="V490" t="s">
        <v>3417</v>
      </c>
      <c r="X490">
        <v>6000</v>
      </c>
      <c r="Y490">
        <v>2000</v>
      </c>
      <c r="AA490">
        <v>1</v>
      </c>
      <c r="AB490" s="31">
        <v>46126</v>
      </c>
      <c r="AC490" s="61">
        <v>0.66817129629629635</v>
      </c>
      <c r="AD490" t="s">
        <v>782</v>
      </c>
      <c r="AE490" s="31"/>
      <c r="AF490" s="61"/>
      <c r="AI490" t="s">
        <v>4698</v>
      </c>
      <c r="AJ490" t="s">
        <v>4698</v>
      </c>
      <c r="AL490" t="s">
        <v>4698</v>
      </c>
      <c r="AM490">
        <v>30</v>
      </c>
      <c r="AQ490" t="s">
        <v>2922</v>
      </c>
      <c r="AR490">
        <v>1</v>
      </c>
    </row>
    <row r="491" spans="1:44" x14ac:dyDescent="0.3">
      <c r="A491" t="s">
        <v>31</v>
      </c>
      <c r="B491">
        <v>1115</v>
      </c>
      <c r="C491">
        <v>141</v>
      </c>
      <c r="D491">
        <v>3550</v>
      </c>
      <c r="G491" t="s">
        <v>434</v>
      </c>
      <c r="I491" t="s">
        <v>434</v>
      </c>
      <c r="J491" t="s">
        <v>434</v>
      </c>
      <c r="K491" t="s">
        <v>434</v>
      </c>
      <c r="L491" t="s">
        <v>4127</v>
      </c>
      <c r="N491" t="s">
        <v>3396</v>
      </c>
      <c r="P491" t="s">
        <v>778</v>
      </c>
      <c r="U491" t="s">
        <v>319</v>
      </c>
      <c r="V491" t="s">
        <v>3417</v>
      </c>
      <c r="X491">
        <v>420</v>
      </c>
      <c r="Y491">
        <v>0</v>
      </c>
      <c r="AA491">
        <v>0</v>
      </c>
      <c r="AB491" s="31">
        <v>46127</v>
      </c>
      <c r="AC491" s="61">
        <v>0.50359953703703708</v>
      </c>
      <c r="AD491" t="s">
        <v>782</v>
      </c>
      <c r="AE491" s="31"/>
      <c r="AF491" s="61"/>
      <c r="AI491" t="s">
        <v>4703</v>
      </c>
      <c r="AL491" t="s">
        <v>4703</v>
      </c>
      <c r="AM491">
        <v>30</v>
      </c>
      <c r="AQ491" t="s">
        <v>318</v>
      </c>
      <c r="AR491">
        <v>1</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Y606"/>
  <sheetViews>
    <sheetView workbookViewId="0">
      <selection activeCell="E22" sqref="E22"/>
    </sheetView>
  </sheetViews>
  <sheetFormatPr defaultRowHeight="14.4" x14ac:dyDescent="0.3"/>
  <cols>
    <col min="1" max="1" width="17.88671875" bestFit="1" customWidth="1"/>
    <col min="2" max="2" width="17.6640625" bestFit="1" customWidth="1"/>
    <col min="3" max="3" width="12.109375" bestFit="1" customWidth="1"/>
    <col min="4" max="4" width="12.6640625" bestFit="1" customWidth="1"/>
    <col min="5" max="6" width="80.88671875" bestFit="1" customWidth="1"/>
    <col min="7" max="7" width="72.6640625" bestFit="1" customWidth="1"/>
    <col min="8" max="8" width="12" bestFit="1" customWidth="1"/>
    <col min="9" max="9" width="27.44140625" bestFit="1" customWidth="1"/>
    <col min="10" max="11" width="80.88671875" bestFit="1" customWidth="1"/>
    <col min="12" max="12" width="41.6640625" bestFit="1" customWidth="1"/>
    <col min="13" max="13" width="20" bestFit="1" customWidth="1"/>
    <col min="14" max="14" width="42.6640625" bestFit="1" customWidth="1"/>
    <col min="15" max="15" width="17.88671875" bestFit="1" customWidth="1"/>
    <col min="16" max="16" width="32.109375" bestFit="1" customWidth="1"/>
    <col min="17" max="17" width="22.109375" bestFit="1" customWidth="1"/>
    <col min="18" max="18" width="24.33203125" bestFit="1" customWidth="1"/>
    <col min="19" max="19" width="13.33203125" bestFit="1" customWidth="1"/>
    <col min="20" max="20" width="24.44140625" bestFit="1" customWidth="1"/>
    <col min="21" max="21" width="19" bestFit="1" customWidth="1"/>
    <col min="22" max="22" width="21.109375" bestFit="1" customWidth="1"/>
    <col min="23" max="23" width="63.33203125" bestFit="1" customWidth="1"/>
    <col min="24" max="24" width="17.44140625" bestFit="1" customWidth="1"/>
    <col min="25" max="25" width="32.33203125" bestFit="1" customWidth="1"/>
    <col min="26" max="26" width="33" bestFit="1" customWidth="1"/>
    <col min="27" max="27" width="29.88671875" bestFit="1" customWidth="1"/>
    <col min="28" max="28" width="12.33203125" bestFit="1" customWidth="1"/>
    <col min="29" max="29" width="14.44140625" bestFit="1" customWidth="1"/>
    <col min="30" max="30" width="27.33203125" bestFit="1" customWidth="1"/>
    <col min="31" max="31" width="17.88671875" bestFit="1" customWidth="1"/>
    <col min="32" max="32" width="17.109375" bestFit="1" customWidth="1"/>
    <col min="33" max="33" width="17.33203125" bestFit="1" customWidth="1"/>
    <col min="34" max="34" width="16.6640625" bestFit="1" customWidth="1"/>
    <col min="35" max="35" width="8.6640625" bestFit="1" customWidth="1"/>
    <col min="36" max="36" width="21.88671875" bestFit="1" customWidth="1"/>
    <col min="37" max="37" width="22.109375" bestFit="1" customWidth="1"/>
    <col min="38" max="38" width="33.6640625" bestFit="1" customWidth="1"/>
    <col min="39" max="39" width="80.88671875" bestFit="1" customWidth="1"/>
    <col min="40" max="40" width="20.5546875" bestFit="1" customWidth="1"/>
    <col min="41" max="41" width="15.5546875" bestFit="1" customWidth="1"/>
    <col min="42" max="42" width="18.33203125" bestFit="1" customWidth="1"/>
    <col min="43" max="44" width="20.44140625" bestFit="1" customWidth="1"/>
    <col min="45" max="45" width="17.33203125" bestFit="1" customWidth="1"/>
    <col min="46" max="46" width="14.33203125" bestFit="1" customWidth="1"/>
    <col min="47" max="47" width="8.33203125" bestFit="1" customWidth="1"/>
    <col min="48" max="48" width="35" bestFit="1" customWidth="1"/>
    <col min="49" max="49" width="12.33203125" bestFit="1" customWidth="1"/>
    <col min="50" max="50" width="17.33203125" bestFit="1" customWidth="1"/>
    <col min="51" max="51" width="7.33203125" bestFit="1" customWidth="1"/>
  </cols>
  <sheetData>
    <row r="1" spans="1:51" x14ac:dyDescent="0.3">
      <c r="A1" t="s">
        <v>212</v>
      </c>
      <c r="B1" t="s">
        <v>731</v>
      </c>
      <c r="C1" t="s">
        <v>732</v>
      </c>
      <c r="D1" t="s">
        <v>733</v>
      </c>
      <c r="E1" t="s">
        <v>734</v>
      </c>
      <c r="F1" t="s">
        <v>735</v>
      </c>
      <c r="G1" t="s">
        <v>736</v>
      </c>
      <c r="H1" t="s">
        <v>40</v>
      </c>
      <c r="I1" t="s">
        <v>737</v>
      </c>
      <c r="J1" t="s">
        <v>738</v>
      </c>
      <c r="K1" t="s">
        <v>4592</v>
      </c>
      <c r="L1" t="s">
        <v>739</v>
      </c>
      <c r="M1" t="s">
        <v>740</v>
      </c>
      <c r="N1" t="s">
        <v>741</v>
      </c>
      <c r="O1" t="s">
        <v>742</v>
      </c>
      <c r="P1" t="s">
        <v>743</v>
      </c>
      <c r="Q1" t="s">
        <v>744</v>
      </c>
      <c r="R1" t="s">
        <v>745</v>
      </c>
      <c r="S1" t="s">
        <v>746</v>
      </c>
      <c r="T1" t="s">
        <v>747</v>
      </c>
      <c r="U1" t="s">
        <v>748</v>
      </c>
      <c r="V1" t="s">
        <v>749</v>
      </c>
      <c r="W1" t="s">
        <v>750</v>
      </c>
      <c r="X1" t="s">
        <v>751</v>
      </c>
      <c r="Y1" t="s">
        <v>752</v>
      </c>
      <c r="Z1" t="s">
        <v>753</v>
      </c>
      <c r="AA1" t="s">
        <v>754</v>
      </c>
      <c r="AB1" t="s">
        <v>755</v>
      </c>
      <c r="AC1" t="s">
        <v>756</v>
      </c>
      <c r="AD1" t="s">
        <v>757</v>
      </c>
      <c r="AE1" t="s">
        <v>758</v>
      </c>
      <c r="AF1" t="s">
        <v>759</v>
      </c>
      <c r="AG1" t="s">
        <v>760</v>
      </c>
      <c r="AH1" t="s">
        <v>761</v>
      </c>
      <c r="AI1" t="s">
        <v>762</v>
      </c>
      <c r="AJ1" t="s">
        <v>763</v>
      </c>
      <c r="AK1" t="s">
        <v>764</v>
      </c>
      <c r="AL1" t="s">
        <v>765</v>
      </c>
      <c r="AM1" t="s">
        <v>766</v>
      </c>
      <c r="AN1" t="s">
        <v>767</v>
      </c>
      <c r="AO1" t="s">
        <v>249</v>
      </c>
      <c r="AP1" t="s">
        <v>768</v>
      </c>
      <c r="AQ1" t="s">
        <v>214</v>
      </c>
      <c r="AR1" t="s">
        <v>769</v>
      </c>
      <c r="AS1" t="s">
        <v>770</v>
      </c>
      <c r="AT1" t="s">
        <v>260</v>
      </c>
      <c r="AU1" t="s">
        <v>258</v>
      </c>
      <c r="AV1" t="s">
        <v>771</v>
      </c>
      <c r="AW1" t="s">
        <v>257</v>
      </c>
      <c r="AX1" t="s">
        <v>772</v>
      </c>
      <c r="AY1" t="s">
        <v>4593</v>
      </c>
    </row>
    <row r="2" spans="1:51" x14ac:dyDescent="0.3">
      <c r="A2" t="s">
        <v>22</v>
      </c>
      <c r="B2">
        <v>87</v>
      </c>
      <c r="D2">
        <v>548</v>
      </c>
      <c r="G2" t="s">
        <v>774</v>
      </c>
      <c r="J2" t="s">
        <v>775</v>
      </c>
      <c r="K2" t="s">
        <v>775</v>
      </c>
      <c r="L2">
        <v>16997181604</v>
      </c>
      <c r="N2" t="s">
        <v>777</v>
      </c>
      <c r="Q2" t="s">
        <v>778</v>
      </c>
      <c r="W2" t="s">
        <v>779</v>
      </c>
      <c r="X2" t="s">
        <v>780</v>
      </c>
      <c r="Y2" t="s">
        <v>781</v>
      </c>
      <c r="AA2" s="31"/>
      <c r="AB2">
        <v>0</v>
      </c>
      <c r="AC2">
        <v>27562</v>
      </c>
      <c r="AD2">
        <v>505</v>
      </c>
      <c r="AE2" t="s">
        <v>22</v>
      </c>
      <c r="AF2" s="31">
        <v>45622</v>
      </c>
      <c r="AG2" s="61">
        <v>0.72627314814814814</v>
      </c>
      <c r="AI2" t="s">
        <v>782</v>
      </c>
      <c r="AJ2" s="31"/>
      <c r="AK2" s="61"/>
      <c r="AP2" t="s">
        <v>22</v>
      </c>
      <c r="AS2" s="31"/>
      <c r="AY2">
        <v>1</v>
      </c>
    </row>
    <row r="3" spans="1:51" x14ac:dyDescent="0.3">
      <c r="A3" t="s">
        <v>44</v>
      </c>
      <c r="B3">
        <v>88</v>
      </c>
      <c r="D3">
        <v>269</v>
      </c>
      <c r="F3" t="s">
        <v>783</v>
      </c>
      <c r="G3" t="s">
        <v>784</v>
      </c>
      <c r="H3">
        <v>24870219000100</v>
      </c>
      <c r="J3" t="s">
        <v>785</v>
      </c>
      <c r="K3" t="s">
        <v>4704</v>
      </c>
      <c r="L3">
        <v>16997246190</v>
      </c>
      <c r="N3" t="s">
        <v>787</v>
      </c>
      <c r="P3" t="s">
        <v>788</v>
      </c>
      <c r="Q3" t="s">
        <v>778</v>
      </c>
      <c r="R3" t="s">
        <v>789</v>
      </c>
      <c r="S3" t="s">
        <v>790</v>
      </c>
      <c r="T3" t="s">
        <v>791</v>
      </c>
      <c r="W3" t="s">
        <v>792</v>
      </c>
      <c r="X3" t="s">
        <v>780</v>
      </c>
      <c r="Y3" t="s">
        <v>793</v>
      </c>
      <c r="AA3" s="31"/>
      <c r="AD3">
        <v>55</v>
      </c>
      <c r="AE3" t="s">
        <v>794</v>
      </c>
      <c r="AF3" s="31">
        <v>45623</v>
      </c>
      <c r="AG3" s="61">
        <v>0.60320601851851852</v>
      </c>
      <c r="AI3" t="s">
        <v>795</v>
      </c>
      <c r="AJ3" s="31">
        <v>45678</v>
      </c>
      <c r="AK3" s="61">
        <v>0.49710648148148151</v>
      </c>
      <c r="AL3" t="s">
        <v>796</v>
      </c>
      <c r="AM3" t="s">
        <v>797</v>
      </c>
      <c r="AN3" t="s">
        <v>798</v>
      </c>
      <c r="AO3" t="s">
        <v>799</v>
      </c>
      <c r="AP3" t="s">
        <v>794</v>
      </c>
      <c r="AQ3" t="s">
        <v>798</v>
      </c>
      <c r="AS3" s="31"/>
      <c r="AY3">
        <v>1</v>
      </c>
    </row>
    <row r="4" spans="1:51" x14ac:dyDescent="0.3">
      <c r="A4" t="s">
        <v>22</v>
      </c>
      <c r="B4">
        <v>89</v>
      </c>
      <c r="D4">
        <v>439</v>
      </c>
      <c r="E4" t="s">
        <v>800</v>
      </c>
      <c r="G4" t="s">
        <v>801</v>
      </c>
      <c r="H4">
        <v>51921277000198</v>
      </c>
      <c r="J4" t="s">
        <v>802</v>
      </c>
      <c r="K4" t="s">
        <v>802</v>
      </c>
      <c r="L4" t="s">
        <v>803</v>
      </c>
      <c r="N4" t="s">
        <v>804</v>
      </c>
      <c r="Q4" t="s">
        <v>778</v>
      </c>
      <c r="T4" t="s">
        <v>805</v>
      </c>
      <c r="W4" t="s">
        <v>806</v>
      </c>
      <c r="X4" t="s">
        <v>780</v>
      </c>
      <c r="Y4" t="s">
        <v>807</v>
      </c>
      <c r="AA4" s="31"/>
      <c r="AD4">
        <v>63</v>
      </c>
      <c r="AE4" t="s">
        <v>594</v>
      </c>
      <c r="AF4" s="31">
        <v>45623</v>
      </c>
      <c r="AG4" s="61">
        <v>0.6035300925925926</v>
      </c>
      <c r="AI4" t="s">
        <v>795</v>
      </c>
      <c r="AJ4" s="31">
        <v>45686</v>
      </c>
      <c r="AK4" s="61">
        <v>4.445601851851852E-2</v>
      </c>
      <c r="AL4" t="s">
        <v>808</v>
      </c>
      <c r="AN4" t="s">
        <v>798</v>
      </c>
      <c r="AP4" t="s">
        <v>594</v>
      </c>
      <c r="AS4" s="31"/>
      <c r="AY4">
        <v>1</v>
      </c>
    </row>
    <row r="5" spans="1:51" x14ac:dyDescent="0.3">
      <c r="A5" t="s">
        <v>44</v>
      </c>
      <c r="B5">
        <v>90</v>
      </c>
      <c r="D5">
        <v>372</v>
      </c>
      <c r="E5" t="s">
        <v>809</v>
      </c>
      <c r="G5" t="s">
        <v>810</v>
      </c>
      <c r="H5">
        <v>1740627000575</v>
      </c>
      <c r="J5" t="s">
        <v>811</v>
      </c>
      <c r="K5" t="s">
        <v>811</v>
      </c>
      <c r="L5" t="s">
        <v>812</v>
      </c>
      <c r="N5" t="s">
        <v>813</v>
      </c>
      <c r="Q5" t="s">
        <v>778</v>
      </c>
      <c r="T5" t="s">
        <v>814</v>
      </c>
      <c r="W5" t="s">
        <v>815</v>
      </c>
      <c r="X5" t="s">
        <v>780</v>
      </c>
      <c r="Y5" t="s">
        <v>816</v>
      </c>
      <c r="Z5" t="s">
        <v>817</v>
      </c>
      <c r="AA5" s="31"/>
      <c r="AB5">
        <v>14416</v>
      </c>
      <c r="AC5">
        <v>18072</v>
      </c>
      <c r="AD5">
        <v>266</v>
      </c>
      <c r="AE5" t="s">
        <v>594</v>
      </c>
      <c r="AF5" s="31">
        <v>45623</v>
      </c>
      <c r="AG5" s="61">
        <v>0.64762731481481484</v>
      </c>
      <c r="AI5" t="s">
        <v>818</v>
      </c>
      <c r="AJ5" s="31">
        <v>45889</v>
      </c>
      <c r="AK5" s="61">
        <v>0.4010185185185185</v>
      </c>
      <c r="AN5" t="s">
        <v>819</v>
      </c>
      <c r="AO5" t="s">
        <v>820</v>
      </c>
      <c r="AP5" t="s">
        <v>594</v>
      </c>
      <c r="AQ5" t="s">
        <v>821</v>
      </c>
      <c r="AR5" t="s">
        <v>820</v>
      </c>
      <c r="AS5" s="31"/>
      <c r="AY5">
        <v>1</v>
      </c>
    </row>
    <row r="6" spans="1:51" x14ac:dyDescent="0.3">
      <c r="A6" t="s">
        <v>44</v>
      </c>
      <c r="B6">
        <v>91</v>
      </c>
      <c r="D6">
        <v>502</v>
      </c>
      <c r="E6" t="s">
        <v>822</v>
      </c>
      <c r="G6" t="s">
        <v>823</v>
      </c>
      <c r="H6">
        <v>8196258000117</v>
      </c>
      <c r="J6" t="s">
        <v>824</v>
      </c>
      <c r="K6" t="s">
        <v>824</v>
      </c>
      <c r="L6" t="s">
        <v>825</v>
      </c>
      <c r="N6" t="s">
        <v>826</v>
      </c>
      <c r="Q6" t="s">
        <v>778</v>
      </c>
      <c r="T6" t="s">
        <v>814</v>
      </c>
      <c r="W6" t="s">
        <v>827</v>
      </c>
      <c r="X6" t="s">
        <v>780</v>
      </c>
      <c r="Y6" t="s">
        <v>793</v>
      </c>
      <c r="AA6" s="31"/>
      <c r="AD6">
        <v>55</v>
      </c>
      <c r="AE6" t="s">
        <v>594</v>
      </c>
      <c r="AF6" s="31">
        <v>45623</v>
      </c>
      <c r="AG6" s="61">
        <v>0.64908564814814818</v>
      </c>
      <c r="AI6" t="s">
        <v>795</v>
      </c>
      <c r="AJ6" s="31">
        <v>45678</v>
      </c>
      <c r="AK6" s="61">
        <v>0.49982638888888892</v>
      </c>
      <c r="AL6" t="s">
        <v>796</v>
      </c>
      <c r="AM6" t="s">
        <v>797</v>
      </c>
      <c r="AN6" t="s">
        <v>828</v>
      </c>
      <c r="AO6" t="s">
        <v>829</v>
      </c>
      <c r="AP6" t="s">
        <v>594</v>
      </c>
      <c r="AQ6" t="s">
        <v>830</v>
      </c>
      <c r="AS6" s="31"/>
      <c r="AY6">
        <v>1</v>
      </c>
    </row>
    <row r="7" spans="1:51" x14ac:dyDescent="0.3">
      <c r="A7" t="s">
        <v>44</v>
      </c>
      <c r="B7">
        <v>92</v>
      </c>
      <c r="D7">
        <v>360</v>
      </c>
      <c r="E7" t="s">
        <v>831</v>
      </c>
      <c r="F7" t="s">
        <v>832</v>
      </c>
      <c r="G7" t="s">
        <v>833</v>
      </c>
      <c r="H7">
        <v>32364538000171</v>
      </c>
      <c r="J7" t="s">
        <v>834</v>
      </c>
      <c r="K7" t="s">
        <v>834</v>
      </c>
      <c r="L7" t="s">
        <v>835</v>
      </c>
      <c r="N7" t="s">
        <v>836</v>
      </c>
      <c r="Q7" t="s">
        <v>778</v>
      </c>
      <c r="R7" t="s">
        <v>837</v>
      </c>
      <c r="S7" t="s">
        <v>790</v>
      </c>
      <c r="T7" t="s">
        <v>805</v>
      </c>
      <c r="W7" t="s">
        <v>838</v>
      </c>
      <c r="X7" t="s">
        <v>780</v>
      </c>
      <c r="Y7" t="s">
        <v>807</v>
      </c>
      <c r="AA7" s="31"/>
      <c r="AB7">
        <v>2496</v>
      </c>
      <c r="AD7">
        <v>62</v>
      </c>
      <c r="AE7" t="s">
        <v>594</v>
      </c>
      <c r="AF7" s="31">
        <v>45623</v>
      </c>
      <c r="AG7" s="61">
        <v>0.6508680555555556</v>
      </c>
      <c r="AI7" t="s">
        <v>795</v>
      </c>
      <c r="AJ7" s="31">
        <v>45685</v>
      </c>
      <c r="AK7" s="61">
        <v>0.64828703703703705</v>
      </c>
      <c r="AL7" t="s">
        <v>796</v>
      </c>
      <c r="AM7" t="s">
        <v>839</v>
      </c>
      <c r="AN7" t="s">
        <v>840</v>
      </c>
      <c r="AO7" t="s">
        <v>841</v>
      </c>
      <c r="AP7" t="s">
        <v>594</v>
      </c>
      <c r="AQ7" t="s">
        <v>821</v>
      </c>
      <c r="AS7" s="31"/>
      <c r="AY7">
        <v>1</v>
      </c>
    </row>
    <row r="8" spans="1:51" x14ac:dyDescent="0.3">
      <c r="A8" t="s">
        <v>22</v>
      </c>
      <c r="B8">
        <v>93</v>
      </c>
      <c r="D8">
        <v>598</v>
      </c>
      <c r="E8" t="s">
        <v>842</v>
      </c>
      <c r="G8" t="s">
        <v>843</v>
      </c>
      <c r="H8">
        <v>3375396000492</v>
      </c>
      <c r="J8" t="s">
        <v>844</v>
      </c>
      <c r="K8" t="s">
        <v>844</v>
      </c>
      <c r="L8">
        <v>21964236193</v>
      </c>
      <c r="N8" t="s">
        <v>846</v>
      </c>
      <c r="Q8" t="s">
        <v>778</v>
      </c>
      <c r="R8" t="s">
        <v>847</v>
      </c>
      <c r="S8" t="s">
        <v>848</v>
      </c>
      <c r="T8" t="s">
        <v>791</v>
      </c>
      <c r="W8" t="s">
        <v>849</v>
      </c>
      <c r="X8" t="s">
        <v>780</v>
      </c>
      <c r="Y8" t="s">
        <v>807</v>
      </c>
      <c r="AA8" s="31"/>
      <c r="AB8">
        <v>0</v>
      </c>
      <c r="AC8">
        <v>0</v>
      </c>
      <c r="AD8">
        <v>61</v>
      </c>
      <c r="AE8" t="s">
        <v>22</v>
      </c>
      <c r="AF8" s="31">
        <v>45624</v>
      </c>
      <c r="AG8" s="61">
        <v>0.36658564814814809</v>
      </c>
      <c r="AI8" t="s">
        <v>795</v>
      </c>
      <c r="AJ8" s="31">
        <v>45685</v>
      </c>
      <c r="AK8" s="61">
        <v>0.69954861111111111</v>
      </c>
      <c r="AL8" t="s">
        <v>796</v>
      </c>
      <c r="AM8" t="s">
        <v>850</v>
      </c>
      <c r="AP8" t="s">
        <v>22</v>
      </c>
      <c r="AS8" s="31"/>
      <c r="AY8">
        <v>1</v>
      </c>
    </row>
    <row r="9" spans="1:51" x14ac:dyDescent="0.3">
      <c r="A9" t="s">
        <v>44</v>
      </c>
      <c r="B9">
        <v>94</v>
      </c>
      <c r="D9">
        <v>378</v>
      </c>
      <c r="F9" t="s">
        <v>851</v>
      </c>
      <c r="G9" t="s">
        <v>852</v>
      </c>
      <c r="H9">
        <v>11650898000160</v>
      </c>
      <c r="J9" t="s">
        <v>853</v>
      </c>
      <c r="K9" t="s">
        <v>853</v>
      </c>
      <c r="L9">
        <v>1935815351</v>
      </c>
      <c r="N9" t="s">
        <v>855</v>
      </c>
      <c r="P9" t="s">
        <v>856</v>
      </c>
      <c r="Q9" t="s">
        <v>778</v>
      </c>
      <c r="T9" t="s">
        <v>791</v>
      </c>
      <c r="W9" t="s">
        <v>792</v>
      </c>
      <c r="X9" t="s">
        <v>780</v>
      </c>
      <c r="Y9" t="s">
        <v>857</v>
      </c>
      <c r="AA9" s="31"/>
      <c r="AB9">
        <v>0</v>
      </c>
      <c r="AC9">
        <v>0</v>
      </c>
      <c r="AD9">
        <v>61</v>
      </c>
      <c r="AE9" t="s">
        <v>794</v>
      </c>
      <c r="AF9" s="31">
        <v>45624</v>
      </c>
      <c r="AG9" s="61">
        <v>0.62634259259259262</v>
      </c>
      <c r="AI9" t="s">
        <v>795</v>
      </c>
      <c r="AJ9" s="31">
        <v>45685</v>
      </c>
      <c r="AK9" s="61">
        <v>0.58120370370370367</v>
      </c>
      <c r="AL9" t="s">
        <v>858</v>
      </c>
      <c r="AM9" t="s">
        <v>859</v>
      </c>
      <c r="AN9" t="s">
        <v>860</v>
      </c>
      <c r="AP9" t="s">
        <v>794</v>
      </c>
      <c r="AS9" s="31"/>
      <c r="AY9">
        <v>1</v>
      </c>
    </row>
    <row r="10" spans="1:51" x14ac:dyDescent="0.3">
      <c r="A10" t="s">
        <v>22</v>
      </c>
      <c r="B10">
        <v>95</v>
      </c>
      <c r="D10">
        <v>778</v>
      </c>
      <c r="E10" t="s">
        <v>861</v>
      </c>
      <c r="G10" t="s">
        <v>862</v>
      </c>
      <c r="H10">
        <v>15211327000180</v>
      </c>
      <c r="J10" t="s">
        <v>863</v>
      </c>
      <c r="K10" t="s">
        <v>863</v>
      </c>
      <c r="L10">
        <v>38991275338</v>
      </c>
      <c r="N10" t="s">
        <v>865</v>
      </c>
      <c r="Q10" t="s">
        <v>778</v>
      </c>
      <c r="T10" t="s">
        <v>791</v>
      </c>
      <c r="W10" t="s">
        <v>866</v>
      </c>
      <c r="X10" t="s">
        <v>780</v>
      </c>
      <c r="Y10" t="s">
        <v>793</v>
      </c>
      <c r="AA10" s="31"/>
      <c r="AD10">
        <v>39</v>
      </c>
      <c r="AE10" t="s">
        <v>22</v>
      </c>
      <c r="AF10" s="31">
        <v>45625</v>
      </c>
      <c r="AG10" s="61">
        <v>0.58859953703703705</v>
      </c>
      <c r="AI10" t="s">
        <v>795</v>
      </c>
      <c r="AJ10" s="31">
        <v>45664</v>
      </c>
      <c r="AK10" s="61">
        <v>0.70936342592592594</v>
      </c>
      <c r="AL10" t="s">
        <v>867</v>
      </c>
      <c r="AP10" t="s">
        <v>594</v>
      </c>
      <c r="AQ10" t="s">
        <v>868</v>
      </c>
      <c r="AS10" s="31"/>
      <c r="AY10">
        <v>1</v>
      </c>
    </row>
    <row r="11" spans="1:51" x14ac:dyDescent="0.3">
      <c r="A11" t="s">
        <v>44</v>
      </c>
      <c r="B11">
        <v>96</v>
      </c>
      <c r="C11">
        <v>155</v>
      </c>
      <c r="D11">
        <v>812</v>
      </c>
      <c r="G11" t="s">
        <v>869</v>
      </c>
      <c r="H11">
        <v>13609763000186</v>
      </c>
      <c r="I11" t="s">
        <v>870</v>
      </c>
      <c r="J11" t="s">
        <v>870</v>
      </c>
      <c r="K11" t="s">
        <v>870</v>
      </c>
      <c r="L11">
        <v>7532217777</v>
      </c>
      <c r="N11" t="s">
        <v>872</v>
      </c>
      <c r="Q11" t="s">
        <v>778</v>
      </c>
      <c r="R11" t="s">
        <v>873</v>
      </c>
      <c r="S11" t="s">
        <v>874</v>
      </c>
      <c r="T11" t="s">
        <v>791</v>
      </c>
      <c r="W11" t="s">
        <v>875</v>
      </c>
      <c r="X11" t="s">
        <v>780</v>
      </c>
      <c r="Y11" t="s">
        <v>816</v>
      </c>
      <c r="Z11" t="s">
        <v>817</v>
      </c>
      <c r="AA11" s="31">
        <v>45688</v>
      </c>
      <c r="AB11">
        <v>8479884</v>
      </c>
      <c r="AC11">
        <v>630984</v>
      </c>
      <c r="AD11">
        <v>62</v>
      </c>
      <c r="AE11" t="s">
        <v>22</v>
      </c>
      <c r="AF11" s="31">
        <v>45627</v>
      </c>
      <c r="AG11" s="61">
        <v>0.85458333333333336</v>
      </c>
      <c r="AI11" t="s">
        <v>818</v>
      </c>
      <c r="AJ11" s="31">
        <v>45689</v>
      </c>
      <c r="AK11" s="61">
        <v>6.9525462962962969E-2</v>
      </c>
      <c r="AO11" t="s">
        <v>876</v>
      </c>
      <c r="AP11" t="s">
        <v>44</v>
      </c>
      <c r="AQ11" t="s">
        <v>876</v>
      </c>
      <c r="AS11" s="31"/>
      <c r="AY11">
        <v>1</v>
      </c>
    </row>
    <row r="12" spans="1:51" x14ac:dyDescent="0.3">
      <c r="A12" t="s">
        <v>44</v>
      </c>
      <c r="B12">
        <v>97</v>
      </c>
      <c r="C12">
        <v>155</v>
      </c>
      <c r="D12">
        <v>813</v>
      </c>
      <c r="G12" t="s">
        <v>877</v>
      </c>
      <c r="H12">
        <v>13609763000186</v>
      </c>
      <c r="I12" t="s">
        <v>870</v>
      </c>
      <c r="J12" t="s">
        <v>878</v>
      </c>
      <c r="K12" t="s">
        <v>878</v>
      </c>
      <c r="L12">
        <v>75981337574</v>
      </c>
      <c r="N12" t="s">
        <v>872</v>
      </c>
      <c r="Q12" t="s">
        <v>778</v>
      </c>
      <c r="R12" t="s">
        <v>873</v>
      </c>
      <c r="S12" t="s">
        <v>874</v>
      </c>
      <c r="W12" t="s">
        <v>880</v>
      </c>
      <c r="X12" t="s">
        <v>780</v>
      </c>
      <c r="Y12" t="s">
        <v>807</v>
      </c>
      <c r="AA12" s="31"/>
      <c r="AD12">
        <v>82</v>
      </c>
      <c r="AE12" t="s">
        <v>22</v>
      </c>
      <c r="AF12" s="31">
        <v>45627</v>
      </c>
      <c r="AG12" s="61">
        <v>0.8545949074074074</v>
      </c>
      <c r="AI12" t="s">
        <v>795</v>
      </c>
      <c r="AJ12" s="31">
        <v>45709</v>
      </c>
      <c r="AK12" s="61">
        <v>0.5092592592592593</v>
      </c>
      <c r="AL12" t="s">
        <v>858</v>
      </c>
      <c r="AM12" t="s">
        <v>881</v>
      </c>
      <c r="AO12" t="s">
        <v>876</v>
      </c>
      <c r="AQ12" t="s">
        <v>876</v>
      </c>
      <c r="AS12" s="31"/>
      <c r="AY12">
        <v>1</v>
      </c>
    </row>
    <row r="13" spans="1:51" x14ac:dyDescent="0.3">
      <c r="A13" t="s">
        <v>44</v>
      </c>
      <c r="B13">
        <v>98</v>
      </c>
      <c r="C13">
        <v>156</v>
      </c>
      <c r="D13">
        <v>816</v>
      </c>
      <c r="G13" t="s">
        <v>882</v>
      </c>
      <c r="H13">
        <v>3921447000272</v>
      </c>
      <c r="I13" t="s">
        <v>627</v>
      </c>
      <c r="J13" t="s">
        <v>883</v>
      </c>
      <c r="K13" t="s">
        <v>883</v>
      </c>
      <c r="L13">
        <v>11912422620</v>
      </c>
      <c r="N13" t="s">
        <v>885</v>
      </c>
      <c r="Q13" t="s">
        <v>778</v>
      </c>
      <c r="R13" t="s">
        <v>886</v>
      </c>
      <c r="S13" t="s">
        <v>790</v>
      </c>
      <c r="W13" t="s">
        <v>887</v>
      </c>
      <c r="X13" t="s">
        <v>780</v>
      </c>
      <c r="Y13" t="s">
        <v>816</v>
      </c>
      <c r="AA13" s="31"/>
      <c r="AB13">
        <v>532332</v>
      </c>
      <c r="AC13">
        <v>292918</v>
      </c>
      <c r="AD13">
        <v>110</v>
      </c>
      <c r="AE13" t="s">
        <v>22</v>
      </c>
      <c r="AF13" s="31">
        <v>45627</v>
      </c>
      <c r="AG13" s="61">
        <v>0.8545949074074074</v>
      </c>
      <c r="AI13" t="s">
        <v>818</v>
      </c>
      <c r="AJ13" s="31">
        <v>45737</v>
      </c>
      <c r="AK13" s="61">
        <v>0.45113425925925932</v>
      </c>
      <c r="AO13" t="s">
        <v>888</v>
      </c>
      <c r="AQ13" t="s">
        <v>889</v>
      </c>
      <c r="AR13" t="s">
        <v>890</v>
      </c>
      <c r="AS13" s="31"/>
      <c r="AY13">
        <v>1</v>
      </c>
    </row>
    <row r="14" spans="1:51" x14ac:dyDescent="0.3">
      <c r="A14" t="s">
        <v>44</v>
      </c>
      <c r="B14">
        <v>99</v>
      </c>
      <c r="C14">
        <v>157</v>
      </c>
      <c r="D14">
        <v>818</v>
      </c>
      <c r="G14" t="s">
        <v>891</v>
      </c>
      <c r="H14">
        <v>55773964000164</v>
      </c>
      <c r="I14" t="s">
        <v>892</v>
      </c>
      <c r="J14" t="s">
        <v>844</v>
      </c>
      <c r="K14" t="s">
        <v>844</v>
      </c>
      <c r="L14">
        <v>19974093075</v>
      </c>
      <c r="N14" t="s">
        <v>894</v>
      </c>
      <c r="Q14" t="s">
        <v>778</v>
      </c>
      <c r="R14" t="s">
        <v>895</v>
      </c>
      <c r="S14" t="s">
        <v>790</v>
      </c>
      <c r="W14" t="s">
        <v>896</v>
      </c>
      <c r="X14" t="s">
        <v>780</v>
      </c>
      <c r="Y14" t="s">
        <v>897</v>
      </c>
      <c r="AA14" s="31"/>
      <c r="AD14">
        <v>11</v>
      </c>
      <c r="AE14" t="s">
        <v>22</v>
      </c>
      <c r="AF14" s="31">
        <v>45627</v>
      </c>
      <c r="AG14" s="61">
        <v>0.8545949074074074</v>
      </c>
      <c r="AI14" t="s">
        <v>795</v>
      </c>
      <c r="AJ14" s="31">
        <v>45638</v>
      </c>
      <c r="AK14" s="61">
        <v>0.41818287037037039</v>
      </c>
      <c r="AL14" t="s">
        <v>898</v>
      </c>
      <c r="AM14" t="s">
        <v>899</v>
      </c>
      <c r="AS14" s="31"/>
      <c r="AY14">
        <v>1</v>
      </c>
    </row>
    <row r="15" spans="1:51" x14ac:dyDescent="0.3">
      <c r="A15" t="s">
        <v>44</v>
      </c>
      <c r="B15">
        <v>100</v>
      </c>
      <c r="C15">
        <v>156</v>
      </c>
      <c r="D15">
        <v>816</v>
      </c>
      <c r="G15" t="s">
        <v>900</v>
      </c>
      <c r="H15">
        <v>3921447000272</v>
      </c>
      <c r="I15" t="s">
        <v>627</v>
      </c>
      <c r="J15" t="s">
        <v>883</v>
      </c>
      <c r="K15" t="s">
        <v>883</v>
      </c>
      <c r="L15">
        <v>11912422620</v>
      </c>
      <c r="N15" t="s">
        <v>885</v>
      </c>
      <c r="Q15" t="s">
        <v>778</v>
      </c>
      <c r="R15" t="s">
        <v>886</v>
      </c>
      <c r="S15" t="s">
        <v>790</v>
      </c>
      <c r="W15" t="s">
        <v>901</v>
      </c>
      <c r="X15" t="s">
        <v>780</v>
      </c>
      <c r="Y15" t="s">
        <v>816</v>
      </c>
      <c r="AA15" s="31"/>
      <c r="AB15">
        <v>1600</v>
      </c>
      <c r="AC15">
        <v>256119</v>
      </c>
      <c r="AD15">
        <v>110</v>
      </c>
      <c r="AE15" t="s">
        <v>22</v>
      </c>
      <c r="AF15" s="31">
        <v>45627</v>
      </c>
      <c r="AG15" s="61">
        <v>0.8545949074074074</v>
      </c>
      <c r="AI15" t="s">
        <v>795</v>
      </c>
      <c r="AJ15" s="31">
        <v>45737</v>
      </c>
      <c r="AK15" s="61">
        <v>0.43179398148148151</v>
      </c>
      <c r="AL15" t="s">
        <v>796</v>
      </c>
      <c r="AM15" t="s">
        <v>902</v>
      </c>
      <c r="AO15" t="s">
        <v>888</v>
      </c>
      <c r="AQ15" t="s">
        <v>903</v>
      </c>
      <c r="AR15" t="s">
        <v>890</v>
      </c>
      <c r="AS15" s="31"/>
      <c r="AY15">
        <v>1</v>
      </c>
    </row>
    <row r="16" spans="1:51" x14ac:dyDescent="0.3">
      <c r="A16" t="s">
        <v>44</v>
      </c>
      <c r="B16">
        <v>101</v>
      </c>
      <c r="C16">
        <v>158</v>
      </c>
      <c r="D16">
        <v>821</v>
      </c>
      <c r="G16" t="s">
        <v>904</v>
      </c>
      <c r="H16">
        <v>4207648000194</v>
      </c>
      <c r="I16" t="s">
        <v>905</v>
      </c>
      <c r="J16" t="s">
        <v>906</v>
      </c>
      <c r="K16" t="s">
        <v>906</v>
      </c>
      <c r="L16">
        <v>11993739551</v>
      </c>
      <c r="N16" t="s">
        <v>908</v>
      </c>
      <c r="Q16" t="s">
        <v>778</v>
      </c>
      <c r="R16" t="s">
        <v>909</v>
      </c>
      <c r="S16" t="s">
        <v>790</v>
      </c>
      <c r="W16" t="s">
        <v>838</v>
      </c>
      <c r="X16" t="s">
        <v>780</v>
      </c>
      <c r="Y16" t="s">
        <v>807</v>
      </c>
      <c r="AA16" s="31">
        <v>45688</v>
      </c>
      <c r="AB16">
        <v>3928</v>
      </c>
      <c r="AD16">
        <v>51</v>
      </c>
      <c r="AE16" t="s">
        <v>22</v>
      </c>
      <c r="AF16" s="31">
        <v>45627</v>
      </c>
      <c r="AG16" s="61">
        <v>0.8545949074074074</v>
      </c>
      <c r="AI16" t="s">
        <v>795</v>
      </c>
      <c r="AJ16" s="31">
        <v>45678</v>
      </c>
      <c r="AK16" s="61">
        <v>0.49775462962962957</v>
      </c>
      <c r="AL16" t="s">
        <v>796</v>
      </c>
      <c r="AM16" t="s">
        <v>797</v>
      </c>
      <c r="AN16" t="s">
        <v>910</v>
      </c>
      <c r="AO16" t="s">
        <v>911</v>
      </c>
      <c r="AP16" t="s">
        <v>594</v>
      </c>
      <c r="AQ16" t="s">
        <v>911</v>
      </c>
      <c r="AS16" s="31"/>
      <c r="AY16">
        <v>1</v>
      </c>
    </row>
    <row r="17" spans="1:51" x14ac:dyDescent="0.3">
      <c r="A17" t="s">
        <v>44</v>
      </c>
      <c r="B17">
        <v>102</v>
      </c>
      <c r="C17">
        <v>159</v>
      </c>
      <c r="D17">
        <v>823</v>
      </c>
      <c r="G17" t="s">
        <v>912</v>
      </c>
      <c r="H17">
        <v>43526090000161</v>
      </c>
      <c r="I17" t="s">
        <v>913</v>
      </c>
      <c r="J17" t="s">
        <v>914</v>
      </c>
      <c r="K17" t="s">
        <v>914</v>
      </c>
      <c r="L17">
        <v>11972961489</v>
      </c>
      <c r="N17" t="s">
        <v>916</v>
      </c>
      <c r="Q17" t="s">
        <v>778</v>
      </c>
      <c r="R17" t="s">
        <v>909</v>
      </c>
      <c r="S17" t="s">
        <v>790</v>
      </c>
      <c r="W17" t="s">
        <v>896</v>
      </c>
      <c r="X17" t="s">
        <v>780</v>
      </c>
      <c r="Y17" t="s">
        <v>816</v>
      </c>
      <c r="AA17" s="31">
        <v>45632</v>
      </c>
      <c r="AB17">
        <v>49012</v>
      </c>
      <c r="AD17">
        <v>18</v>
      </c>
      <c r="AE17" t="s">
        <v>22</v>
      </c>
      <c r="AF17" s="31">
        <v>45627</v>
      </c>
      <c r="AG17" s="61">
        <v>0.8545949074074074</v>
      </c>
      <c r="AI17" t="s">
        <v>818</v>
      </c>
      <c r="AJ17" s="31">
        <v>45645</v>
      </c>
      <c r="AK17" s="61">
        <v>0.61006944444444444</v>
      </c>
      <c r="AO17" t="s">
        <v>917</v>
      </c>
      <c r="AQ17" t="s">
        <v>918</v>
      </c>
      <c r="AS17" s="31"/>
      <c r="AY17">
        <v>1</v>
      </c>
    </row>
    <row r="18" spans="1:51" x14ac:dyDescent="0.3">
      <c r="A18" t="s">
        <v>44</v>
      </c>
      <c r="B18">
        <v>103</v>
      </c>
      <c r="C18">
        <v>160</v>
      </c>
      <c r="D18">
        <v>825</v>
      </c>
      <c r="G18" t="s">
        <v>919</v>
      </c>
      <c r="H18">
        <v>4949701000122</v>
      </c>
      <c r="I18" t="s">
        <v>595</v>
      </c>
      <c r="J18" t="s">
        <v>920</v>
      </c>
      <c r="K18" t="s">
        <v>920</v>
      </c>
      <c r="L18">
        <v>11998367755</v>
      </c>
      <c r="N18" t="s">
        <v>922</v>
      </c>
      <c r="Q18" t="s">
        <v>778</v>
      </c>
      <c r="R18" t="s">
        <v>923</v>
      </c>
      <c r="S18" t="s">
        <v>790</v>
      </c>
      <c r="W18" t="s">
        <v>875</v>
      </c>
      <c r="X18" t="s">
        <v>780</v>
      </c>
      <c r="Y18" t="s">
        <v>816</v>
      </c>
      <c r="Z18" t="s">
        <v>817</v>
      </c>
      <c r="AA18" s="31">
        <v>45688</v>
      </c>
      <c r="AB18">
        <v>46854</v>
      </c>
      <c r="AC18">
        <v>348312</v>
      </c>
      <c r="AD18">
        <v>54</v>
      </c>
      <c r="AE18" t="s">
        <v>22</v>
      </c>
      <c r="AF18" s="31">
        <v>45627</v>
      </c>
      <c r="AG18" s="61">
        <v>0.8545949074074074</v>
      </c>
      <c r="AI18" t="s">
        <v>818</v>
      </c>
      <c r="AJ18" s="31">
        <v>45681</v>
      </c>
      <c r="AK18" s="61">
        <v>0.50578703703703709</v>
      </c>
      <c r="AO18" t="s">
        <v>924</v>
      </c>
      <c r="AQ18" t="s">
        <v>924</v>
      </c>
      <c r="AR18" t="s">
        <v>925</v>
      </c>
      <c r="AS18" s="31"/>
      <c r="AY18">
        <v>1</v>
      </c>
    </row>
    <row r="19" spans="1:51" x14ac:dyDescent="0.3">
      <c r="A19" t="s">
        <v>44</v>
      </c>
      <c r="B19">
        <v>104</v>
      </c>
      <c r="C19">
        <v>161</v>
      </c>
      <c r="D19">
        <v>843</v>
      </c>
      <c r="G19" t="s">
        <v>926</v>
      </c>
      <c r="H19">
        <v>2609426000172</v>
      </c>
      <c r="I19" t="s">
        <v>927</v>
      </c>
      <c r="J19" t="s">
        <v>928</v>
      </c>
      <c r="K19" t="s">
        <v>928</v>
      </c>
      <c r="L19">
        <v>47991450725</v>
      </c>
      <c r="N19" t="s">
        <v>930</v>
      </c>
      <c r="Q19" t="s">
        <v>778</v>
      </c>
      <c r="R19" t="s">
        <v>931</v>
      </c>
      <c r="S19" t="s">
        <v>932</v>
      </c>
      <c r="T19" t="s">
        <v>933</v>
      </c>
      <c r="W19" t="s">
        <v>896</v>
      </c>
      <c r="X19" t="s">
        <v>780</v>
      </c>
      <c r="Y19" t="s">
        <v>807</v>
      </c>
      <c r="AA19" s="31"/>
      <c r="AD19">
        <v>120</v>
      </c>
      <c r="AE19" t="s">
        <v>22</v>
      </c>
      <c r="AF19" s="31">
        <v>45627</v>
      </c>
      <c r="AG19" s="61">
        <v>0.8545949074074074</v>
      </c>
      <c r="AI19" t="s">
        <v>795</v>
      </c>
      <c r="AJ19" s="31">
        <v>45747</v>
      </c>
      <c r="AK19" s="61">
        <v>0.6567708333333333</v>
      </c>
      <c r="AL19" t="s">
        <v>934</v>
      </c>
      <c r="AM19" t="s">
        <v>935</v>
      </c>
      <c r="AO19" t="s">
        <v>936</v>
      </c>
      <c r="AQ19" t="s">
        <v>937</v>
      </c>
      <c r="AS19" s="31"/>
      <c r="AY19">
        <v>1</v>
      </c>
    </row>
    <row r="20" spans="1:51" x14ac:dyDescent="0.3">
      <c r="A20" t="s">
        <v>44</v>
      </c>
      <c r="B20">
        <v>105</v>
      </c>
      <c r="C20">
        <v>162</v>
      </c>
      <c r="D20">
        <v>829</v>
      </c>
      <c r="G20" t="s">
        <v>938</v>
      </c>
      <c r="H20">
        <v>17545517000169</v>
      </c>
      <c r="I20" t="s">
        <v>939</v>
      </c>
      <c r="J20" t="s">
        <v>940</v>
      </c>
      <c r="K20" t="s">
        <v>940</v>
      </c>
      <c r="L20">
        <v>19997264646</v>
      </c>
      <c r="N20" t="s">
        <v>942</v>
      </c>
      <c r="Q20" t="s">
        <v>778</v>
      </c>
      <c r="R20" t="s">
        <v>943</v>
      </c>
      <c r="S20" t="s">
        <v>790</v>
      </c>
      <c r="W20" t="s">
        <v>944</v>
      </c>
      <c r="X20" t="s">
        <v>780</v>
      </c>
      <c r="Y20" t="s">
        <v>807</v>
      </c>
      <c r="AA20" s="31"/>
      <c r="AD20">
        <v>58</v>
      </c>
      <c r="AE20" t="s">
        <v>22</v>
      </c>
      <c r="AF20" s="31">
        <v>45627</v>
      </c>
      <c r="AG20" s="61">
        <v>0.8545949074074074</v>
      </c>
      <c r="AI20" t="s">
        <v>795</v>
      </c>
      <c r="AJ20" s="31">
        <v>45685</v>
      </c>
      <c r="AK20" s="61">
        <v>0.6466898148148148</v>
      </c>
      <c r="AL20" t="s">
        <v>796</v>
      </c>
      <c r="AM20" t="s">
        <v>797</v>
      </c>
      <c r="AN20" t="s">
        <v>945</v>
      </c>
      <c r="AO20" t="s">
        <v>946</v>
      </c>
      <c r="AP20" t="s">
        <v>594</v>
      </c>
      <c r="AQ20" t="s">
        <v>947</v>
      </c>
      <c r="AS20" s="31"/>
      <c r="AY20">
        <v>1</v>
      </c>
    </row>
    <row r="21" spans="1:51" x14ac:dyDescent="0.3">
      <c r="A21" t="s">
        <v>44</v>
      </c>
      <c r="B21">
        <v>106</v>
      </c>
      <c r="C21">
        <v>162</v>
      </c>
      <c r="D21">
        <v>829</v>
      </c>
      <c r="G21" t="s">
        <v>948</v>
      </c>
      <c r="H21">
        <v>17545517000169</v>
      </c>
      <c r="I21" t="s">
        <v>939</v>
      </c>
      <c r="J21" t="s">
        <v>940</v>
      </c>
      <c r="K21" t="s">
        <v>940</v>
      </c>
      <c r="L21">
        <v>19997264646</v>
      </c>
      <c r="N21" t="s">
        <v>942</v>
      </c>
      <c r="Q21" t="s">
        <v>778</v>
      </c>
      <c r="R21" t="s">
        <v>943</v>
      </c>
      <c r="S21" t="s">
        <v>790</v>
      </c>
      <c r="W21" t="s">
        <v>949</v>
      </c>
      <c r="X21" t="s">
        <v>780</v>
      </c>
      <c r="Y21" t="s">
        <v>807</v>
      </c>
      <c r="AA21" s="31"/>
      <c r="AD21">
        <v>58</v>
      </c>
      <c r="AE21" t="s">
        <v>22</v>
      </c>
      <c r="AF21" s="31">
        <v>45627</v>
      </c>
      <c r="AG21" s="61">
        <v>0.8545949074074074</v>
      </c>
      <c r="AI21" t="s">
        <v>795</v>
      </c>
      <c r="AJ21" s="31">
        <v>45685</v>
      </c>
      <c r="AK21" s="61">
        <v>0.64710648148148153</v>
      </c>
      <c r="AL21" t="s">
        <v>796</v>
      </c>
      <c r="AM21" t="s">
        <v>797</v>
      </c>
      <c r="AN21" t="s">
        <v>945</v>
      </c>
      <c r="AO21" t="s">
        <v>946</v>
      </c>
      <c r="AP21" t="s">
        <v>594</v>
      </c>
      <c r="AQ21" t="s">
        <v>947</v>
      </c>
      <c r="AS21" s="31"/>
      <c r="AY21">
        <v>1</v>
      </c>
    </row>
    <row r="22" spans="1:51" x14ac:dyDescent="0.3">
      <c r="A22" t="s">
        <v>44</v>
      </c>
      <c r="B22">
        <v>107</v>
      </c>
      <c r="C22">
        <v>163</v>
      </c>
      <c r="D22">
        <v>832</v>
      </c>
      <c r="G22" t="s">
        <v>950</v>
      </c>
      <c r="H22">
        <v>5861238000125</v>
      </c>
      <c r="I22" t="s">
        <v>951</v>
      </c>
      <c r="J22" t="s">
        <v>952</v>
      </c>
      <c r="K22" t="s">
        <v>952</v>
      </c>
      <c r="L22">
        <v>6735659555</v>
      </c>
      <c r="N22" t="s">
        <v>954</v>
      </c>
      <c r="Q22" t="s">
        <v>778</v>
      </c>
      <c r="R22" t="s">
        <v>955</v>
      </c>
      <c r="S22" t="s">
        <v>956</v>
      </c>
      <c r="W22" t="s">
        <v>591</v>
      </c>
      <c r="X22" t="s">
        <v>780</v>
      </c>
      <c r="Y22" t="s">
        <v>807</v>
      </c>
      <c r="AA22" s="31"/>
      <c r="AD22">
        <v>58</v>
      </c>
      <c r="AE22" t="s">
        <v>22</v>
      </c>
      <c r="AF22" s="31">
        <v>45627</v>
      </c>
      <c r="AG22" s="61">
        <v>0.8545949074074074</v>
      </c>
      <c r="AI22" t="s">
        <v>795</v>
      </c>
      <c r="AJ22" s="31">
        <v>45685</v>
      </c>
      <c r="AK22" s="61">
        <v>0.64769675925925929</v>
      </c>
      <c r="AL22" t="s">
        <v>934</v>
      </c>
      <c r="AO22" t="s">
        <v>957</v>
      </c>
      <c r="AQ22" t="s">
        <v>957</v>
      </c>
      <c r="AS22" s="31"/>
      <c r="AY22">
        <v>1</v>
      </c>
    </row>
    <row r="23" spans="1:51" x14ac:dyDescent="0.3">
      <c r="A23" t="s">
        <v>44</v>
      </c>
      <c r="B23">
        <v>108</v>
      </c>
      <c r="C23">
        <v>160</v>
      </c>
      <c r="D23">
        <v>825</v>
      </c>
      <c r="G23" t="s">
        <v>958</v>
      </c>
      <c r="H23">
        <v>4949701000122</v>
      </c>
      <c r="I23" t="s">
        <v>595</v>
      </c>
      <c r="J23" t="s">
        <v>920</v>
      </c>
      <c r="K23" t="s">
        <v>920</v>
      </c>
      <c r="L23">
        <v>11998367755</v>
      </c>
      <c r="N23" t="s">
        <v>922</v>
      </c>
      <c r="Q23" t="s">
        <v>778</v>
      </c>
      <c r="R23" t="s">
        <v>923</v>
      </c>
      <c r="S23" t="s">
        <v>790</v>
      </c>
      <c r="W23" t="s">
        <v>880</v>
      </c>
      <c r="X23" t="s">
        <v>780</v>
      </c>
      <c r="Y23" t="s">
        <v>816</v>
      </c>
      <c r="Z23" t="s">
        <v>959</v>
      </c>
      <c r="AA23" s="31">
        <v>45688</v>
      </c>
      <c r="AB23">
        <v>1600</v>
      </c>
      <c r="AC23">
        <v>224819</v>
      </c>
      <c r="AD23">
        <v>60</v>
      </c>
      <c r="AE23" t="s">
        <v>22</v>
      </c>
      <c r="AF23" s="31">
        <v>45627</v>
      </c>
      <c r="AG23" s="61">
        <v>0.8545949074074074</v>
      </c>
      <c r="AI23" t="s">
        <v>818</v>
      </c>
      <c r="AJ23" s="31">
        <v>45687</v>
      </c>
      <c r="AK23" s="61">
        <v>0.39712962962962961</v>
      </c>
      <c r="AO23" t="s">
        <v>960</v>
      </c>
      <c r="AQ23" t="s">
        <v>961</v>
      </c>
      <c r="AR23" t="s">
        <v>925</v>
      </c>
      <c r="AS23" s="31"/>
      <c r="AY23">
        <v>1</v>
      </c>
    </row>
    <row r="24" spans="1:51" x14ac:dyDescent="0.3">
      <c r="A24" t="s">
        <v>44</v>
      </c>
      <c r="B24">
        <v>109</v>
      </c>
      <c r="C24">
        <v>164</v>
      </c>
      <c r="D24">
        <v>835</v>
      </c>
      <c r="G24" t="s">
        <v>962</v>
      </c>
      <c r="H24">
        <v>2531826000102</v>
      </c>
      <c r="I24" t="s">
        <v>963</v>
      </c>
      <c r="J24" t="s">
        <v>964</v>
      </c>
      <c r="K24" t="s">
        <v>964</v>
      </c>
      <c r="L24">
        <v>75991975073</v>
      </c>
      <c r="N24" t="s">
        <v>966</v>
      </c>
      <c r="Q24" t="s">
        <v>778</v>
      </c>
      <c r="R24" t="s">
        <v>873</v>
      </c>
      <c r="S24" t="s">
        <v>874</v>
      </c>
      <c r="W24" t="s">
        <v>896</v>
      </c>
      <c r="X24" t="s">
        <v>780</v>
      </c>
      <c r="Y24" t="s">
        <v>857</v>
      </c>
      <c r="AA24" s="31"/>
      <c r="AD24">
        <v>18</v>
      </c>
      <c r="AE24" t="s">
        <v>22</v>
      </c>
      <c r="AF24" s="31">
        <v>45627</v>
      </c>
      <c r="AG24" s="61">
        <v>0.8545949074074074</v>
      </c>
      <c r="AI24" t="s">
        <v>795</v>
      </c>
      <c r="AJ24" s="31">
        <v>45645</v>
      </c>
      <c r="AK24" s="61">
        <v>0.63103009259259257</v>
      </c>
      <c r="AL24" t="s">
        <v>898</v>
      </c>
      <c r="AM24" t="s">
        <v>967</v>
      </c>
      <c r="AO24" t="s">
        <v>799</v>
      </c>
      <c r="AQ24" t="s">
        <v>798</v>
      </c>
      <c r="AS24" s="31"/>
      <c r="AY24">
        <v>1</v>
      </c>
    </row>
    <row r="25" spans="1:51" x14ac:dyDescent="0.3">
      <c r="A25" t="s">
        <v>44</v>
      </c>
      <c r="B25">
        <v>110</v>
      </c>
      <c r="C25">
        <v>165</v>
      </c>
      <c r="D25">
        <v>836</v>
      </c>
      <c r="G25" t="s">
        <v>968</v>
      </c>
      <c r="H25">
        <v>29341068000116</v>
      </c>
      <c r="I25" t="s">
        <v>969</v>
      </c>
      <c r="J25" t="s">
        <v>969</v>
      </c>
      <c r="K25" t="s">
        <v>969</v>
      </c>
      <c r="L25">
        <v>62991561717</v>
      </c>
      <c r="N25" t="s">
        <v>971</v>
      </c>
      <c r="Q25" t="s">
        <v>778</v>
      </c>
      <c r="R25" t="s">
        <v>972</v>
      </c>
      <c r="S25" t="s">
        <v>973</v>
      </c>
      <c r="W25" t="s">
        <v>896</v>
      </c>
      <c r="X25" t="s">
        <v>780</v>
      </c>
      <c r="Y25" t="s">
        <v>793</v>
      </c>
      <c r="AA25" s="31"/>
      <c r="AD25">
        <v>57</v>
      </c>
      <c r="AE25" t="s">
        <v>22</v>
      </c>
      <c r="AF25" s="31">
        <v>45627</v>
      </c>
      <c r="AG25" s="61">
        <v>0.8545949074074074</v>
      </c>
      <c r="AI25" t="s">
        <v>795</v>
      </c>
      <c r="AJ25" s="31">
        <v>45684</v>
      </c>
      <c r="AK25" s="61">
        <v>0.4944560185185185</v>
      </c>
      <c r="AL25" t="s">
        <v>974</v>
      </c>
      <c r="AM25" t="s">
        <v>975</v>
      </c>
      <c r="AO25" t="s">
        <v>799</v>
      </c>
      <c r="AQ25" t="s">
        <v>798</v>
      </c>
      <c r="AS25" s="31"/>
      <c r="AY25">
        <v>1</v>
      </c>
    </row>
    <row r="26" spans="1:51" x14ac:dyDescent="0.3">
      <c r="A26" t="s">
        <v>44</v>
      </c>
      <c r="B26">
        <v>111</v>
      </c>
      <c r="C26">
        <v>165</v>
      </c>
      <c r="D26">
        <v>837</v>
      </c>
      <c r="G26" t="s">
        <v>976</v>
      </c>
      <c r="H26">
        <v>29341068000116</v>
      </c>
      <c r="I26" t="s">
        <v>969</v>
      </c>
      <c r="J26" t="s">
        <v>977</v>
      </c>
      <c r="K26" t="s">
        <v>977</v>
      </c>
      <c r="L26">
        <v>62991561717</v>
      </c>
      <c r="N26" t="s">
        <v>971</v>
      </c>
      <c r="Q26" t="s">
        <v>778</v>
      </c>
      <c r="R26" t="s">
        <v>972</v>
      </c>
      <c r="S26" t="s">
        <v>973</v>
      </c>
      <c r="W26" t="s">
        <v>901</v>
      </c>
      <c r="X26" t="s">
        <v>780</v>
      </c>
      <c r="Y26" t="s">
        <v>793</v>
      </c>
      <c r="AA26" s="31"/>
      <c r="AD26">
        <v>57</v>
      </c>
      <c r="AE26" t="s">
        <v>22</v>
      </c>
      <c r="AF26" s="31">
        <v>45627</v>
      </c>
      <c r="AG26" s="61">
        <v>0.8545949074074074</v>
      </c>
      <c r="AI26" t="s">
        <v>795</v>
      </c>
      <c r="AJ26" s="31">
        <v>45684</v>
      </c>
      <c r="AK26" s="61">
        <v>0.49512731481481481</v>
      </c>
      <c r="AL26" t="s">
        <v>974</v>
      </c>
      <c r="AM26" t="s">
        <v>975</v>
      </c>
      <c r="AO26" t="s">
        <v>799</v>
      </c>
      <c r="AQ26" t="s">
        <v>798</v>
      </c>
      <c r="AS26" s="31"/>
      <c r="AY26">
        <v>1</v>
      </c>
    </row>
    <row r="27" spans="1:51" x14ac:dyDescent="0.3">
      <c r="A27" t="s">
        <v>44</v>
      </c>
      <c r="B27">
        <v>113</v>
      </c>
      <c r="C27">
        <v>167</v>
      </c>
      <c r="D27">
        <v>842</v>
      </c>
      <c r="G27" t="s">
        <v>978</v>
      </c>
      <c r="H27">
        <v>7973104000121</v>
      </c>
      <c r="I27" t="s">
        <v>979</v>
      </c>
      <c r="J27" t="s">
        <v>980</v>
      </c>
      <c r="K27" t="s">
        <v>980</v>
      </c>
      <c r="L27">
        <v>47999949301</v>
      </c>
      <c r="N27" t="s">
        <v>982</v>
      </c>
      <c r="Q27" t="s">
        <v>778</v>
      </c>
      <c r="R27" t="s">
        <v>983</v>
      </c>
      <c r="S27" t="s">
        <v>932</v>
      </c>
      <c r="W27" t="s">
        <v>984</v>
      </c>
      <c r="X27" t="s">
        <v>780</v>
      </c>
      <c r="Y27" t="s">
        <v>807</v>
      </c>
      <c r="AA27" s="31"/>
      <c r="AD27">
        <v>81</v>
      </c>
      <c r="AE27" t="s">
        <v>22</v>
      </c>
      <c r="AF27" s="31">
        <v>45627</v>
      </c>
      <c r="AG27" s="61">
        <v>0.85460648148148144</v>
      </c>
      <c r="AI27" t="s">
        <v>795</v>
      </c>
      <c r="AJ27" s="31">
        <v>45708</v>
      </c>
      <c r="AK27" s="61">
        <v>0.47692129629629632</v>
      </c>
      <c r="AL27" t="s">
        <v>796</v>
      </c>
      <c r="AM27" t="s">
        <v>985</v>
      </c>
      <c r="AO27" t="s">
        <v>986</v>
      </c>
      <c r="AS27" s="31"/>
      <c r="AY27">
        <v>1</v>
      </c>
    </row>
    <row r="28" spans="1:51" x14ac:dyDescent="0.3">
      <c r="A28" t="s">
        <v>44</v>
      </c>
      <c r="B28">
        <v>114</v>
      </c>
      <c r="C28">
        <v>161</v>
      </c>
      <c r="D28">
        <v>827</v>
      </c>
      <c r="G28" t="s">
        <v>987</v>
      </c>
      <c r="H28">
        <v>2609426000172</v>
      </c>
      <c r="I28" t="s">
        <v>927</v>
      </c>
      <c r="J28" t="s">
        <v>928</v>
      </c>
      <c r="K28" t="s">
        <v>928</v>
      </c>
      <c r="L28">
        <v>47991450725</v>
      </c>
      <c r="N28" t="s">
        <v>930</v>
      </c>
      <c r="Q28" t="s">
        <v>778</v>
      </c>
      <c r="R28" t="s">
        <v>931</v>
      </c>
      <c r="S28" t="s">
        <v>932</v>
      </c>
      <c r="T28" t="s">
        <v>933</v>
      </c>
      <c r="W28" t="s">
        <v>901</v>
      </c>
      <c r="X28" t="s">
        <v>780</v>
      </c>
      <c r="Y28" t="s">
        <v>807</v>
      </c>
      <c r="AA28" s="31"/>
      <c r="AD28">
        <v>120</v>
      </c>
      <c r="AE28" t="s">
        <v>22</v>
      </c>
      <c r="AF28" s="31">
        <v>45627</v>
      </c>
      <c r="AG28" s="61">
        <v>0.85460648148148144</v>
      </c>
      <c r="AI28" t="s">
        <v>795</v>
      </c>
      <c r="AJ28" s="31">
        <v>45747</v>
      </c>
      <c r="AK28" s="61">
        <v>0.65732638888888884</v>
      </c>
      <c r="AL28" t="s">
        <v>934</v>
      </c>
      <c r="AM28" t="s">
        <v>988</v>
      </c>
      <c r="AO28" t="s">
        <v>936</v>
      </c>
      <c r="AQ28" t="s">
        <v>937</v>
      </c>
      <c r="AS28" s="31"/>
      <c r="AY28">
        <v>1</v>
      </c>
    </row>
    <row r="29" spans="1:51" x14ac:dyDescent="0.3">
      <c r="A29" t="s">
        <v>44</v>
      </c>
      <c r="B29">
        <v>116</v>
      </c>
      <c r="D29">
        <v>847</v>
      </c>
      <c r="G29" t="s">
        <v>989</v>
      </c>
      <c r="H29">
        <v>58151616000143</v>
      </c>
      <c r="J29" t="s">
        <v>990</v>
      </c>
      <c r="K29" t="s">
        <v>990</v>
      </c>
      <c r="L29">
        <v>19993040768</v>
      </c>
      <c r="N29" t="s">
        <v>992</v>
      </c>
      <c r="Q29" t="s">
        <v>778</v>
      </c>
      <c r="R29" t="s">
        <v>993</v>
      </c>
      <c r="S29" t="s">
        <v>932</v>
      </c>
      <c r="W29" t="s">
        <v>994</v>
      </c>
      <c r="X29" t="s">
        <v>780</v>
      </c>
      <c r="Y29" t="s">
        <v>816</v>
      </c>
      <c r="Z29" t="s">
        <v>995</v>
      </c>
      <c r="AA29" s="31">
        <v>45688</v>
      </c>
      <c r="AB29">
        <v>4736912</v>
      </c>
      <c r="AC29">
        <v>98326</v>
      </c>
      <c r="AD29">
        <v>53</v>
      </c>
      <c r="AE29" t="s">
        <v>44</v>
      </c>
      <c r="AF29" s="31">
        <v>45628</v>
      </c>
      <c r="AG29" s="61">
        <v>0.39987268518518521</v>
      </c>
      <c r="AI29" t="s">
        <v>818</v>
      </c>
      <c r="AJ29" s="31">
        <v>45681</v>
      </c>
      <c r="AK29" s="61">
        <v>0.47471064814814817</v>
      </c>
      <c r="AO29" t="s">
        <v>996</v>
      </c>
      <c r="AP29" t="s">
        <v>44</v>
      </c>
      <c r="AQ29" t="s">
        <v>997</v>
      </c>
      <c r="AS29" s="31"/>
      <c r="AY29">
        <v>1</v>
      </c>
    </row>
    <row r="30" spans="1:51" x14ac:dyDescent="0.3">
      <c r="A30" t="s">
        <v>44</v>
      </c>
      <c r="B30">
        <v>118</v>
      </c>
      <c r="D30">
        <v>851</v>
      </c>
      <c r="G30" t="s">
        <v>998</v>
      </c>
      <c r="H30">
        <v>64582232000188</v>
      </c>
      <c r="J30" t="s">
        <v>999</v>
      </c>
      <c r="K30" t="s">
        <v>999</v>
      </c>
      <c r="L30">
        <v>11981337574</v>
      </c>
      <c r="N30" t="s">
        <v>1001</v>
      </c>
      <c r="Q30" t="s">
        <v>778</v>
      </c>
      <c r="X30" t="s">
        <v>780</v>
      </c>
      <c r="Y30" t="s">
        <v>807</v>
      </c>
      <c r="AA30" s="31">
        <v>45688</v>
      </c>
      <c r="AB30">
        <v>202945</v>
      </c>
      <c r="AD30">
        <v>64</v>
      </c>
      <c r="AE30" t="s">
        <v>44</v>
      </c>
      <c r="AF30" s="31">
        <v>45630</v>
      </c>
      <c r="AG30" s="61">
        <v>0.49253472222222222</v>
      </c>
      <c r="AI30" t="s">
        <v>795</v>
      </c>
      <c r="AJ30" s="31">
        <v>45694</v>
      </c>
      <c r="AK30" s="61">
        <v>0.66188657407407403</v>
      </c>
      <c r="AL30" t="s">
        <v>858</v>
      </c>
      <c r="AM30" t="s">
        <v>1002</v>
      </c>
      <c r="AN30" t="s">
        <v>830</v>
      </c>
      <c r="AO30" t="s">
        <v>1003</v>
      </c>
      <c r="AP30" t="s">
        <v>44</v>
      </c>
      <c r="AQ30" t="s">
        <v>996</v>
      </c>
      <c r="AS30" s="31"/>
      <c r="AY30">
        <v>1</v>
      </c>
    </row>
    <row r="31" spans="1:51" x14ac:dyDescent="0.3">
      <c r="A31" t="s">
        <v>44</v>
      </c>
      <c r="B31">
        <v>122</v>
      </c>
      <c r="D31">
        <v>855</v>
      </c>
      <c r="E31" t="s">
        <v>1004</v>
      </c>
      <c r="G31" t="s">
        <v>1005</v>
      </c>
      <c r="H31">
        <v>8520654000158</v>
      </c>
      <c r="J31" t="s">
        <v>1006</v>
      </c>
      <c r="K31" t="s">
        <v>1006</v>
      </c>
      <c r="L31">
        <v>19999128074</v>
      </c>
      <c r="N31" t="s">
        <v>1008</v>
      </c>
      <c r="Q31" t="s">
        <v>778</v>
      </c>
      <c r="T31" t="s">
        <v>791</v>
      </c>
      <c r="W31" t="s">
        <v>1009</v>
      </c>
      <c r="X31" t="s">
        <v>780</v>
      </c>
      <c r="Y31" t="s">
        <v>816</v>
      </c>
      <c r="Z31" t="s">
        <v>817</v>
      </c>
      <c r="AA31" s="31">
        <v>46112</v>
      </c>
      <c r="AB31">
        <v>33920</v>
      </c>
      <c r="AC31">
        <v>37684</v>
      </c>
      <c r="AD31">
        <v>497</v>
      </c>
      <c r="AE31" t="s">
        <v>594</v>
      </c>
      <c r="AF31" s="31">
        <v>45630</v>
      </c>
      <c r="AG31" s="61">
        <v>0.61173611111111115</v>
      </c>
      <c r="AI31" t="s">
        <v>782</v>
      </c>
      <c r="AJ31" s="31"/>
      <c r="AK31" s="61"/>
      <c r="AN31" t="s">
        <v>997</v>
      </c>
      <c r="AO31" t="s">
        <v>1010</v>
      </c>
      <c r="AP31" t="s">
        <v>44</v>
      </c>
      <c r="AQ31" t="s">
        <v>1011</v>
      </c>
      <c r="AR31" t="s">
        <v>1010</v>
      </c>
      <c r="AS31" s="31">
        <v>46049</v>
      </c>
      <c r="AT31">
        <v>80</v>
      </c>
      <c r="AY31">
        <v>1</v>
      </c>
    </row>
    <row r="32" spans="1:51" x14ac:dyDescent="0.3">
      <c r="A32" t="s">
        <v>44</v>
      </c>
      <c r="B32">
        <v>125</v>
      </c>
      <c r="D32">
        <v>860</v>
      </c>
      <c r="G32" t="s">
        <v>1013</v>
      </c>
      <c r="J32" t="s">
        <v>1014</v>
      </c>
      <c r="K32" t="s">
        <v>1014</v>
      </c>
      <c r="L32">
        <v>19993040768</v>
      </c>
      <c r="N32" t="s">
        <v>992</v>
      </c>
      <c r="Q32" t="s">
        <v>778</v>
      </c>
      <c r="W32" t="s">
        <v>994</v>
      </c>
      <c r="X32" t="s">
        <v>780</v>
      </c>
      <c r="Y32" t="s">
        <v>816</v>
      </c>
      <c r="AA32" s="31">
        <v>45688</v>
      </c>
      <c r="AB32">
        <v>1600</v>
      </c>
      <c r="AC32">
        <v>157626</v>
      </c>
      <c r="AD32">
        <v>49</v>
      </c>
      <c r="AE32" t="s">
        <v>44</v>
      </c>
      <c r="AF32" s="31">
        <v>45632</v>
      </c>
      <c r="AG32" s="61">
        <v>0.68636574074074075</v>
      </c>
      <c r="AI32" t="s">
        <v>818</v>
      </c>
      <c r="AJ32" s="31">
        <v>45681</v>
      </c>
      <c r="AK32" s="61">
        <v>0.48759259259259258</v>
      </c>
      <c r="AO32" t="s">
        <v>996</v>
      </c>
      <c r="AQ32" t="s">
        <v>829</v>
      </c>
      <c r="AS32" s="31"/>
      <c r="AY32">
        <v>1</v>
      </c>
    </row>
    <row r="33" spans="1:51" x14ac:dyDescent="0.3">
      <c r="A33" t="s">
        <v>44</v>
      </c>
      <c r="B33">
        <v>127</v>
      </c>
      <c r="D33">
        <v>981</v>
      </c>
      <c r="G33" t="s">
        <v>1015</v>
      </c>
      <c r="H33">
        <v>48885921000105</v>
      </c>
      <c r="J33" t="s">
        <v>1016</v>
      </c>
      <c r="K33" t="s">
        <v>1016</v>
      </c>
      <c r="L33" t="s">
        <v>1017</v>
      </c>
      <c r="N33" t="s">
        <v>1018</v>
      </c>
      <c r="Q33" t="s">
        <v>778</v>
      </c>
      <c r="T33" t="s">
        <v>791</v>
      </c>
      <c r="X33" t="s">
        <v>780</v>
      </c>
      <c r="Y33" t="s">
        <v>816</v>
      </c>
      <c r="AA33" s="31">
        <v>45657</v>
      </c>
      <c r="AB33">
        <v>450</v>
      </c>
      <c r="AD33">
        <v>2</v>
      </c>
      <c r="AE33" t="s">
        <v>44</v>
      </c>
      <c r="AF33" s="31">
        <v>45636</v>
      </c>
      <c r="AG33" s="61">
        <v>0.44290509259259259</v>
      </c>
      <c r="AI33" t="s">
        <v>818</v>
      </c>
      <c r="AJ33" s="31">
        <v>45638</v>
      </c>
      <c r="AK33" s="61">
        <v>0.67709490740740741</v>
      </c>
      <c r="AN33" t="s">
        <v>1019</v>
      </c>
      <c r="AO33" t="s">
        <v>1020</v>
      </c>
      <c r="AP33" t="s">
        <v>44</v>
      </c>
      <c r="AQ33" t="s">
        <v>996</v>
      </c>
      <c r="AR33" t="s">
        <v>1021</v>
      </c>
      <c r="AS33" s="31"/>
      <c r="AY33">
        <v>1</v>
      </c>
    </row>
    <row r="34" spans="1:51" x14ac:dyDescent="0.3">
      <c r="A34" t="s">
        <v>44</v>
      </c>
      <c r="B34">
        <v>130</v>
      </c>
      <c r="D34">
        <v>987</v>
      </c>
      <c r="G34" t="s">
        <v>1022</v>
      </c>
      <c r="H34">
        <v>5691820000190</v>
      </c>
      <c r="J34" t="s">
        <v>1023</v>
      </c>
      <c r="K34" t="s">
        <v>1023</v>
      </c>
      <c r="L34">
        <v>54996596274</v>
      </c>
      <c r="N34" t="s">
        <v>1025</v>
      </c>
      <c r="Q34" t="s">
        <v>778</v>
      </c>
      <c r="R34" t="s">
        <v>1026</v>
      </c>
      <c r="S34" t="s">
        <v>1027</v>
      </c>
      <c r="W34" t="s">
        <v>994</v>
      </c>
      <c r="X34" t="s">
        <v>780</v>
      </c>
      <c r="Y34" t="s">
        <v>816</v>
      </c>
      <c r="AA34" s="31">
        <v>45688</v>
      </c>
      <c r="AB34">
        <v>0</v>
      </c>
      <c r="AC34">
        <v>3564</v>
      </c>
      <c r="AD34">
        <v>43</v>
      </c>
      <c r="AE34" t="s">
        <v>44</v>
      </c>
      <c r="AF34" s="31">
        <v>45638</v>
      </c>
      <c r="AG34" s="61">
        <v>0.38504629629629628</v>
      </c>
      <c r="AI34" t="s">
        <v>818</v>
      </c>
      <c r="AJ34" s="31">
        <v>45681</v>
      </c>
      <c r="AK34" s="61">
        <v>0.46354166666666669</v>
      </c>
      <c r="AN34" t="s">
        <v>821</v>
      </c>
      <c r="AO34" t="s">
        <v>821</v>
      </c>
      <c r="AP34" t="s">
        <v>44</v>
      </c>
      <c r="AQ34" t="s">
        <v>821</v>
      </c>
      <c r="AS34" s="31"/>
      <c r="AY34">
        <v>1</v>
      </c>
    </row>
    <row r="35" spans="1:51" x14ac:dyDescent="0.3">
      <c r="A35" t="s">
        <v>44</v>
      </c>
      <c r="B35">
        <v>131</v>
      </c>
      <c r="D35">
        <v>990</v>
      </c>
      <c r="G35" t="s">
        <v>1028</v>
      </c>
      <c r="J35" t="s">
        <v>1029</v>
      </c>
      <c r="K35" t="s">
        <v>1029</v>
      </c>
      <c r="L35">
        <v>16997486376</v>
      </c>
      <c r="N35" t="s">
        <v>1031</v>
      </c>
      <c r="Q35" t="s">
        <v>778</v>
      </c>
      <c r="X35" t="s">
        <v>780</v>
      </c>
      <c r="Y35" t="s">
        <v>857</v>
      </c>
      <c r="AA35" s="31"/>
      <c r="AB35">
        <v>37964</v>
      </c>
      <c r="AD35">
        <v>7</v>
      </c>
      <c r="AE35" t="s">
        <v>44</v>
      </c>
      <c r="AF35" s="31">
        <v>45638</v>
      </c>
      <c r="AG35" s="61">
        <v>0.45196759259259262</v>
      </c>
      <c r="AI35" t="s">
        <v>795</v>
      </c>
      <c r="AJ35" s="31">
        <v>45645</v>
      </c>
      <c r="AK35" s="61">
        <v>0.40232638888888889</v>
      </c>
      <c r="AL35" t="s">
        <v>974</v>
      </c>
      <c r="AM35" t="s">
        <v>1032</v>
      </c>
      <c r="AO35" t="s">
        <v>1033</v>
      </c>
      <c r="AQ35" t="s">
        <v>1021</v>
      </c>
      <c r="AR35" t="s">
        <v>1033</v>
      </c>
      <c r="AS35" s="31"/>
      <c r="AY35">
        <v>1</v>
      </c>
    </row>
    <row r="36" spans="1:51" x14ac:dyDescent="0.3">
      <c r="A36" t="s">
        <v>44</v>
      </c>
      <c r="B36">
        <v>135</v>
      </c>
      <c r="D36">
        <v>996</v>
      </c>
      <c r="G36" t="s">
        <v>1034</v>
      </c>
      <c r="J36" t="s">
        <v>1035</v>
      </c>
      <c r="K36" t="s">
        <v>1035</v>
      </c>
      <c r="L36">
        <v>11988839646</v>
      </c>
      <c r="N36" t="s">
        <v>1037</v>
      </c>
      <c r="Q36" t="s">
        <v>778</v>
      </c>
      <c r="W36" t="s">
        <v>994</v>
      </c>
      <c r="X36" t="s">
        <v>780</v>
      </c>
      <c r="Y36" t="s">
        <v>816</v>
      </c>
      <c r="AA36" s="31"/>
      <c r="AB36">
        <v>28832</v>
      </c>
      <c r="AC36">
        <v>110248</v>
      </c>
      <c r="AD36">
        <v>83</v>
      </c>
      <c r="AE36" t="s">
        <v>44</v>
      </c>
      <c r="AF36" s="31">
        <v>45638</v>
      </c>
      <c r="AG36" s="61">
        <v>0.72285879629629635</v>
      </c>
      <c r="AI36" t="s">
        <v>795</v>
      </c>
      <c r="AJ36" s="31">
        <v>45721</v>
      </c>
      <c r="AK36" s="61">
        <v>0.46725694444444438</v>
      </c>
      <c r="AL36" t="s">
        <v>796</v>
      </c>
      <c r="AM36" t="s">
        <v>1038</v>
      </c>
      <c r="AO36" t="s">
        <v>1039</v>
      </c>
      <c r="AS36" s="31"/>
      <c r="AY36">
        <v>1</v>
      </c>
    </row>
    <row r="37" spans="1:51" x14ac:dyDescent="0.3">
      <c r="A37" t="s">
        <v>44</v>
      </c>
      <c r="B37">
        <v>138</v>
      </c>
      <c r="D37">
        <v>1103</v>
      </c>
      <c r="G37" t="s">
        <v>1040</v>
      </c>
      <c r="H37">
        <v>54734384000103</v>
      </c>
      <c r="J37" t="s">
        <v>1041</v>
      </c>
      <c r="K37" t="s">
        <v>1041</v>
      </c>
      <c r="L37">
        <v>17997793113</v>
      </c>
      <c r="N37" t="s">
        <v>1043</v>
      </c>
      <c r="Q37" t="s">
        <v>778</v>
      </c>
      <c r="W37" t="s">
        <v>994</v>
      </c>
      <c r="X37" t="s">
        <v>780</v>
      </c>
      <c r="Y37" t="s">
        <v>807</v>
      </c>
      <c r="AA37" s="31"/>
      <c r="AB37">
        <v>49588</v>
      </c>
      <c r="AD37">
        <v>23</v>
      </c>
      <c r="AE37" t="s">
        <v>44</v>
      </c>
      <c r="AF37" s="31">
        <v>45643</v>
      </c>
      <c r="AG37" s="61">
        <v>0.51571759259259264</v>
      </c>
      <c r="AI37" t="s">
        <v>795</v>
      </c>
      <c r="AJ37" s="31">
        <v>45666</v>
      </c>
      <c r="AK37" s="61">
        <v>0.6648263888888889</v>
      </c>
      <c r="AL37" t="s">
        <v>796</v>
      </c>
      <c r="AM37" t="s">
        <v>1044</v>
      </c>
      <c r="AO37" t="s">
        <v>1045</v>
      </c>
      <c r="AQ37" t="s">
        <v>1033</v>
      </c>
      <c r="AS37" s="31"/>
      <c r="AY37">
        <v>1</v>
      </c>
    </row>
    <row r="38" spans="1:51" x14ac:dyDescent="0.3">
      <c r="A38" t="s">
        <v>44</v>
      </c>
      <c r="B38">
        <v>139</v>
      </c>
      <c r="D38">
        <v>1113</v>
      </c>
      <c r="G38" t="s">
        <v>1046</v>
      </c>
      <c r="J38" t="s">
        <v>1047</v>
      </c>
      <c r="K38" t="s">
        <v>1047</v>
      </c>
      <c r="L38">
        <v>11991297401</v>
      </c>
      <c r="N38" t="s">
        <v>1049</v>
      </c>
      <c r="Q38" t="s">
        <v>778</v>
      </c>
      <c r="X38" t="s">
        <v>780</v>
      </c>
      <c r="Y38" t="s">
        <v>793</v>
      </c>
      <c r="AA38" s="31">
        <v>45688</v>
      </c>
      <c r="AB38">
        <v>168592</v>
      </c>
      <c r="AC38">
        <v>6426</v>
      </c>
      <c r="AD38">
        <v>40</v>
      </c>
      <c r="AE38" t="s">
        <v>44</v>
      </c>
      <c r="AF38" s="31">
        <v>45645</v>
      </c>
      <c r="AG38" s="61">
        <v>0.40438657407407408</v>
      </c>
      <c r="AI38" t="s">
        <v>795</v>
      </c>
      <c r="AJ38" s="31">
        <v>45685</v>
      </c>
      <c r="AK38" s="61">
        <v>0.60306712962962961</v>
      </c>
      <c r="AL38" t="s">
        <v>934</v>
      </c>
      <c r="AM38" t="s">
        <v>1050</v>
      </c>
      <c r="AN38" t="s">
        <v>1003</v>
      </c>
      <c r="AO38" t="s">
        <v>1003</v>
      </c>
      <c r="AQ38" t="s">
        <v>1003</v>
      </c>
      <c r="AS38" s="31"/>
      <c r="AY38">
        <v>1</v>
      </c>
    </row>
    <row r="39" spans="1:51" x14ac:dyDescent="0.3">
      <c r="A39" t="s">
        <v>44</v>
      </c>
      <c r="B39">
        <v>140</v>
      </c>
      <c r="D39">
        <v>1114</v>
      </c>
      <c r="G39" t="s">
        <v>1051</v>
      </c>
      <c r="J39" t="s">
        <v>1052</v>
      </c>
      <c r="K39" t="s">
        <v>1052</v>
      </c>
      <c r="L39">
        <v>17997793113</v>
      </c>
      <c r="N39" t="s">
        <v>1043</v>
      </c>
      <c r="Q39" t="s">
        <v>778</v>
      </c>
      <c r="X39" t="s">
        <v>780</v>
      </c>
      <c r="Y39" t="s">
        <v>816</v>
      </c>
      <c r="Z39" t="s">
        <v>995</v>
      </c>
      <c r="AA39" s="31">
        <v>45688</v>
      </c>
      <c r="AB39">
        <v>4587892</v>
      </c>
      <c r="AC39">
        <v>628168</v>
      </c>
      <c r="AD39">
        <v>36</v>
      </c>
      <c r="AE39" t="s">
        <v>44</v>
      </c>
      <c r="AF39" s="31">
        <v>45645</v>
      </c>
      <c r="AG39" s="61">
        <v>0.41775462962962961</v>
      </c>
      <c r="AI39" t="s">
        <v>818</v>
      </c>
      <c r="AJ39" s="31">
        <v>45681</v>
      </c>
      <c r="AK39" s="61">
        <v>0.51848379629629626</v>
      </c>
      <c r="AO39" t="s">
        <v>1053</v>
      </c>
      <c r="AQ39" t="s">
        <v>1054</v>
      </c>
      <c r="AR39" t="s">
        <v>1055</v>
      </c>
      <c r="AS39" s="31"/>
      <c r="AY39">
        <v>1</v>
      </c>
    </row>
    <row r="40" spans="1:51" x14ac:dyDescent="0.3">
      <c r="A40" t="s">
        <v>44</v>
      </c>
      <c r="B40">
        <v>141</v>
      </c>
      <c r="C40">
        <v>159</v>
      </c>
      <c r="D40">
        <v>1115</v>
      </c>
      <c r="G40" t="s">
        <v>1056</v>
      </c>
      <c r="H40">
        <v>43526090000161</v>
      </c>
      <c r="I40" t="s">
        <v>913</v>
      </c>
      <c r="J40" t="s">
        <v>1057</v>
      </c>
      <c r="K40" t="s">
        <v>1057</v>
      </c>
      <c r="L40">
        <v>11972961489</v>
      </c>
      <c r="N40" t="s">
        <v>916</v>
      </c>
      <c r="Q40" t="s">
        <v>778</v>
      </c>
      <c r="R40" t="s">
        <v>909</v>
      </c>
      <c r="S40" t="s">
        <v>790</v>
      </c>
      <c r="X40" t="s">
        <v>780</v>
      </c>
      <c r="Y40" t="s">
        <v>816</v>
      </c>
      <c r="Z40" t="s">
        <v>959</v>
      </c>
      <c r="AA40" s="31">
        <v>45688</v>
      </c>
      <c r="AB40">
        <v>1600</v>
      </c>
      <c r="AC40">
        <v>2500</v>
      </c>
      <c r="AD40">
        <v>42</v>
      </c>
      <c r="AE40" t="s">
        <v>44</v>
      </c>
      <c r="AF40" s="31">
        <v>45645</v>
      </c>
      <c r="AG40" s="61">
        <v>0.61128472222222219</v>
      </c>
      <c r="AI40" t="s">
        <v>818</v>
      </c>
      <c r="AJ40" s="31">
        <v>45685</v>
      </c>
      <c r="AK40" s="61">
        <v>0.68137731481481478</v>
      </c>
      <c r="AM40">
        <v>0</v>
      </c>
      <c r="AN40" t="s">
        <v>1039</v>
      </c>
      <c r="AO40" t="s">
        <v>1059</v>
      </c>
      <c r="AS40" s="31"/>
      <c r="AY40">
        <v>1</v>
      </c>
    </row>
    <row r="41" spans="1:51" x14ac:dyDescent="0.3">
      <c r="A41" t="s">
        <v>44</v>
      </c>
      <c r="B41">
        <v>142</v>
      </c>
      <c r="D41">
        <v>1117</v>
      </c>
      <c r="G41" t="s">
        <v>1060</v>
      </c>
      <c r="J41" t="s">
        <v>1061</v>
      </c>
      <c r="K41" t="s">
        <v>1061</v>
      </c>
      <c r="L41">
        <v>17997793113</v>
      </c>
      <c r="N41" t="s">
        <v>1043</v>
      </c>
      <c r="Q41" t="s">
        <v>778</v>
      </c>
      <c r="X41" t="s">
        <v>780</v>
      </c>
      <c r="Y41" t="s">
        <v>816</v>
      </c>
      <c r="AA41" s="31">
        <v>45688</v>
      </c>
      <c r="AB41">
        <v>1600</v>
      </c>
      <c r="AC41">
        <v>243721</v>
      </c>
      <c r="AD41">
        <v>35</v>
      </c>
      <c r="AE41" t="s">
        <v>44</v>
      </c>
      <c r="AF41" s="31">
        <v>45646</v>
      </c>
      <c r="AG41" s="61">
        <v>0.60428240740740746</v>
      </c>
      <c r="AI41" t="s">
        <v>818</v>
      </c>
      <c r="AJ41" s="31">
        <v>45681</v>
      </c>
      <c r="AK41" s="61">
        <v>0.58530092592592597</v>
      </c>
      <c r="AO41" t="s">
        <v>1053</v>
      </c>
      <c r="AQ41" t="s">
        <v>1054</v>
      </c>
      <c r="AR41" t="s">
        <v>1055</v>
      </c>
      <c r="AS41" s="31"/>
      <c r="AY41">
        <v>1</v>
      </c>
    </row>
    <row r="42" spans="1:51" x14ac:dyDescent="0.3">
      <c r="A42" t="s">
        <v>22</v>
      </c>
      <c r="B42">
        <v>144</v>
      </c>
      <c r="D42">
        <v>181</v>
      </c>
      <c r="E42" t="s">
        <v>1062</v>
      </c>
      <c r="G42" t="s">
        <v>1063</v>
      </c>
      <c r="H42">
        <v>27805256000122</v>
      </c>
      <c r="J42" t="s">
        <v>1064</v>
      </c>
      <c r="K42" t="s">
        <v>1064</v>
      </c>
      <c r="L42" t="s">
        <v>1065</v>
      </c>
      <c r="Q42" t="s">
        <v>778</v>
      </c>
      <c r="R42" t="s">
        <v>1066</v>
      </c>
      <c r="S42" t="s">
        <v>1067</v>
      </c>
      <c r="T42" t="s">
        <v>1068</v>
      </c>
      <c r="W42" t="s">
        <v>1069</v>
      </c>
      <c r="X42" t="s">
        <v>780</v>
      </c>
      <c r="Y42" t="s">
        <v>816</v>
      </c>
      <c r="Z42" t="s">
        <v>817</v>
      </c>
      <c r="AA42" s="31"/>
      <c r="AB42">
        <v>146772</v>
      </c>
      <c r="AC42">
        <v>1102804</v>
      </c>
      <c r="AD42">
        <v>154</v>
      </c>
      <c r="AE42" t="s">
        <v>22</v>
      </c>
      <c r="AF42" s="31">
        <v>45664</v>
      </c>
      <c r="AG42" s="61">
        <v>0.70750000000000002</v>
      </c>
      <c r="AI42" t="s">
        <v>818</v>
      </c>
      <c r="AJ42" s="31">
        <v>45686</v>
      </c>
      <c r="AK42" s="61">
        <v>4.5011574074074072E-2</v>
      </c>
      <c r="AM42">
        <v>0</v>
      </c>
      <c r="AO42" t="s">
        <v>1070</v>
      </c>
      <c r="AP42" t="s">
        <v>22</v>
      </c>
      <c r="AQ42" t="s">
        <v>1070</v>
      </c>
      <c r="AS42" s="31"/>
      <c r="AY42">
        <v>1</v>
      </c>
    </row>
    <row r="43" spans="1:51" x14ac:dyDescent="0.3">
      <c r="A43" t="s">
        <v>22</v>
      </c>
      <c r="B43">
        <v>145</v>
      </c>
      <c r="D43">
        <v>12</v>
      </c>
      <c r="E43" t="s">
        <v>1071</v>
      </c>
      <c r="F43" t="s">
        <v>1072</v>
      </c>
      <c r="G43" t="s">
        <v>1073</v>
      </c>
      <c r="H43">
        <v>22752240000185</v>
      </c>
      <c r="J43" t="s">
        <v>1074</v>
      </c>
      <c r="K43" t="s">
        <v>1074</v>
      </c>
      <c r="L43" t="s">
        <v>1075</v>
      </c>
      <c r="N43" t="s">
        <v>1076</v>
      </c>
      <c r="Q43" t="s">
        <v>778</v>
      </c>
      <c r="R43" t="s">
        <v>1077</v>
      </c>
      <c r="T43" t="s">
        <v>791</v>
      </c>
      <c r="W43" t="s">
        <v>806</v>
      </c>
      <c r="X43" t="s">
        <v>780</v>
      </c>
      <c r="Y43" t="s">
        <v>807</v>
      </c>
      <c r="AA43" s="31"/>
      <c r="AD43">
        <v>38</v>
      </c>
      <c r="AE43" t="s">
        <v>22</v>
      </c>
      <c r="AF43" s="31">
        <v>45664</v>
      </c>
      <c r="AG43" s="61">
        <v>0.73380787037037032</v>
      </c>
      <c r="AI43" t="s">
        <v>795</v>
      </c>
      <c r="AJ43" s="31">
        <v>45702</v>
      </c>
      <c r="AK43" s="61">
        <v>0.64967592592592593</v>
      </c>
      <c r="AL43" t="s">
        <v>796</v>
      </c>
      <c r="AQ43" t="s">
        <v>960</v>
      </c>
      <c r="AS43" s="31"/>
      <c r="AY43">
        <v>1</v>
      </c>
    </row>
    <row r="44" spans="1:51" x14ac:dyDescent="0.3">
      <c r="A44" t="s">
        <v>44</v>
      </c>
      <c r="B44">
        <v>148</v>
      </c>
      <c r="D44">
        <v>270</v>
      </c>
      <c r="E44" t="s">
        <v>1078</v>
      </c>
      <c r="F44" t="s">
        <v>1079</v>
      </c>
      <c r="G44" t="s">
        <v>1080</v>
      </c>
      <c r="H44">
        <v>45723541000186</v>
      </c>
      <c r="J44" t="s">
        <v>1081</v>
      </c>
      <c r="K44" t="s">
        <v>1081</v>
      </c>
      <c r="L44">
        <v>1147188700</v>
      </c>
      <c r="N44" t="s">
        <v>1083</v>
      </c>
      <c r="P44" t="s">
        <v>1084</v>
      </c>
      <c r="Q44" t="s">
        <v>778</v>
      </c>
      <c r="R44" t="s">
        <v>1085</v>
      </c>
      <c r="S44" t="s">
        <v>790</v>
      </c>
      <c r="T44" t="s">
        <v>791</v>
      </c>
      <c r="W44" t="s">
        <v>1086</v>
      </c>
      <c r="X44" t="s">
        <v>780</v>
      </c>
      <c r="Y44" t="s">
        <v>807</v>
      </c>
      <c r="AA44" s="31"/>
      <c r="AB44">
        <v>16960</v>
      </c>
      <c r="AC44">
        <v>4714</v>
      </c>
      <c r="AD44">
        <v>72</v>
      </c>
      <c r="AE44" t="s">
        <v>794</v>
      </c>
      <c r="AF44" s="31">
        <v>45665</v>
      </c>
      <c r="AG44" s="61">
        <v>0.46423611111111113</v>
      </c>
      <c r="AI44" t="s">
        <v>795</v>
      </c>
      <c r="AJ44" s="31">
        <v>45737</v>
      </c>
      <c r="AK44" s="61">
        <v>0.43061342592592589</v>
      </c>
      <c r="AL44" t="s">
        <v>858</v>
      </c>
      <c r="AM44" t="s">
        <v>1087</v>
      </c>
      <c r="AO44" t="s">
        <v>1088</v>
      </c>
      <c r="AP44" t="s">
        <v>794</v>
      </c>
      <c r="AQ44" t="s">
        <v>1089</v>
      </c>
      <c r="AR44" t="s">
        <v>1088</v>
      </c>
      <c r="AS44" s="31"/>
      <c r="AY44">
        <v>1</v>
      </c>
    </row>
    <row r="45" spans="1:51" x14ac:dyDescent="0.3">
      <c r="A45" t="s">
        <v>44</v>
      </c>
      <c r="B45">
        <v>151</v>
      </c>
      <c r="D45">
        <v>1540</v>
      </c>
      <c r="G45" t="s">
        <v>1090</v>
      </c>
      <c r="H45">
        <v>21733807000103</v>
      </c>
      <c r="J45" t="s">
        <v>1091</v>
      </c>
      <c r="K45" t="s">
        <v>1091</v>
      </c>
      <c r="L45" t="s">
        <v>1092</v>
      </c>
      <c r="N45" t="s">
        <v>1093</v>
      </c>
      <c r="Q45" t="s">
        <v>778</v>
      </c>
      <c r="R45" t="s">
        <v>1094</v>
      </c>
      <c r="S45" t="s">
        <v>790</v>
      </c>
      <c r="X45" t="s">
        <v>780</v>
      </c>
      <c r="Y45" t="s">
        <v>807</v>
      </c>
      <c r="AA45" s="31"/>
      <c r="AB45">
        <v>4830624</v>
      </c>
      <c r="AC45">
        <v>384549</v>
      </c>
      <c r="AD45">
        <v>43</v>
      </c>
      <c r="AE45" t="s">
        <v>44</v>
      </c>
      <c r="AF45" s="31">
        <v>45666</v>
      </c>
      <c r="AG45" s="61">
        <v>0.66763888888888889</v>
      </c>
      <c r="AI45" t="s">
        <v>795</v>
      </c>
      <c r="AJ45" s="31">
        <v>45709</v>
      </c>
      <c r="AK45" s="61">
        <v>0.60252314814814811</v>
      </c>
      <c r="AL45" t="s">
        <v>934</v>
      </c>
      <c r="AM45" t="s">
        <v>1095</v>
      </c>
      <c r="AO45" t="s">
        <v>1088</v>
      </c>
      <c r="AQ45" t="s">
        <v>1096</v>
      </c>
      <c r="AR45" t="s">
        <v>1039</v>
      </c>
      <c r="AS45" s="31"/>
      <c r="AY45">
        <v>1</v>
      </c>
    </row>
    <row r="46" spans="1:51" x14ac:dyDescent="0.3">
      <c r="A46" t="s">
        <v>22</v>
      </c>
      <c r="B46">
        <v>154</v>
      </c>
      <c r="C46">
        <v>177</v>
      </c>
      <c r="D46">
        <v>1546</v>
      </c>
      <c r="G46" t="s">
        <v>1097</v>
      </c>
      <c r="H46">
        <v>58636773000149</v>
      </c>
      <c r="I46" t="s">
        <v>1098</v>
      </c>
      <c r="J46" t="s">
        <v>1099</v>
      </c>
      <c r="K46" t="s">
        <v>1099</v>
      </c>
      <c r="L46" t="s">
        <v>1100</v>
      </c>
      <c r="N46" t="s">
        <v>1101</v>
      </c>
      <c r="O46" t="s">
        <v>1102</v>
      </c>
      <c r="Q46" t="s">
        <v>1103</v>
      </c>
      <c r="R46" t="s">
        <v>1104</v>
      </c>
      <c r="S46" t="s">
        <v>1105</v>
      </c>
      <c r="T46" t="s">
        <v>814</v>
      </c>
      <c r="U46" t="s">
        <v>814</v>
      </c>
      <c r="W46" t="s">
        <v>1106</v>
      </c>
      <c r="X46" t="s">
        <v>780</v>
      </c>
      <c r="Y46" t="s">
        <v>807</v>
      </c>
      <c r="Z46" t="s">
        <v>817</v>
      </c>
      <c r="AA46" s="31"/>
      <c r="AB46">
        <v>5689656</v>
      </c>
      <c r="AC46">
        <v>259936</v>
      </c>
      <c r="AD46">
        <v>151</v>
      </c>
      <c r="AE46" t="s">
        <v>794</v>
      </c>
      <c r="AF46" s="31">
        <v>45667</v>
      </c>
      <c r="AG46" s="61">
        <v>0.50881944444444449</v>
      </c>
      <c r="AI46" t="s">
        <v>795</v>
      </c>
      <c r="AJ46" s="31">
        <v>45818</v>
      </c>
      <c r="AK46" s="61">
        <v>0.61144675925925929</v>
      </c>
      <c r="AL46" t="s">
        <v>858</v>
      </c>
      <c r="AN46" t="s">
        <v>1107</v>
      </c>
      <c r="AO46" t="s">
        <v>960</v>
      </c>
      <c r="AP46" t="s">
        <v>22</v>
      </c>
      <c r="AQ46" t="s">
        <v>1107</v>
      </c>
      <c r="AS46" s="31"/>
      <c r="AY46">
        <v>1</v>
      </c>
    </row>
    <row r="47" spans="1:51" x14ac:dyDescent="0.3">
      <c r="A47" t="s">
        <v>22</v>
      </c>
      <c r="B47">
        <v>155</v>
      </c>
      <c r="D47">
        <v>1547</v>
      </c>
      <c r="G47" t="s">
        <v>1108</v>
      </c>
      <c r="J47" t="s">
        <v>1109</v>
      </c>
      <c r="K47" t="s">
        <v>1109</v>
      </c>
      <c r="L47">
        <v>21995977179</v>
      </c>
      <c r="N47" t="s">
        <v>1111</v>
      </c>
      <c r="Q47" t="s">
        <v>778</v>
      </c>
      <c r="X47" t="s">
        <v>780</v>
      </c>
      <c r="Y47" t="s">
        <v>857</v>
      </c>
      <c r="AA47" s="31"/>
      <c r="AD47">
        <v>18</v>
      </c>
      <c r="AE47" t="s">
        <v>22</v>
      </c>
      <c r="AF47" s="31">
        <v>45667</v>
      </c>
      <c r="AG47" s="61">
        <v>0.61699074074074078</v>
      </c>
      <c r="AI47" t="s">
        <v>795</v>
      </c>
      <c r="AJ47" s="31">
        <v>45685</v>
      </c>
      <c r="AK47" s="61">
        <v>0.70386574074074071</v>
      </c>
      <c r="AL47" t="s">
        <v>796</v>
      </c>
      <c r="AM47" t="s">
        <v>1112</v>
      </c>
      <c r="AO47" t="s">
        <v>1113</v>
      </c>
      <c r="AP47" t="s">
        <v>22</v>
      </c>
      <c r="AQ47" t="s">
        <v>1113</v>
      </c>
      <c r="AS47" s="31"/>
      <c r="AY47">
        <v>1</v>
      </c>
    </row>
    <row r="48" spans="1:51" x14ac:dyDescent="0.3">
      <c r="A48" t="s">
        <v>22</v>
      </c>
      <c r="B48">
        <v>164</v>
      </c>
      <c r="D48">
        <v>1582</v>
      </c>
      <c r="G48" t="s">
        <v>1114</v>
      </c>
      <c r="H48">
        <v>2675142000184</v>
      </c>
      <c r="J48" t="s">
        <v>1115</v>
      </c>
      <c r="K48" t="s">
        <v>1115</v>
      </c>
      <c r="L48" t="s">
        <v>1116</v>
      </c>
      <c r="N48" t="s">
        <v>1117</v>
      </c>
      <c r="Q48" t="s">
        <v>778</v>
      </c>
      <c r="R48" t="s">
        <v>923</v>
      </c>
      <c r="T48" t="s">
        <v>814</v>
      </c>
      <c r="W48" t="s">
        <v>1118</v>
      </c>
      <c r="X48" t="s">
        <v>780</v>
      </c>
      <c r="Y48" t="s">
        <v>807</v>
      </c>
      <c r="AA48" s="31"/>
      <c r="AD48">
        <v>65</v>
      </c>
      <c r="AE48" t="s">
        <v>794</v>
      </c>
      <c r="AF48" s="31">
        <v>45672</v>
      </c>
      <c r="AG48" s="61">
        <v>0.73280092592592594</v>
      </c>
      <c r="AI48" t="s">
        <v>795</v>
      </c>
      <c r="AJ48" s="31">
        <v>45737</v>
      </c>
      <c r="AK48" s="61">
        <v>0.60968750000000005</v>
      </c>
      <c r="AL48" t="s">
        <v>1119</v>
      </c>
      <c r="AN48" t="s">
        <v>1120</v>
      </c>
      <c r="AO48" t="s">
        <v>960</v>
      </c>
      <c r="AP48" t="s">
        <v>794</v>
      </c>
      <c r="AQ48" t="s">
        <v>1121</v>
      </c>
      <c r="AS48" s="31"/>
      <c r="AY48">
        <v>1</v>
      </c>
    </row>
    <row r="49" spans="1:51" x14ac:dyDescent="0.3">
      <c r="A49" t="s">
        <v>44</v>
      </c>
      <c r="B49">
        <v>166</v>
      </c>
      <c r="D49">
        <v>745</v>
      </c>
      <c r="F49" t="s">
        <v>1122</v>
      </c>
      <c r="G49" t="s">
        <v>1123</v>
      </c>
      <c r="H49">
        <v>48314771000180</v>
      </c>
      <c r="J49" t="s">
        <v>1124</v>
      </c>
      <c r="K49" t="s">
        <v>1124</v>
      </c>
      <c r="L49">
        <v>11984587496</v>
      </c>
      <c r="N49" t="s">
        <v>1126</v>
      </c>
      <c r="P49" t="s">
        <v>1127</v>
      </c>
      <c r="Q49" t="s">
        <v>778</v>
      </c>
      <c r="W49" t="s">
        <v>1128</v>
      </c>
      <c r="X49" t="s">
        <v>780</v>
      </c>
      <c r="Y49" t="s">
        <v>857</v>
      </c>
      <c r="AA49" s="31"/>
      <c r="AD49">
        <v>36</v>
      </c>
      <c r="AE49" t="s">
        <v>794</v>
      </c>
      <c r="AF49" s="31">
        <v>45673</v>
      </c>
      <c r="AG49" s="61">
        <v>0.46156249999999999</v>
      </c>
      <c r="AI49" t="s">
        <v>795</v>
      </c>
      <c r="AJ49" s="31">
        <v>45709</v>
      </c>
      <c r="AK49" s="61">
        <v>0.50829861111111108</v>
      </c>
      <c r="AL49" t="s">
        <v>796</v>
      </c>
      <c r="AM49" t="s">
        <v>1129</v>
      </c>
      <c r="AN49" t="s">
        <v>1130</v>
      </c>
      <c r="AP49" t="s">
        <v>794</v>
      </c>
      <c r="AQ49" t="s">
        <v>1131</v>
      </c>
      <c r="AS49" s="31"/>
      <c r="AY49">
        <v>1</v>
      </c>
    </row>
    <row r="50" spans="1:51" x14ac:dyDescent="0.3">
      <c r="A50" t="s">
        <v>22</v>
      </c>
      <c r="B50">
        <v>167</v>
      </c>
      <c r="D50">
        <v>1599</v>
      </c>
      <c r="G50" t="s">
        <v>1132</v>
      </c>
      <c r="J50" t="s">
        <v>1133</v>
      </c>
      <c r="K50" t="s">
        <v>1133</v>
      </c>
      <c r="L50">
        <v>11975126999</v>
      </c>
      <c r="N50" t="s">
        <v>1111</v>
      </c>
      <c r="Q50" t="s">
        <v>778</v>
      </c>
      <c r="T50" t="s">
        <v>933</v>
      </c>
      <c r="W50" t="s">
        <v>1135</v>
      </c>
      <c r="X50" t="s">
        <v>780</v>
      </c>
      <c r="Y50" t="s">
        <v>807</v>
      </c>
      <c r="Z50" t="s">
        <v>817</v>
      </c>
      <c r="AA50" s="31">
        <v>45808</v>
      </c>
      <c r="AB50">
        <v>46000</v>
      </c>
      <c r="AC50">
        <v>308546</v>
      </c>
      <c r="AD50">
        <v>82</v>
      </c>
      <c r="AE50" t="s">
        <v>22</v>
      </c>
      <c r="AF50" s="31">
        <v>45673</v>
      </c>
      <c r="AG50" s="61">
        <v>0.58497685185185189</v>
      </c>
      <c r="AI50" t="s">
        <v>795</v>
      </c>
      <c r="AJ50" s="31">
        <v>45755</v>
      </c>
      <c r="AK50" s="61">
        <v>0.39619212962962957</v>
      </c>
      <c r="AL50" t="s">
        <v>858</v>
      </c>
      <c r="AO50" t="s">
        <v>1136</v>
      </c>
      <c r="AP50" t="s">
        <v>22</v>
      </c>
      <c r="AQ50" t="s">
        <v>1136</v>
      </c>
      <c r="AS50" s="31"/>
      <c r="AY50">
        <v>1</v>
      </c>
    </row>
    <row r="51" spans="1:51" x14ac:dyDescent="0.3">
      <c r="A51" t="s">
        <v>44</v>
      </c>
      <c r="B51">
        <v>169</v>
      </c>
      <c r="D51">
        <v>735</v>
      </c>
      <c r="F51" t="s">
        <v>1137</v>
      </c>
      <c r="G51" t="s">
        <v>1138</v>
      </c>
      <c r="H51">
        <v>16941656000149</v>
      </c>
      <c r="J51" t="s">
        <v>1139</v>
      </c>
      <c r="K51" t="s">
        <v>1317</v>
      </c>
      <c r="L51">
        <v>11956368569</v>
      </c>
      <c r="N51" t="s">
        <v>1141</v>
      </c>
      <c r="P51" t="s">
        <v>1142</v>
      </c>
      <c r="Q51" t="s">
        <v>778</v>
      </c>
      <c r="X51" t="s">
        <v>780</v>
      </c>
      <c r="Y51" t="s">
        <v>793</v>
      </c>
      <c r="AA51" s="31"/>
      <c r="AB51">
        <v>16700</v>
      </c>
      <c r="AC51">
        <v>18186</v>
      </c>
      <c r="AD51">
        <v>6</v>
      </c>
      <c r="AE51" t="s">
        <v>794</v>
      </c>
      <c r="AF51" s="31">
        <v>45673</v>
      </c>
      <c r="AG51" s="61">
        <v>0.71754629629629629</v>
      </c>
      <c r="AI51" t="s">
        <v>795</v>
      </c>
      <c r="AJ51" s="31">
        <v>45679</v>
      </c>
      <c r="AK51" s="61">
        <v>0.50843749999999999</v>
      </c>
      <c r="AL51" t="s">
        <v>796</v>
      </c>
      <c r="AM51" t="s">
        <v>1143</v>
      </c>
      <c r="AN51" t="s">
        <v>1144</v>
      </c>
      <c r="AO51" t="s">
        <v>1145</v>
      </c>
      <c r="AP51" t="s">
        <v>794</v>
      </c>
      <c r="AQ51" t="s">
        <v>1146</v>
      </c>
      <c r="AS51" s="31"/>
      <c r="AY51">
        <v>1</v>
      </c>
    </row>
    <row r="52" spans="1:51" x14ac:dyDescent="0.3">
      <c r="A52" t="s">
        <v>44</v>
      </c>
      <c r="B52">
        <v>174</v>
      </c>
      <c r="D52">
        <v>734</v>
      </c>
      <c r="F52" t="s">
        <v>1147</v>
      </c>
      <c r="G52" t="s">
        <v>1148</v>
      </c>
      <c r="H52">
        <v>66559436000123</v>
      </c>
      <c r="J52" t="s">
        <v>1149</v>
      </c>
      <c r="K52" t="s">
        <v>1149</v>
      </c>
      <c r="L52">
        <v>1155237947</v>
      </c>
      <c r="N52" t="s">
        <v>1151</v>
      </c>
      <c r="P52" t="s">
        <v>1152</v>
      </c>
      <c r="Q52" t="s">
        <v>778</v>
      </c>
      <c r="X52" t="s">
        <v>780</v>
      </c>
      <c r="Y52" t="s">
        <v>781</v>
      </c>
      <c r="AA52" s="31"/>
      <c r="AD52">
        <v>31</v>
      </c>
      <c r="AE52" t="s">
        <v>794</v>
      </c>
      <c r="AF52" s="31">
        <v>45678</v>
      </c>
      <c r="AG52" s="61">
        <v>0.4437962962962963</v>
      </c>
      <c r="AI52" t="s">
        <v>795</v>
      </c>
      <c r="AJ52" s="31">
        <v>45709</v>
      </c>
      <c r="AK52" s="61">
        <v>0.45508101851851851</v>
      </c>
      <c r="AL52" t="s">
        <v>796</v>
      </c>
      <c r="AM52" t="s">
        <v>1153</v>
      </c>
      <c r="AN52" t="s">
        <v>1154</v>
      </c>
      <c r="AP52" t="s">
        <v>794</v>
      </c>
      <c r="AQ52" t="s">
        <v>1155</v>
      </c>
      <c r="AS52" s="31"/>
      <c r="AY52">
        <v>1</v>
      </c>
    </row>
    <row r="53" spans="1:51" x14ac:dyDescent="0.3">
      <c r="A53" t="s">
        <v>44</v>
      </c>
      <c r="B53">
        <v>178</v>
      </c>
      <c r="D53">
        <v>1619</v>
      </c>
      <c r="G53" t="s">
        <v>1156</v>
      </c>
      <c r="H53">
        <v>2306559000331</v>
      </c>
      <c r="J53" t="s">
        <v>1157</v>
      </c>
      <c r="K53" t="s">
        <v>1157</v>
      </c>
      <c r="L53">
        <v>44999065000</v>
      </c>
      <c r="N53" t="s">
        <v>1159</v>
      </c>
      <c r="Q53" t="s">
        <v>778</v>
      </c>
      <c r="X53" t="s">
        <v>780</v>
      </c>
      <c r="Y53" t="s">
        <v>807</v>
      </c>
      <c r="Z53" t="s">
        <v>817</v>
      </c>
      <c r="AA53" s="31"/>
      <c r="AB53">
        <v>11520</v>
      </c>
      <c r="AC53">
        <v>14114</v>
      </c>
      <c r="AD53">
        <v>30</v>
      </c>
      <c r="AE53" t="s">
        <v>44</v>
      </c>
      <c r="AF53" s="31">
        <v>45679</v>
      </c>
      <c r="AG53" s="61">
        <v>0.51081018518518517</v>
      </c>
      <c r="AI53" t="s">
        <v>795</v>
      </c>
      <c r="AJ53" s="31">
        <v>45709</v>
      </c>
      <c r="AK53" s="61">
        <v>0.50973379629629634</v>
      </c>
      <c r="AL53" t="s">
        <v>974</v>
      </c>
      <c r="AM53" t="s">
        <v>1160</v>
      </c>
      <c r="AO53" t="s">
        <v>1145</v>
      </c>
      <c r="AQ53" t="s">
        <v>1161</v>
      </c>
      <c r="AS53" s="31"/>
      <c r="AY53">
        <v>1</v>
      </c>
    </row>
    <row r="54" spans="1:51" x14ac:dyDescent="0.3">
      <c r="A54" t="s">
        <v>44</v>
      </c>
      <c r="B54">
        <v>179</v>
      </c>
      <c r="D54">
        <v>1621</v>
      </c>
      <c r="G54" t="s">
        <v>1162</v>
      </c>
      <c r="J54" t="s">
        <v>1163</v>
      </c>
      <c r="K54" t="s">
        <v>1163</v>
      </c>
      <c r="L54">
        <v>65984636358</v>
      </c>
      <c r="N54" t="s">
        <v>1165</v>
      </c>
      <c r="Q54" t="s">
        <v>778</v>
      </c>
      <c r="X54" t="s">
        <v>780</v>
      </c>
      <c r="Y54" t="s">
        <v>793</v>
      </c>
      <c r="Z54" t="s">
        <v>817</v>
      </c>
      <c r="AA54" s="31"/>
      <c r="AB54">
        <v>61056</v>
      </c>
      <c r="AC54">
        <v>625045</v>
      </c>
      <c r="AD54">
        <v>14</v>
      </c>
      <c r="AE54" t="s">
        <v>44</v>
      </c>
      <c r="AF54" s="31">
        <v>45680</v>
      </c>
      <c r="AG54" s="61">
        <v>0.39780092592592592</v>
      </c>
      <c r="AI54" t="s">
        <v>795</v>
      </c>
      <c r="AJ54" s="31">
        <v>45694</v>
      </c>
      <c r="AK54" s="61">
        <v>0.66874999999999996</v>
      </c>
      <c r="AL54" t="s">
        <v>867</v>
      </c>
      <c r="AM54" t="s">
        <v>1166</v>
      </c>
      <c r="AO54" t="s">
        <v>1167</v>
      </c>
      <c r="AQ54" t="s">
        <v>1168</v>
      </c>
      <c r="AR54" t="s">
        <v>1167</v>
      </c>
      <c r="AS54" s="31"/>
      <c r="AY54">
        <v>1</v>
      </c>
    </row>
    <row r="55" spans="1:51" x14ac:dyDescent="0.3">
      <c r="A55" t="s">
        <v>44</v>
      </c>
      <c r="B55">
        <v>183</v>
      </c>
      <c r="D55">
        <v>1631</v>
      </c>
      <c r="G55" t="s">
        <v>1169</v>
      </c>
      <c r="J55" t="s">
        <v>1170</v>
      </c>
      <c r="K55" t="s">
        <v>1170</v>
      </c>
      <c r="L55">
        <v>54981117994</v>
      </c>
      <c r="N55" t="s">
        <v>1172</v>
      </c>
      <c r="Q55" t="s">
        <v>778</v>
      </c>
      <c r="T55" t="s">
        <v>1068</v>
      </c>
      <c r="X55" t="s">
        <v>780</v>
      </c>
      <c r="Y55" t="s">
        <v>816</v>
      </c>
      <c r="Z55" t="s">
        <v>817</v>
      </c>
      <c r="AA55" s="31"/>
      <c r="AB55">
        <v>16960</v>
      </c>
      <c r="AC55">
        <v>863104</v>
      </c>
      <c r="AD55">
        <v>103</v>
      </c>
      <c r="AE55" t="s">
        <v>44</v>
      </c>
      <c r="AF55" s="31">
        <v>45681</v>
      </c>
      <c r="AG55" s="61">
        <v>0.4445486111111111</v>
      </c>
      <c r="AI55" t="s">
        <v>818</v>
      </c>
      <c r="AJ55" s="31">
        <v>45784</v>
      </c>
      <c r="AK55" s="61">
        <v>0.37054398148148149</v>
      </c>
      <c r="AO55" t="s">
        <v>890</v>
      </c>
      <c r="AQ55" t="s">
        <v>1168</v>
      </c>
      <c r="AS55" s="31"/>
      <c r="AY55">
        <v>1</v>
      </c>
    </row>
    <row r="56" spans="1:51" x14ac:dyDescent="0.3">
      <c r="A56" t="s">
        <v>44</v>
      </c>
      <c r="B56">
        <v>187</v>
      </c>
      <c r="D56">
        <v>1642</v>
      </c>
      <c r="G56" t="s">
        <v>1173</v>
      </c>
      <c r="J56" t="s">
        <v>1174</v>
      </c>
      <c r="K56" t="s">
        <v>1174</v>
      </c>
      <c r="L56">
        <v>16997631389</v>
      </c>
      <c r="N56" t="s">
        <v>1176</v>
      </c>
      <c r="Q56" t="s">
        <v>778</v>
      </c>
      <c r="X56" t="s">
        <v>780</v>
      </c>
      <c r="Y56" t="s">
        <v>857</v>
      </c>
      <c r="AA56" s="31"/>
      <c r="AD56">
        <v>49</v>
      </c>
      <c r="AE56" t="s">
        <v>44</v>
      </c>
      <c r="AF56" s="31">
        <v>45684</v>
      </c>
      <c r="AG56" s="61">
        <v>0.62056712962962968</v>
      </c>
      <c r="AI56" t="s">
        <v>795</v>
      </c>
      <c r="AJ56" s="31">
        <v>45733</v>
      </c>
      <c r="AK56" s="61">
        <v>0.41342592592592592</v>
      </c>
      <c r="AL56" t="s">
        <v>796</v>
      </c>
      <c r="AM56" t="s">
        <v>1177</v>
      </c>
      <c r="AQ56" t="s">
        <v>1167</v>
      </c>
      <c r="AS56" s="31"/>
      <c r="AY56">
        <v>1</v>
      </c>
    </row>
    <row r="57" spans="1:51" x14ac:dyDescent="0.3">
      <c r="A57" t="s">
        <v>44</v>
      </c>
      <c r="B57">
        <v>188</v>
      </c>
      <c r="D57">
        <v>1643</v>
      </c>
      <c r="G57" t="s">
        <v>1178</v>
      </c>
      <c r="J57" t="s">
        <v>1179</v>
      </c>
      <c r="K57" t="s">
        <v>1179</v>
      </c>
      <c r="L57">
        <v>11999279928</v>
      </c>
      <c r="N57" t="s">
        <v>1093</v>
      </c>
      <c r="Q57" t="s">
        <v>778</v>
      </c>
      <c r="X57" t="s">
        <v>780</v>
      </c>
      <c r="Y57" t="s">
        <v>807</v>
      </c>
      <c r="AA57" s="31"/>
      <c r="AB57">
        <v>1600</v>
      </c>
      <c r="AC57">
        <v>314528</v>
      </c>
      <c r="AD57">
        <v>25</v>
      </c>
      <c r="AE57" t="s">
        <v>44</v>
      </c>
      <c r="AF57" s="31">
        <v>45684</v>
      </c>
      <c r="AG57" s="61">
        <v>0.65873842592592591</v>
      </c>
      <c r="AI57" t="s">
        <v>795</v>
      </c>
      <c r="AJ57" s="31">
        <v>45709</v>
      </c>
      <c r="AK57" s="61">
        <v>0.60328703703703701</v>
      </c>
      <c r="AL57" t="s">
        <v>934</v>
      </c>
      <c r="AO57" t="s">
        <v>1145</v>
      </c>
      <c r="AQ57" t="s">
        <v>1096</v>
      </c>
      <c r="AS57" s="31"/>
      <c r="AY57">
        <v>1</v>
      </c>
    </row>
    <row r="58" spans="1:51" x14ac:dyDescent="0.3">
      <c r="A58" t="s">
        <v>44</v>
      </c>
      <c r="B58">
        <v>191</v>
      </c>
      <c r="D58">
        <v>1651</v>
      </c>
      <c r="G58" t="s">
        <v>1181</v>
      </c>
      <c r="J58" t="s">
        <v>1163</v>
      </c>
      <c r="K58" t="s">
        <v>1163</v>
      </c>
      <c r="L58">
        <v>65984636358</v>
      </c>
      <c r="N58" t="s">
        <v>1165</v>
      </c>
      <c r="Q58" t="s">
        <v>778</v>
      </c>
      <c r="X58" t="s">
        <v>780</v>
      </c>
      <c r="Y58" t="s">
        <v>793</v>
      </c>
      <c r="AA58" s="31"/>
      <c r="AB58">
        <v>1600</v>
      </c>
      <c r="AC58">
        <v>4063</v>
      </c>
      <c r="AD58">
        <v>9</v>
      </c>
      <c r="AE58" t="s">
        <v>44</v>
      </c>
      <c r="AF58" s="31">
        <v>45685</v>
      </c>
      <c r="AG58" s="61">
        <v>0.62687499999999996</v>
      </c>
      <c r="AI58" t="s">
        <v>795</v>
      </c>
      <c r="AJ58" s="31">
        <v>45694</v>
      </c>
      <c r="AK58" s="61">
        <v>0.66998842592592589</v>
      </c>
      <c r="AL58" t="s">
        <v>867</v>
      </c>
      <c r="AM58" t="s">
        <v>1166</v>
      </c>
      <c r="AS58" s="31"/>
      <c r="AY58">
        <v>1</v>
      </c>
    </row>
    <row r="59" spans="1:51" x14ac:dyDescent="0.3">
      <c r="A59" t="s">
        <v>22</v>
      </c>
      <c r="B59">
        <v>193</v>
      </c>
      <c r="D59">
        <v>1608</v>
      </c>
      <c r="G59" t="s">
        <v>1182</v>
      </c>
      <c r="H59">
        <v>2142286000175</v>
      </c>
      <c r="J59" t="s">
        <v>1183</v>
      </c>
      <c r="K59" t="s">
        <v>1183</v>
      </c>
      <c r="L59" t="s">
        <v>1184</v>
      </c>
      <c r="N59" t="s">
        <v>1185</v>
      </c>
      <c r="Q59" t="s">
        <v>778</v>
      </c>
      <c r="R59" t="s">
        <v>923</v>
      </c>
      <c r="T59" t="s">
        <v>814</v>
      </c>
      <c r="W59" t="s">
        <v>1186</v>
      </c>
      <c r="X59" t="s">
        <v>780</v>
      </c>
      <c r="Y59" t="s">
        <v>807</v>
      </c>
      <c r="AA59" s="31"/>
      <c r="AD59">
        <v>9</v>
      </c>
      <c r="AE59" t="s">
        <v>22</v>
      </c>
      <c r="AF59" s="31">
        <v>45685</v>
      </c>
      <c r="AG59" s="61">
        <v>0.69854166666666662</v>
      </c>
      <c r="AI59" t="s">
        <v>795</v>
      </c>
      <c r="AJ59" s="31">
        <v>45694</v>
      </c>
      <c r="AK59" s="61">
        <v>0.72714120370370372</v>
      </c>
      <c r="AL59" t="s">
        <v>867</v>
      </c>
      <c r="AO59" t="s">
        <v>1187</v>
      </c>
      <c r="AQ59" t="s">
        <v>1187</v>
      </c>
      <c r="AS59" s="31"/>
      <c r="AY59">
        <v>1</v>
      </c>
    </row>
    <row r="60" spans="1:51" x14ac:dyDescent="0.3">
      <c r="A60" t="s">
        <v>22</v>
      </c>
      <c r="B60">
        <v>195</v>
      </c>
      <c r="D60">
        <v>1603</v>
      </c>
      <c r="G60" t="s">
        <v>1188</v>
      </c>
      <c r="J60" t="s">
        <v>1189</v>
      </c>
      <c r="K60" t="s">
        <v>1189</v>
      </c>
      <c r="L60" t="s">
        <v>1190</v>
      </c>
      <c r="N60" t="s">
        <v>1111</v>
      </c>
      <c r="Q60" t="s">
        <v>778</v>
      </c>
      <c r="T60" t="s">
        <v>1191</v>
      </c>
      <c r="X60" t="s">
        <v>780</v>
      </c>
      <c r="Y60" t="s">
        <v>807</v>
      </c>
      <c r="AA60" s="31"/>
      <c r="AD60">
        <v>9</v>
      </c>
      <c r="AE60" t="s">
        <v>22</v>
      </c>
      <c r="AF60" s="31">
        <v>45685</v>
      </c>
      <c r="AG60" s="61">
        <v>0.71567129629629633</v>
      </c>
      <c r="AI60" t="s">
        <v>795</v>
      </c>
      <c r="AJ60" s="31">
        <v>45694</v>
      </c>
      <c r="AK60" s="61">
        <v>0.73074074074074069</v>
      </c>
      <c r="AL60" t="s">
        <v>858</v>
      </c>
      <c r="AO60" t="s">
        <v>1187</v>
      </c>
      <c r="AQ60" t="s">
        <v>1187</v>
      </c>
      <c r="AS60" s="31"/>
      <c r="AY60">
        <v>1</v>
      </c>
    </row>
    <row r="61" spans="1:51" x14ac:dyDescent="0.3">
      <c r="A61" t="s">
        <v>22</v>
      </c>
      <c r="B61">
        <v>196</v>
      </c>
      <c r="D61">
        <v>1596</v>
      </c>
      <c r="F61" t="s">
        <v>1192</v>
      </c>
      <c r="G61" t="s">
        <v>1193</v>
      </c>
      <c r="H61">
        <v>56884678000139</v>
      </c>
      <c r="J61" t="s">
        <v>1194</v>
      </c>
      <c r="K61" t="s">
        <v>1194</v>
      </c>
      <c r="L61" t="s">
        <v>1195</v>
      </c>
      <c r="N61" t="s">
        <v>1196</v>
      </c>
      <c r="Q61" t="s">
        <v>778</v>
      </c>
      <c r="R61" t="s">
        <v>1197</v>
      </c>
      <c r="S61" t="s">
        <v>790</v>
      </c>
      <c r="T61" t="s">
        <v>1191</v>
      </c>
      <c r="W61" t="s">
        <v>1198</v>
      </c>
      <c r="X61" t="s">
        <v>780</v>
      </c>
      <c r="Y61" t="s">
        <v>807</v>
      </c>
      <c r="AA61" s="31"/>
      <c r="AD61">
        <v>1</v>
      </c>
      <c r="AE61" t="s">
        <v>22</v>
      </c>
      <c r="AF61" s="31">
        <v>45685</v>
      </c>
      <c r="AG61" s="61">
        <v>0.71672453703703709</v>
      </c>
      <c r="AI61" t="s">
        <v>795</v>
      </c>
      <c r="AJ61" s="31">
        <v>45686</v>
      </c>
      <c r="AK61" s="61">
        <v>4.1851851851851848E-2</v>
      </c>
      <c r="AL61" t="s">
        <v>867</v>
      </c>
      <c r="AO61" t="s">
        <v>1187</v>
      </c>
      <c r="AP61" t="s">
        <v>22</v>
      </c>
      <c r="AQ61" t="s">
        <v>1187</v>
      </c>
      <c r="AS61" s="31"/>
      <c r="AY61">
        <v>1</v>
      </c>
    </row>
    <row r="62" spans="1:51" x14ac:dyDescent="0.3">
      <c r="A62" t="s">
        <v>22</v>
      </c>
      <c r="B62">
        <v>197</v>
      </c>
      <c r="D62">
        <v>1598</v>
      </c>
      <c r="G62" t="s">
        <v>1199</v>
      </c>
      <c r="J62" t="s">
        <v>1200</v>
      </c>
      <c r="K62" t="s">
        <v>1200</v>
      </c>
      <c r="L62" t="s">
        <v>1201</v>
      </c>
      <c r="N62" t="s">
        <v>1111</v>
      </c>
      <c r="Q62" t="s">
        <v>778</v>
      </c>
      <c r="T62" t="s">
        <v>1191</v>
      </c>
      <c r="W62" t="s">
        <v>1198</v>
      </c>
      <c r="X62" t="s">
        <v>780</v>
      </c>
      <c r="Y62" t="s">
        <v>807</v>
      </c>
      <c r="AA62" s="31"/>
      <c r="AD62">
        <v>1</v>
      </c>
      <c r="AE62" t="s">
        <v>22</v>
      </c>
      <c r="AF62" s="31">
        <v>45685</v>
      </c>
      <c r="AG62" s="61">
        <v>0.71711805555555552</v>
      </c>
      <c r="AI62" t="s">
        <v>795</v>
      </c>
      <c r="AJ62" s="31">
        <v>45686</v>
      </c>
      <c r="AK62" s="61">
        <v>4.3159722222222217E-2</v>
      </c>
      <c r="AL62" t="s">
        <v>867</v>
      </c>
      <c r="AO62" t="s">
        <v>1187</v>
      </c>
      <c r="AQ62" t="s">
        <v>1187</v>
      </c>
      <c r="AS62" s="31"/>
      <c r="AY62">
        <v>1</v>
      </c>
    </row>
    <row r="63" spans="1:51" x14ac:dyDescent="0.3">
      <c r="A63" t="s">
        <v>22</v>
      </c>
      <c r="B63">
        <v>198</v>
      </c>
      <c r="D63">
        <v>1600</v>
      </c>
      <c r="G63" t="s">
        <v>1202</v>
      </c>
      <c r="J63" t="s">
        <v>1203</v>
      </c>
      <c r="K63" t="s">
        <v>1203</v>
      </c>
      <c r="L63" t="s">
        <v>1204</v>
      </c>
      <c r="N63" t="s">
        <v>1205</v>
      </c>
      <c r="Q63" t="s">
        <v>778</v>
      </c>
      <c r="R63" t="s">
        <v>1206</v>
      </c>
      <c r="T63" t="s">
        <v>814</v>
      </c>
      <c r="W63" t="s">
        <v>1198</v>
      </c>
      <c r="X63" t="s">
        <v>780</v>
      </c>
      <c r="Y63" t="s">
        <v>807</v>
      </c>
      <c r="AA63" s="31"/>
      <c r="AD63">
        <v>1</v>
      </c>
      <c r="AE63" t="s">
        <v>22</v>
      </c>
      <c r="AF63" s="31">
        <v>45685</v>
      </c>
      <c r="AG63" s="61">
        <v>0.71755787037037033</v>
      </c>
      <c r="AI63" t="s">
        <v>795</v>
      </c>
      <c r="AJ63" s="31">
        <v>45686</v>
      </c>
      <c r="AK63" s="61">
        <v>4.5671296296296293E-2</v>
      </c>
      <c r="AL63" t="s">
        <v>867</v>
      </c>
      <c r="AO63" t="s">
        <v>1187</v>
      </c>
      <c r="AQ63" t="s">
        <v>1187</v>
      </c>
      <c r="AS63" s="31"/>
      <c r="AY63">
        <v>1</v>
      </c>
    </row>
    <row r="64" spans="1:51" x14ac:dyDescent="0.3">
      <c r="A64" t="s">
        <v>22</v>
      </c>
      <c r="B64">
        <v>199</v>
      </c>
      <c r="D64">
        <v>1623</v>
      </c>
      <c r="E64" t="s">
        <v>1207</v>
      </c>
      <c r="G64" t="s">
        <v>1208</v>
      </c>
      <c r="J64" t="s">
        <v>1209</v>
      </c>
      <c r="K64" t="s">
        <v>1209</v>
      </c>
      <c r="L64">
        <v>81988636626</v>
      </c>
      <c r="N64" t="s">
        <v>1211</v>
      </c>
      <c r="Q64" t="s">
        <v>778</v>
      </c>
      <c r="R64" t="s">
        <v>1212</v>
      </c>
      <c r="T64" t="s">
        <v>1068</v>
      </c>
      <c r="W64" t="s">
        <v>1068</v>
      </c>
      <c r="X64" t="s">
        <v>780</v>
      </c>
      <c r="Y64" t="s">
        <v>807</v>
      </c>
      <c r="AA64" s="31"/>
      <c r="AD64">
        <v>9</v>
      </c>
      <c r="AE64" t="s">
        <v>22</v>
      </c>
      <c r="AF64" s="31">
        <v>45685</v>
      </c>
      <c r="AG64" s="61">
        <v>0.71810185185185182</v>
      </c>
      <c r="AI64" t="s">
        <v>795</v>
      </c>
      <c r="AJ64" s="31">
        <v>45694</v>
      </c>
      <c r="AK64" s="61">
        <v>0.73619212962962965</v>
      </c>
      <c r="AL64" t="s">
        <v>867</v>
      </c>
      <c r="AO64" t="s">
        <v>1187</v>
      </c>
      <c r="AR64" t="s">
        <v>1187</v>
      </c>
      <c r="AS64" s="31"/>
      <c r="AY64">
        <v>1</v>
      </c>
    </row>
    <row r="65" spans="1:51" x14ac:dyDescent="0.3">
      <c r="A65" t="s">
        <v>44</v>
      </c>
      <c r="B65">
        <v>200</v>
      </c>
      <c r="D65">
        <v>1660</v>
      </c>
      <c r="G65" t="s">
        <v>1213</v>
      </c>
      <c r="J65" t="s">
        <v>1214</v>
      </c>
      <c r="K65" t="s">
        <v>1214</v>
      </c>
      <c r="L65">
        <v>1935513873</v>
      </c>
      <c r="N65" t="s">
        <v>1216</v>
      </c>
      <c r="Q65" t="s">
        <v>778</v>
      </c>
      <c r="X65" t="s">
        <v>780</v>
      </c>
      <c r="Y65" t="s">
        <v>897</v>
      </c>
      <c r="AA65" s="31"/>
      <c r="AD65">
        <v>51</v>
      </c>
      <c r="AE65" t="s">
        <v>44</v>
      </c>
      <c r="AF65" s="31">
        <v>45686</v>
      </c>
      <c r="AG65" s="61">
        <v>0.39648148148148149</v>
      </c>
      <c r="AI65" t="s">
        <v>795</v>
      </c>
      <c r="AJ65" s="31">
        <v>45737</v>
      </c>
      <c r="AK65" s="61">
        <v>0.61332175925925925</v>
      </c>
      <c r="AL65" t="s">
        <v>858</v>
      </c>
      <c r="AM65" t="s">
        <v>1217</v>
      </c>
      <c r="AQ65" t="s">
        <v>1059</v>
      </c>
      <c r="AS65" s="31"/>
      <c r="AY65">
        <v>1</v>
      </c>
    </row>
    <row r="66" spans="1:51" x14ac:dyDescent="0.3">
      <c r="A66" t="s">
        <v>22</v>
      </c>
      <c r="B66">
        <v>201</v>
      </c>
      <c r="D66">
        <v>198</v>
      </c>
      <c r="F66" t="s">
        <v>1218</v>
      </c>
      <c r="G66" t="s">
        <v>1219</v>
      </c>
      <c r="H66">
        <v>13474916000125</v>
      </c>
      <c r="J66" t="s">
        <v>1220</v>
      </c>
      <c r="K66" t="s">
        <v>1220</v>
      </c>
      <c r="L66">
        <v>13997252966</v>
      </c>
      <c r="N66" t="s">
        <v>1222</v>
      </c>
      <c r="P66" t="s">
        <v>1223</v>
      </c>
      <c r="Q66" t="s">
        <v>778</v>
      </c>
      <c r="R66" t="s">
        <v>1224</v>
      </c>
      <c r="S66" t="s">
        <v>790</v>
      </c>
      <c r="T66" t="s">
        <v>791</v>
      </c>
      <c r="W66" t="s">
        <v>1225</v>
      </c>
      <c r="X66" t="s">
        <v>780</v>
      </c>
      <c r="Y66" t="s">
        <v>857</v>
      </c>
      <c r="AA66" s="31"/>
      <c r="AD66">
        <v>8</v>
      </c>
      <c r="AE66" t="s">
        <v>794</v>
      </c>
      <c r="AF66" s="31">
        <v>45686</v>
      </c>
      <c r="AG66" s="61">
        <v>0.49991898148148151</v>
      </c>
      <c r="AI66" t="s">
        <v>795</v>
      </c>
      <c r="AJ66" s="31">
        <v>45694</v>
      </c>
      <c r="AK66" s="61">
        <v>0.57891203703703709</v>
      </c>
      <c r="AL66" t="s">
        <v>1226</v>
      </c>
      <c r="AN66" t="s">
        <v>1227</v>
      </c>
      <c r="AP66" t="s">
        <v>794</v>
      </c>
      <c r="AQ66" t="s">
        <v>1228</v>
      </c>
      <c r="AS66" s="31"/>
      <c r="AY66">
        <v>1</v>
      </c>
    </row>
    <row r="67" spans="1:51" x14ac:dyDescent="0.3">
      <c r="A67" t="s">
        <v>44</v>
      </c>
      <c r="B67">
        <v>202</v>
      </c>
      <c r="D67">
        <v>1665</v>
      </c>
      <c r="G67" t="s">
        <v>1229</v>
      </c>
      <c r="J67" t="s">
        <v>1230</v>
      </c>
      <c r="K67" t="s">
        <v>1230</v>
      </c>
      <c r="L67">
        <v>11988839646</v>
      </c>
      <c r="N67" t="s">
        <v>1037</v>
      </c>
      <c r="Q67" t="s">
        <v>778</v>
      </c>
      <c r="X67" t="s">
        <v>780</v>
      </c>
      <c r="Y67" t="s">
        <v>816</v>
      </c>
      <c r="AA67" s="31"/>
      <c r="AB67">
        <v>1600</v>
      </c>
      <c r="AC67">
        <v>1824</v>
      </c>
      <c r="AD67">
        <v>34</v>
      </c>
      <c r="AE67" t="s">
        <v>44</v>
      </c>
      <c r="AF67" s="31">
        <v>45687</v>
      </c>
      <c r="AG67" s="61">
        <v>0.41543981481481479</v>
      </c>
      <c r="AI67" t="s">
        <v>795</v>
      </c>
      <c r="AJ67" s="31">
        <v>45721</v>
      </c>
      <c r="AK67" s="61">
        <v>0.46659722222222222</v>
      </c>
      <c r="AL67" t="s">
        <v>796</v>
      </c>
      <c r="AM67" t="s">
        <v>1231</v>
      </c>
      <c r="AO67" t="s">
        <v>1039</v>
      </c>
      <c r="AS67" s="31"/>
      <c r="AY67">
        <v>1</v>
      </c>
    </row>
    <row r="68" spans="1:51" x14ac:dyDescent="0.3">
      <c r="A68" t="s">
        <v>44</v>
      </c>
      <c r="B68">
        <v>203</v>
      </c>
      <c r="D68">
        <v>1666</v>
      </c>
      <c r="G68" t="s">
        <v>1232</v>
      </c>
      <c r="J68" t="s">
        <v>1233</v>
      </c>
      <c r="K68" t="s">
        <v>1233</v>
      </c>
      <c r="L68">
        <v>11967327458</v>
      </c>
      <c r="N68" t="s">
        <v>1235</v>
      </c>
      <c r="Q68" t="s">
        <v>778</v>
      </c>
      <c r="X68" t="s">
        <v>780</v>
      </c>
      <c r="Y68" t="s">
        <v>857</v>
      </c>
      <c r="AA68" s="31"/>
      <c r="AD68">
        <v>22</v>
      </c>
      <c r="AE68" t="s">
        <v>44</v>
      </c>
      <c r="AF68" s="31">
        <v>45687</v>
      </c>
      <c r="AG68" s="61">
        <v>0.45832175925925928</v>
      </c>
      <c r="AI68" t="s">
        <v>795</v>
      </c>
      <c r="AJ68" s="31">
        <v>45709</v>
      </c>
      <c r="AK68" s="61">
        <v>0.50681712962962966</v>
      </c>
      <c r="AL68" t="s">
        <v>858</v>
      </c>
      <c r="AM68" t="s">
        <v>1236</v>
      </c>
      <c r="AQ68" t="s">
        <v>1237</v>
      </c>
      <c r="AS68" s="31"/>
      <c r="AY68">
        <v>1</v>
      </c>
    </row>
    <row r="69" spans="1:51" x14ac:dyDescent="0.3">
      <c r="A69" t="s">
        <v>44</v>
      </c>
      <c r="B69">
        <v>204</v>
      </c>
      <c r="D69">
        <v>1669</v>
      </c>
      <c r="G69" t="s">
        <v>1238</v>
      </c>
      <c r="J69" t="s">
        <v>1239</v>
      </c>
      <c r="K69" t="s">
        <v>1239</v>
      </c>
      <c r="L69">
        <v>47988469270</v>
      </c>
      <c r="N69" t="s">
        <v>1241</v>
      </c>
      <c r="Q69" t="s">
        <v>778</v>
      </c>
      <c r="X69" t="s">
        <v>780</v>
      </c>
      <c r="Y69" t="s">
        <v>781</v>
      </c>
      <c r="AA69" s="31"/>
      <c r="AB69">
        <v>837998</v>
      </c>
      <c r="AC69">
        <v>516364</v>
      </c>
      <c r="AD69">
        <v>0</v>
      </c>
      <c r="AE69" t="s">
        <v>22</v>
      </c>
      <c r="AF69" s="31">
        <v>45689</v>
      </c>
      <c r="AG69" s="61">
        <v>7.4224537037037033E-2</v>
      </c>
      <c r="AI69" t="s">
        <v>818</v>
      </c>
      <c r="AJ69" s="31">
        <v>45689</v>
      </c>
      <c r="AK69" s="61">
        <v>0.14140046296296299</v>
      </c>
      <c r="AS69" s="31"/>
      <c r="AY69">
        <v>1</v>
      </c>
    </row>
    <row r="70" spans="1:51" x14ac:dyDescent="0.3">
      <c r="A70" t="s">
        <v>22</v>
      </c>
      <c r="B70">
        <v>205</v>
      </c>
      <c r="D70">
        <v>1670</v>
      </c>
      <c r="G70" t="s">
        <v>1242</v>
      </c>
      <c r="J70" t="s">
        <v>1243</v>
      </c>
      <c r="K70" t="s">
        <v>1243</v>
      </c>
      <c r="L70">
        <v>75999540838</v>
      </c>
      <c r="N70" t="s">
        <v>1245</v>
      </c>
      <c r="Q70" t="s">
        <v>778</v>
      </c>
      <c r="X70" t="s">
        <v>780</v>
      </c>
      <c r="Y70" t="s">
        <v>816</v>
      </c>
      <c r="AA70" s="31"/>
      <c r="AB70">
        <v>299984</v>
      </c>
      <c r="AC70">
        <v>0</v>
      </c>
      <c r="AD70">
        <v>0</v>
      </c>
      <c r="AE70" t="s">
        <v>22</v>
      </c>
      <c r="AF70" s="31">
        <v>45689</v>
      </c>
      <c r="AG70" s="61">
        <v>9.1087962962962968E-2</v>
      </c>
      <c r="AI70" t="s">
        <v>818</v>
      </c>
      <c r="AJ70" s="31">
        <v>45689</v>
      </c>
      <c r="AK70" s="61">
        <v>9.9201388888888895E-2</v>
      </c>
      <c r="AO70" t="s">
        <v>888</v>
      </c>
      <c r="AP70" t="s">
        <v>22</v>
      </c>
      <c r="AQ70" t="s">
        <v>888</v>
      </c>
      <c r="AS70" s="31"/>
      <c r="AY70">
        <v>1</v>
      </c>
    </row>
    <row r="71" spans="1:51" x14ac:dyDescent="0.3">
      <c r="A71" t="s">
        <v>22</v>
      </c>
      <c r="B71">
        <v>206</v>
      </c>
      <c r="D71">
        <v>1671</v>
      </c>
      <c r="G71" t="s">
        <v>1246</v>
      </c>
      <c r="J71" t="s">
        <v>1247</v>
      </c>
      <c r="K71" t="s">
        <v>1247</v>
      </c>
      <c r="L71">
        <v>55479993859</v>
      </c>
      <c r="N71" t="s">
        <v>1249</v>
      </c>
      <c r="Q71" t="s">
        <v>778</v>
      </c>
      <c r="X71" t="s">
        <v>780</v>
      </c>
      <c r="Y71" t="s">
        <v>816</v>
      </c>
      <c r="AA71" s="31"/>
      <c r="AB71">
        <v>1936</v>
      </c>
      <c r="AC71">
        <v>0</v>
      </c>
      <c r="AD71">
        <v>0</v>
      </c>
      <c r="AE71" t="s">
        <v>22</v>
      </c>
      <c r="AF71" s="31">
        <v>45689</v>
      </c>
      <c r="AG71" s="61">
        <v>9.2152777777777778E-2</v>
      </c>
      <c r="AI71" t="s">
        <v>818</v>
      </c>
      <c r="AJ71" s="31">
        <v>45689</v>
      </c>
      <c r="AK71" s="61">
        <v>9.7048611111111113E-2</v>
      </c>
      <c r="AO71" t="s">
        <v>1250</v>
      </c>
      <c r="AP71" t="s">
        <v>22</v>
      </c>
      <c r="AQ71" t="s">
        <v>1250</v>
      </c>
      <c r="AS71" s="31"/>
      <c r="AY71">
        <v>1</v>
      </c>
    </row>
    <row r="72" spans="1:51" x14ac:dyDescent="0.3">
      <c r="A72" t="s">
        <v>22</v>
      </c>
      <c r="B72">
        <v>207</v>
      </c>
      <c r="D72">
        <v>1672</v>
      </c>
      <c r="G72" t="s">
        <v>1251</v>
      </c>
      <c r="J72" t="s">
        <v>1252</v>
      </c>
      <c r="K72" t="s">
        <v>1252</v>
      </c>
      <c r="N72" t="s">
        <v>1253</v>
      </c>
      <c r="Q72" t="s">
        <v>778</v>
      </c>
      <c r="X72" t="s">
        <v>780</v>
      </c>
      <c r="Y72" t="s">
        <v>816</v>
      </c>
      <c r="AA72" s="31"/>
      <c r="AB72">
        <v>6160</v>
      </c>
      <c r="AC72">
        <v>0</v>
      </c>
      <c r="AD72">
        <v>0</v>
      </c>
      <c r="AE72" t="s">
        <v>22</v>
      </c>
      <c r="AF72" s="31">
        <v>45689</v>
      </c>
      <c r="AG72" s="61">
        <v>9.2499999999999999E-2</v>
      </c>
      <c r="AI72" t="s">
        <v>818</v>
      </c>
      <c r="AJ72" s="31">
        <v>45689</v>
      </c>
      <c r="AK72" s="61">
        <v>9.7812499999999997E-2</v>
      </c>
      <c r="AO72" t="s">
        <v>1254</v>
      </c>
      <c r="AP72" t="s">
        <v>22</v>
      </c>
      <c r="AQ72" t="s">
        <v>1254</v>
      </c>
      <c r="AS72" s="31"/>
      <c r="AY72">
        <v>1</v>
      </c>
    </row>
    <row r="73" spans="1:51" x14ac:dyDescent="0.3">
      <c r="A73" t="s">
        <v>22</v>
      </c>
      <c r="B73">
        <v>208</v>
      </c>
      <c r="D73">
        <v>1673</v>
      </c>
      <c r="G73" t="s">
        <v>1255</v>
      </c>
      <c r="J73" t="s">
        <v>678</v>
      </c>
      <c r="K73" t="s">
        <v>678</v>
      </c>
      <c r="N73" t="s">
        <v>1256</v>
      </c>
      <c r="Q73" t="s">
        <v>778</v>
      </c>
      <c r="X73" t="s">
        <v>780</v>
      </c>
      <c r="Y73" t="s">
        <v>816</v>
      </c>
      <c r="AA73" s="31"/>
      <c r="AB73">
        <v>486308</v>
      </c>
      <c r="AC73">
        <v>3564</v>
      </c>
      <c r="AD73">
        <v>0</v>
      </c>
      <c r="AE73" t="s">
        <v>22</v>
      </c>
      <c r="AF73" s="31">
        <v>45689</v>
      </c>
      <c r="AG73" s="61">
        <v>9.331018518518519E-2</v>
      </c>
      <c r="AI73" t="s">
        <v>818</v>
      </c>
      <c r="AJ73" s="31">
        <v>45689</v>
      </c>
      <c r="AK73" s="61">
        <v>9.6041666666666664E-2</v>
      </c>
      <c r="AO73" t="s">
        <v>1070</v>
      </c>
      <c r="AP73" t="s">
        <v>22</v>
      </c>
      <c r="AQ73" t="s">
        <v>1070</v>
      </c>
      <c r="AS73" s="31"/>
      <c r="AY73">
        <v>1</v>
      </c>
    </row>
    <row r="74" spans="1:51" x14ac:dyDescent="0.3">
      <c r="A74" t="s">
        <v>44</v>
      </c>
      <c r="B74">
        <v>209</v>
      </c>
      <c r="D74">
        <v>1710</v>
      </c>
      <c r="G74" t="s">
        <v>1257</v>
      </c>
      <c r="J74" t="s">
        <v>1258</v>
      </c>
      <c r="K74" t="s">
        <v>1258</v>
      </c>
      <c r="L74">
        <v>11999804489</v>
      </c>
      <c r="N74" t="s">
        <v>1260</v>
      </c>
      <c r="Q74" t="s">
        <v>778</v>
      </c>
      <c r="T74" t="s">
        <v>1068</v>
      </c>
      <c r="X74" t="s">
        <v>780</v>
      </c>
      <c r="Y74" t="s">
        <v>857</v>
      </c>
      <c r="Z74" t="s">
        <v>817</v>
      </c>
      <c r="AA74" s="31"/>
      <c r="AD74">
        <v>68</v>
      </c>
      <c r="AE74" t="s">
        <v>44</v>
      </c>
      <c r="AF74" s="31">
        <v>45694</v>
      </c>
      <c r="AG74" s="61">
        <v>0.4337152777777778</v>
      </c>
      <c r="AI74" t="s">
        <v>795</v>
      </c>
      <c r="AJ74" s="31">
        <v>45762</v>
      </c>
      <c r="AK74" s="61">
        <v>0.69322916666666667</v>
      </c>
      <c r="AL74" t="s">
        <v>796</v>
      </c>
      <c r="AM74" t="s">
        <v>1261</v>
      </c>
      <c r="AQ74" t="s">
        <v>1262</v>
      </c>
      <c r="AS74" s="31"/>
      <c r="AY74">
        <v>1</v>
      </c>
    </row>
    <row r="75" spans="1:51" x14ac:dyDescent="0.3">
      <c r="A75" t="s">
        <v>44</v>
      </c>
      <c r="B75">
        <v>210</v>
      </c>
      <c r="D75">
        <v>1711</v>
      </c>
      <c r="G75" t="s">
        <v>1263</v>
      </c>
      <c r="H75">
        <v>12792269000137</v>
      </c>
      <c r="J75" t="s">
        <v>624</v>
      </c>
      <c r="K75" t="s">
        <v>624</v>
      </c>
      <c r="L75">
        <v>11983334304</v>
      </c>
      <c r="N75" t="s">
        <v>1265</v>
      </c>
      <c r="Q75" t="s">
        <v>778</v>
      </c>
      <c r="W75" t="s">
        <v>1266</v>
      </c>
      <c r="X75" t="s">
        <v>780</v>
      </c>
      <c r="Y75" t="s">
        <v>816</v>
      </c>
      <c r="Z75" t="s">
        <v>995</v>
      </c>
      <c r="AA75" s="31"/>
      <c r="AB75">
        <v>65920</v>
      </c>
      <c r="AC75">
        <v>481924</v>
      </c>
      <c r="AD75">
        <v>25</v>
      </c>
      <c r="AE75" t="s">
        <v>44</v>
      </c>
      <c r="AF75" s="31">
        <v>45694</v>
      </c>
      <c r="AG75" s="61">
        <v>0.45374999999999999</v>
      </c>
      <c r="AI75" t="s">
        <v>818</v>
      </c>
      <c r="AJ75" s="31">
        <v>45719</v>
      </c>
      <c r="AK75" s="61">
        <v>0.4811111111111111</v>
      </c>
      <c r="AO75" t="s">
        <v>1262</v>
      </c>
      <c r="AQ75" t="s">
        <v>1262</v>
      </c>
      <c r="AR75" t="s">
        <v>1267</v>
      </c>
      <c r="AS75" s="31"/>
      <c r="AY75">
        <v>1</v>
      </c>
    </row>
    <row r="76" spans="1:51" x14ac:dyDescent="0.3">
      <c r="A76" t="s">
        <v>44</v>
      </c>
      <c r="B76">
        <v>211</v>
      </c>
      <c r="D76">
        <v>1712</v>
      </c>
      <c r="G76" t="s">
        <v>1268</v>
      </c>
      <c r="J76" t="s">
        <v>1269</v>
      </c>
      <c r="K76" t="s">
        <v>1269</v>
      </c>
      <c r="L76">
        <v>11983334304</v>
      </c>
      <c r="N76" t="s">
        <v>1265</v>
      </c>
      <c r="Q76" t="s">
        <v>778</v>
      </c>
      <c r="W76" t="s">
        <v>1266</v>
      </c>
      <c r="X76" t="s">
        <v>780</v>
      </c>
      <c r="Y76" t="s">
        <v>816</v>
      </c>
      <c r="AA76" s="31"/>
      <c r="AB76">
        <v>1600</v>
      </c>
      <c r="AC76">
        <v>25908</v>
      </c>
      <c r="AD76">
        <v>14</v>
      </c>
      <c r="AE76" t="s">
        <v>44</v>
      </c>
      <c r="AF76" s="31">
        <v>45694</v>
      </c>
      <c r="AG76" s="61">
        <v>0.48604166666666659</v>
      </c>
      <c r="AI76" t="s">
        <v>795</v>
      </c>
      <c r="AJ76" s="31">
        <v>45708</v>
      </c>
      <c r="AK76" s="61">
        <v>0.66526620370370371</v>
      </c>
      <c r="AL76" t="s">
        <v>858</v>
      </c>
      <c r="AM76" t="s">
        <v>1270</v>
      </c>
      <c r="AO76" t="s">
        <v>1262</v>
      </c>
      <c r="AQ76" t="s">
        <v>1262</v>
      </c>
      <c r="AR76" t="s">
        <v>1267</v>
      </c>
      <c r="AS76" s="31"/>
      <c r="AY76">
        <v>1</v>
      </c>
    </row>
    <row r="77" spans="1:51" x14ac:dyDescent="0.3">
      <c r="A77" t="s">
        <v>44</v>
      </c>
      <c r="B77">
        <v>212</v>
      </c>
      <c r="D77">
        <v>1713</v>
      </c>
      <c r="G77" t="s">
        <v>1271</v>
      </c>
      <c r="J77" t="s">
        <v>1272</v>
      </c>
      <c r="K77" t="s">
        <v>1272</v>
      </c>
      <c r="L77">
        <v>1935479372</v>
      </c>
      <c r="N77" t="s">
        <v>1274</v>
      </c>
      <c r="Q77" t="s">
        <v>778</v>
      </c>
      <c r="T77" t="s">
        <v>1068</v>
      </c>
      <c r="X77" t="s">
        <v>780</v>
      </c>
      <c r="Y77" t="s">
        <v>857</v>
      </c>
      <c r="Z77" t="s">
        <v>817</v>
      </c>
      <c r="AA77" s="31"/>
      <c r="AD77">
        <v>60</v>
      </c>
      <c r="AE77" t="s">
        <v>44</v>
      </c>
      <c r="AF77" s="31">
        <v>45694</v>
      </c>
      <c r="AG77" s="61">
        <v>0.5163078703703704</v>
      </c>
      <c r="AI77" t="s">
        <v>795</v>
      </c>
      <c r="AJ77" s="31">
        <v>45754</v>
      </c>
      <c r="AK77" s="61">
        <v>0.4931828703703704</v>
      </c>
      <c r="AL77" t="s">
        <v>796</v>
      </c>
      <c r="AM77" t="s">
        <v>1275</v>
      </c>
      <c r="AQ77" t="s">
        <v>1262</v>
      </c>
      <c r="AS77" s="31"/>
      <c r="AY77">
        <v>1</v>
      </c>
    </row>
    <row r="78" spans="1:51" x14ac:dyDescent="0.3">
      <c r="A78" t="s">
        <v>44</v>
      </c>
      <c r="B78">
        <v>213</v>
      </c>
      <c r="D78">
        <v>1714</v>
      </c>
      <c r="G78" t="s">
        <v>1276</v>
      </c>
      <c r="J78" t="s">
        <v>1277</v>
      </c>
      <c r="K78" t="s">
        <v>1277</v>
      </c>
      <c r="L78">
        <v>1168296999</v>
      </c>
      <c r="N78" t="s">
        <v>1279</v>
      </c>
      <c r="Q78" t="s">
        <v>778</v>
      </c>
      <c r="X78" t="s">
        <v>780</v>
      </c>
      <c r="Y78" t="s">
        <v>897</v>
      </c>
      <c r="AA78" s="31"/>
      <c r="AB78">
        <v>14400</v>
      </c>
      <c r="AC78">
        <v>18034</v>
      </c>
      <c r="AD78">
        <v>43</v>
      </c>
      <c r="AE78" t="s">
        <v>44</v>
      </c>
      <c r="AF78" s="31">
        <v>45694</v>
      </c>
      <c r="AG78" s="61">
        <v>0.52555555555555555</v>
      </c>
      <c r="AI78" t="s">
        <v>795</v>
      </c>
      <c r="AJ78" s="31">
        <v>45737</v>
      </c>
      <c r="AK78" s="61">
        <v>0.60868055555555556</v>
      </c>
      <c r="AL78" t="s">
        <v>858</v>
      </c>
      <c r="AM78" t="s">
        <v>1280</v>
      </c>
      <c r="AO78" t="s">
        <v>1281</v>
      </c>
      <c r="AQ78" t="s">
        <v>1262</v>
      </c>
      <c r="AS78" s="31"/>
      <c r="AY78">
        <v>1</v>
      </c>
    </row>
    <row r="79" spans="1:51" x14ac:dyDescent="0.3">
      <c r="A79" t="s">
        <v>22</v>
      </c>
      <c r="B79">
        <v>214</v>
      </c>
      <c r="D79">
        <v>1661</v>
      </c>
      <c r="G79" t="s">
        <v>1282</v>
      </c>
      <c r="J79" t="s">
        <v>914</v>
      </c>
      <c r="K79" t="s">
        <v>914</v>
      </c>
      <c r="L79" t="s">
        <v>1283</v>
      </c>
      <c r="N79" t="s">
        <v>1284</v>
      </c>
      <c r="Q79" t="s">
        <v>778</v>
      </c>
      <c r="R79" t="s">
        <v>1285</v>
      </c>
      <c r="T79" t="s">
        <v>814</v>
      </c>
      <c r="X79" t="s">
        <v>780</v>
      </c>
      <c r="Y79" t="s">
        <v>807</v>
      </c>
      <c r="AA79" s="31"/>
      <c r="AD79">
        <v>0</v>
      </c>
      <c r="AE79" t="s">
        <v>22</v>
      </c>
      <c r="AF79" s="31">
        <v>45694</v>
      </c>
      <c r="AG79" s="61">
        <v>0.57986111111111116</v>
      </c>
      <c r="AI79" t="s">
        <v>795</v>
      </c>
      <c r="AJ79" s="31">
        <v>45694</v>
      </c>
      <c r="AK79" s="61">
        <v>0.72984953703703703</v>
      </c>
      <c r="AL79" t="s">
        <v>867</v>
      </c>
      <c r="AO79" t="s">
        <v>1286</v>
      </c>
      <c r="AQ79" t="s">
        <v>1286</v>
      </c>
      <c r="AS79" s="31"/>
      <c r="AY79">
        <v>1</v>
      </c>
    </row>
    <row r="80" spans="1:51" x14ac:dyDescent="0.3">
      <c r="A80" t="s">
        <v>22</v>
      </c>
      <c r="B80">
        <v>215</v>
      </c>
      <c r="D80">
        <v>1715</v>
      </c>
      <c r="G80" t="s">
        <v>1287</v>
      </c>
      <c r="J80" t="s">
        <v>1288</v>
      </c>
      <c r="K80" t="s">
        <v>1288</v>
      </c>
      <c r="L80" t="s">
        <v>1289</v>
      </c>
      <c r="N80" t="s">
        <v>1290</v>
      </c>
      <c r="Q80" t="s">
        <v>778</v>
      </c>
      <c r="T80" t="s">
        <v>814</v>
      </c>
      <c r="W80" t="s">
        <v>1291</v>
      </c>
      <c r="X80" t="s">
        <v>780</v>
      </c>
      <c r="Y80" t="s">
        <v>807</v>
      </c>
      <c r="AA80" s="31"/>
      <c r="AB80">
        <v>43740</v>
      </c>
      <c r="AC80">
        <v>158239</v>
      </c>
      <c r="AD80">
        <v>13</v>
      </c>
      <c r="AE80" t="s">
        <v>22</v>
      </c>
      <c r="AF80" s="31">
        <v>45694</v>
      </c>
      <c r="AG80" s="61">
        <v>0.58037037037037043</v>
      </c>
      <c r="AI80" t="s">
        <v>795</v>
      </c>
      <c r="AJ80" s="31">
        <v>45707</v>
      </c>
      <c r="AK80" s="61">
        <v>0.38752314814814809</v>
      </c>
      <c r="AL80" t="s">
        <v>867</v>
      </c>
      <c r="AO80" t="s">
        <v>1292</v>
      </c>
      <c r="AQ80" t="s">
        <v>1293</v>
      </c>
      <c r="AS80" s="31"/>
      <c r="AY80">
        <v>1</v>
      </c>
    </row>
    <row r="81" spans="1:51" x14ac:dyDescent="0.3">
      <c r="A81" t="s">
        <v>22</v>
      </c>
      <c r="B81">
        <v>219</v>
      </c>
      <c r="D81">
        <v>1720</v>
      </c>
      <c r="G81" t="s">
        <v>1294</v>
      </c>
      <c r="J81" t="s">
        <v>1295</v>
      </c>
      <c r="K81" t="s">
        <v>1295</v>
      </c>
      <c r="L81">
        <v>11951945790</v>
      </c>
      <c r="N81" t="s">
        <v>1297</v>
      </c>
      <c r="Q81" t="s">
        <v>778</v>
      </c>
      <c r="X81" t="s">
        <v>780</v>
      </c>
      <c r="Y81" t="s">
        <v>816</v>
      </c>
      <c r="AA81" s="31"/>
      <c r="AB81">
        <v>14400</v>
      </c>
      <c r="AC81">
        <v>122984</v>
      </c>
      <c r="AD81">
        <v>8</v>
      </c>
      <c r="AE81" t="s">
        <v>22</v>
      </c>
      <c r="AF81" s="31">
        <v>45694</v>
      </c>
      <c r="AG81" s="61">
        <v>0.73803240740740739</v>
      </c>
      <c r="AI81" t="s">
        <v>818</v>
      </c>
      <c r="AJ81" s="31">
        <v>45702</v>
      </c>
      <c r="AK81" s="61">
        <v>0.46967592592592589</v>
      </c>
      <c r="AO81" t="s">
        <v>1293</v>
      </c>
      <c r="AP81" t="s">
        <v>22</v>
      </c>
      <c r="AQ81" t="s">
        <v>1293</v>
      </c>
      <c r="AS81" s="31"/>
      <c r="AY81">
        <v>1</v>
      </c>
    </row>
    <row r="82" spans="1:51" x14ac:dyDescent="0.3">
      <c r="A82" t="s">
        <v>44</v>
      </c>
      <c r="B82">
        <v>230</v>
      </c>
      <c r="D82">
        <v>1734</v>
      </c>
      <c r="G82" t="s">
        <v>1298</v>
      </c>
      <c r="J82" t="s">
        <v>1299</v>
      </c>
      <c r="K82" t="s">
        <v>1299</v>
      </c>
      <c r="L82">
        <v>21968201725</v>
      </c>
      <c r="N82" t="s">
        <v>1301</v>
      </c>
      <c r="Q82" t="s">
        <v>778</v>
      </c>
      <c r="T82" t="s">
        <v>1068</v>
      </c>
      <c r="W82" t="s">
        <v>1302</v>
      </c>
      <c r="X82" t="s">
        <v>780</v>
      </c>
      <c r="Y82" t="s">
        <v>816</v>
      </c>
      <c r="Z82" t="s">
        <v>817</v>
      </c>
      <c r="AA82" s="31"/>
      <c r="AB82">
        <v>56000</v>
      </c>
      <c r="AC82">
        <v>2101739</v>
      </c>
      <c r="AD82">
        <v>161</v>
      </c>
      <c r="AE82" t="s">
        <v>44</v>
      </c>
      <c r="AF82" s="31">
        <v>45698</v>
      </c>
      <c r="AG82" s="61">
        <v>0.32956018518518521</v>
      </c>
      <c r="AI82" t="s">
        <v>795</v>
      </c>
      <c r="AJ82" s="31">
        <v>45859</v>
      </c>
      <c r="AK82" s="61">
        <v>0.40759259259259262</v>
      </c>
      <c r="AL82" t="s">
        <v>796</v>
      </c>
      <c r="AM82" t="s">
        <v>1303</v>
      </c>
      <c r="AO82" t="s">
        <v>1304</v>
      </c>
      <c r="AQ82" t="s">
        <v>1305</v>
      </c>
      <c r="AS82" s="31"/>
      <c r="AY82">
        <v>1</v>
      </c>
    </row>
    <row r="83" spans="1:51" x14ac:dyDescent="0.3">
      <c r="A83" t="s">
        <v>22</v>
      </c>
      <c r="B83">
        <v>231</v>
      </c>
      <c r="D83">
        <v>1733</v>
      </c>
      <c r="E83" t="s">
        <v>1306</v>
      </c>
      <c r="F83" t="s">
        <v>1307</v>
      </c>
      <c r="G83" t="s">
        <v>1308</v>
      </c>
      <c r="H83">
        <v>14936505000258</v>
      </c>
      <c r="J83" t="s">
        <v>1309</v>
      </c>
      <c r="K83" t="s">
        <v>1309</v>
      </c>
      <c r="L83" t="s">
        <v>1310</v>
      </c>
      <c r="N83" t="s">
        <v>1311</v>
      </c>
      <c r="Q83" t="s">
        <v>778</v>
      </c>
      <c r="R83" t="s">
        <v>1312</v>
      </c>
      <c r="S83" t="s">
        <v>790</v>
      </c>
      <c r="T83" t="s">
        <v>1068</v>
      </c>
      <c r="W83" t="s">
        <v>1068</v>
      </c>
      <c r="X83" t="s">
        <v>780</v>
      </c>
      <c r="Y83" t="s">
        <v>897</v>
      </c>
      <c r="AA83" s="31"/>
      <c r="AD83">
        <v>38</v>
      </c>
      <c r="AE83" t="s">
        <v>794</v>
      </c>
      <c r="AF83" s="31">
        <v>45699</v>
      </c>
      <c r="AG83" s="61">
        <v>0.65057870370370374</v>
      </c>
      <c r="AI83" t="s">
        <v>795</v>
      </c>
      <c r="AJ83" s="31">
        <v>45737</v>
      </c>
      <c r="AK83" s="61">
        <v>0.63589120370370367</v>
      </c>
      <c r="AL83" t="s">
        <v>1226</v>
      </c>
      <c r="AM83" t="s">
        <v>1313</v>
      </c>
      <c r="AN83" t="s">
        <v>1314</v>
      </c>
      <c r="AP83" t="s">
        <v>794</v>
      </c>
      <c r="AQ83" t="s">
        <v>1315</v>
      </c>
      <c r="AS83" s="31"/>
      <c r="AY83">
        <v>1</v>
      </c>
    </row>
    <row r="84" spans="1:51" x14ac:dyDescent="0.3">
      <c r="A84" t="s">
        <v>22</v>
      </c>
      <c r="B84">
        <v>232</v>
      </c>
      <c r="D84">
        <v>1704</v>
      </c>
      <c r="G84" t="s">
        <v>1316</v>
      </c>
      <c r="H84">
        <v>29432229000187</v>
      </c>
      <c r="J84" t="s">
        <v>1317</v>
      </c>
      <c r="K84" t="s">
        <v>1317</v>
      </c>
      <c r="L84" t="s">
        <v>1318</v>
      </c>
      <c r="N84" t="s">
        <v>1319</v>
      </c>
      <c r="Q84" t="s">
        <v>778</v>
      </c>
      <c r="T84" t="s">
        <v>805</v>
      </c>
      <c r="W84" t="s">
        <v>1320</v>
      </c>
      <c r="X84" t="s">
        <v>780</v>
      </c>
      <c r="Y84" t="s">
        <v>897</v>
      </c>
      <c r="AA84" s="31"/>
      <c r="AD84">
        <v>42</v>
      </c>
      <c r="AE84" t="s">
        <v>794</v>
      </c>
      <c r="AF84" s="31">
        <v>45700</v>
      </c>
      <c r="AG84" s="61">
        <v>0.45228009259259261</v>
      </c>
      <c r="AI84" t="s">
        <v>795</v>
      </c>
      <c r="AJ84" s="31">
        <v>45742</v>
      </c>
      <c r="AK84" s="61">
        <v>0.73261574074074076</v>
      </c>
      <c r="AL84" t="s">
        <v>867</v>
      </c>
      <c r="AN84" t="s">
        <v>1321</v>
      </c>
      <c r="AP84" t="s">
        <v>794</v>
      </c>
      <c r="AQ84" t="s">
        <v>1322</v>
      </c>
      <c r="AS84" s="31"/>
      <c r="AY84">
        <v>1</v>
      </c>
    </row>
    <row r="85" spans="1:51" x14ac:dyDescent="0.3">
      <c r="A85" t="s">
        <v>44</v>
      </c>
      <c r="B85">
        <v>233</v>
      </c>
      <c r="D85">
        <v>1747</v>
      </c>
      <c r="G85" t="s">
        <v>1323</v>
      </c>
      <c r="J85" t="s">
        <v>1324</v>
      </c>
      <c r="K85" t="s">
        <v>1324</v>
      </c>
      <c r="L85">
        <v>14996930353</v>
      </c>
      <c r="N85" t="s">
        <v>1326</v>
      </c>
      <c r="Q85" t="s">
        <v>778</v>
      </c>
      <c r="W85" t="s">
        <v>1327</v>
      </c>
      <c r="X85" t="s">
        <v>780</v>
      </c>
      <c r="Y85" t="s">
        <v>816</v>
      </c>
      <c r="AA85" s="31"/>
      <c r="AB85">
        <v>60534</v>
      </c>
      <c r="AC85">
        <v>27562</v>
      </c>
      <c r="AD85">
        <v>18</v>
      </c>
      <c r="AE85" t="s">
        <v>44</v>
      </c>
      <c r="AF85" s="31">
        <v>45701</v>
      </c>
      <c r="AG85" s="61">
        <v>0.4293865740740741</v>
      </c>
      <c r="AI85" t="s">
        <v>818</v>
      </c>
      <c r="AJ85" s="31">
        <v>45719</v>
      </c>
      <c r="AK85" s="61">
        <v>0.4816435185185185</v>
      </c>
      <c r="AO85" t="s">
        <v>1328</v>
      </c>
      <c r="AQ85" t="s">
        <v>1305</v>
      </c>
      <c r="AS85" s="31"/>
      <c r="AY85">
        <v>1</v>
      </c>
    </row>
    <row r="86" spans="1:51" x14ac:dyDescent="0.3">
      <c r="A86" t="s">
        <v>44</v>
      </c>
      <c r="B86">
        <v>234</v>
      </c>
      <c r="D86">
        <v>1748</v>
      </c>
      <c r="G86" t="s">
        <v>1329</v>
      </c>
      <c r="H86">
        <v>26981837000152</v>
      </c>
      <c r="J86" t="s">
        <v>1330</v>
      </c>
      <c r="K86" t="s">
        <v>1330</v>
      </c>
      <c r="L86" t="s">
        <v>1331</v>
      </c>
      <c r="N86" t="s">
        <v>1332</v>
      </c>
      <c r="Q86" t="s">
        <v>778</v>
      </c>
      <c r="R86" t="s">
        <v>1333</v>
      </c>
      <c r="S86" t="s">
        <v>1334</v>
      </c>
      <c r="W86" t="s">
        <v>1327</v>
      </c>
      <c r="X86" t="s">
        <v>780</v>
      </c>
      <c r="Y86" t="s">
        <v>793</v>
      </c>
      <c r="AA86" s="31"/>
      <c r="AB86">
        <v>40440</v>
      </c>
      <c r="AC86">
        <v>340574</v>
      </c>
      <c r="AD86">
        <v>11</v>
      </c>
      <c r="AE86" t="s">
        <v>44</v>
      </c>
      <c r="AF86" s="31">
        <v>45701</v>
      </c>
      <c r="AG86" s="61">
        <v>0.45105324074074082</v>
      </c>
      <c r="AI86" t="s">
        <v>795</v>
      </c>
      <c r="AJ86" s="31">
        <v>45712</v>
      </c>
      <c r="AK86" s="61">
        <v>0.69750000000000001</v>
      </c>
      <c r="AL86" t="s">
        <v>867</v>
      </c>
      <c r="AM86" t="s">
        <v>1335</v>
      </c>
      <c r="AO86" t="s">
        <v>1328</v>
      </c>
      <c r="AQ86" t="s">
        <v>1336</v>
      </c>
      <c r="AS86" s="31"/>
      <c r="AY86">
        <v>1</v>
      </c>
    </row>
    <row r="87" spans="1:51" x14ac:dyDescent="0.3">
      <c r="A87" t="s">
        <v>44</v>
      </c>
      <c r="B87">
        <v>235</v>
      </c>
      <c r="D87">
        <v>1750</v>
      </c>
      <c r="G87" t="s">
        <v>1337</v>
      </c>
      <c r="H87">
        <v>43530585000164</v>
      </c>
      <c r="J87" t="s">
        <v>1338</v>
      </c>
      <c r="K87" t="s">
        <v>1338</v>
      </c>
      <c r="L87" t="s">
        <v>1339</v>
      </c>
      <c r="N87" t="s">
        <v>1340</v>
      </c>
      <c r="Q87" t="s">
        <v>778</v>
      </c>
      <c r="R87" t="s">
        <v>1341</v>
      </c>
      <c r="S87" t="s">
        <v>932</v>
      </c>
      <c r="W87" t="s">
        <v>1327</v>
      </c>
      <c r="X87" t="s">
        <v>780</v>
      </c>
      <c r="Y87" t="s">
        <v>793</v>
      </c>
      <c r="AA87" s="31"/>
      <c r="AB87">
        <v>4663152</v>
      </c>
      <c r="AC87">
        <v>15528</v>
      </c>
      <c r="AD87">
        <v>11</v>
      </c>
      <c r="AE87" t="s">
        <v>44</v>
      </c>
      <c r="AF87" s="31">
        <v>45701</v>
      </c>
      <c r="AG87" s="61">
        <v>0.46368055555555548</v>
      </c>
      <c r="AI87" t="s">
        <v>795</v>
      </c>
      <c r="AJ87" s="31">
        <v>45712</v>
      </c>
      <c r="AK87" s="61">
        <v>0.71800925925925929</v>
      </c>
      <c r="AL87" t="s">
        <v>867</v>
      </c>
      <c r="AM87" t="s">
        <v>1342</v>
      </c>
      <c r="AO87" t="s">
        <v>1343</v>
      </c>
      <c r="AQ87" t="s">
        <v>1336</v>
      </c>
      <c r="AS87" s="31"/>
      <c r="AY87">
        <v>1</v>
      </c>
    </row>
    <row r="88" spans="1:51" x14ac:dyDescent="0.3">
      <c r="A88" t="s">
        <v>44</v>
      </c>
      <c r="B88">
        <v>236</v>
      </c>
      <c r="D88">
        <v>1754</v>
      </c>
      <c r="G88" t="s">
        <v>1344</v>
      </c>
      <c r="H88">
        <v>43530585000164</v>
      </c>
      <c r="J88" t="s">
        <v>1345</v>
      </c>
      <c r="K88" t="s">
        <v>1345</v>
      </c>
      <c r="L88" t="s">
        <v>1339</v>
      </c>
      <c r="N88" t="s">
        <v>1340</v>
      </c>
      <c r="Q88" t="s">
        <v>778</v>
      </c>
      <c r="R88" t="s">
        <v>1341</v>
      </c>
      <c r="S88" t="s">
        <v>932</v>
      </c>
      <c r="W88" t="s">
        <v>1327</v>
      </c>
      <c r="X88" t="s">
        <v>780</v>
      </c>
      <c r="Y88" t="s">
        <v>793</v>
      </c>
      <c r="AA88" s="31"/>
      <c r="AB88">
        <v>23580</v>
      </c>
      <c r="AC88">
        <v>3060</v>
      </c>
      <c r="AD88">
        <v>11</v>
      </c>
      <c r="AE88" t="s">
        <v>44</v>
      </c>
      <c r="AF88" s="31">
        <v>45701</v>
      </c>
      <c r="AG88" s="61">
        <v>0.46849537037037042</v>
      </c>
      <c r="AI88" t="s">
        <v>795</v>
      </c>
      <c r="AJ88" s="31">
        <v>45712</v>
      </c>
      <c r="AK88" s="61">
        <v>0.71834490740740742</v>
      </c>
      <c r="AL88" t="s">
        <v>867</v>
      </c>
      <c r="AM88" t="s">
        <v>1342</v>
      </c>
      <c r="AO88" t="s">
        <v>1343</v>
      </c>
      <c r="AQ88" t="s">
        <v>1336</v>
      </c>
      <c r="AS88" s="31"/>
      <c r="AY88">
        <v>1</v>
      </c>
    </row>
    <row r="89" spans="1:51" x14ac:dyDescent="0.3">
      <c r="A89" t="s">
        <v>44</v>
      </c>
      <c r="B89">
        <v>237</v>
      </c>
      <c r="D89">
        <v>1758</v>
      </c>
      <c r="G89" t="s">
        <v>1346</v>
      </c>
      <c r="H89">
        <v>12182313000197</v>
      </c>
      <c r="J89" t="s">
        <v>1347</v>
      </c>
      <c r="K89" t="s">
        <v>1347</v>
      </c>
      <c r="L89" t="s">
        <v>1348</v>
      </c>
      <c r="N89" t="s">
        <v>1349</v>
      </c>
      <c r="Q89" t="s">
        <v>778</v>
      </c>
      <c r="R89" t="s">
        <v>1350</v>
      </c>
      <c r="S89" t="s">
        <v>874</v>
      </c>
      <c r="T89" t="s">
        <v>1068</v>
      </c>
      <c r="W89" t="s">
        <v>1327</v>
      </c>
      <c r="X89" t="s">
        <v>780</v>
      </c>
      <c r="Y89" t="s">
        <v>793</v>
      </c>
      <c r="Z89" t="s">
        <v>817</v>
      </c>
      <c r="AA89" s="31"/>
      <c r="AB89">
        <v>85500</v>
      </c>
      <c r="AC89">
        <v>769354</v>
      </c>
      <c r="AD89">
        <v>62</v>
      </c>
      <c r="AE89" t="s">
        <v>44</v>
      </c>
      <c r="AF89" s="31">
        <v>45701</v>
      </c>
      <c r="AG89" s="61">
        <v>0.47734953703703698</v>
      </c>
      <c r="AI89" t="s">
        <v>795</v>
      </c>
      <c r="AJ89" s="31">
        <v>45763</v>
      </c>
      <c r="AK89" s="61">
        <v>0.39438657407407413</v>
      </c>
      <c r="AL89" t="s">
        <v>796</v>
      </c>
      <c r="AM89" t="s">
        <v>1351</v>
      </c>
      <c r="AO89" t="s">
        <v>1352</v>
      </c>
      <c r="AQ89" t="s">
        <v>1305</v>
      </c>
      <c r="AS89" s="31"/>
      <c r="AY89">
        <v>1</v>
      </c>
    </row>
    <row r="90" spans="1:51" x14ac:dyDescent="0.3">
      <c r="A90" t="s">
        <v>22</v>
      </c>
      <c r="B90">
        <v>242</v>
      </c>
      <c r="D90">
        <v>1746</v>
      </c>
      <c r="G90" t="s">
        <v>1353</v>
      </c>
      <c r="H90">
        <v>865166000170</v>
      </c>
      <c r="J90" t="s">
        <v>1354</v>
      </c>
      <c r="K90" t="s">
        <v>1354</v>
      </c>
      <c r="L90" t="s">
        <v>1355</v>
      </c>
      <c r="N90" t="s">
        <v>1356</v>
      </c>
      <c r="Q90" t="s">
        <v>778</v>
      </c>
      <c r="R90" t="s">
        <v>1104</v>
      </c>
      <c r="T90" t="s">
        <v>814</v>
      </c>
      <c r="W90" t="s">
        <v>1357</v>
      </c>
      <c r="X90" t="s">
        <v>780</v>
      </c>
      <c r="Y90" t="s">
        <v>807</v>
      </c>
      <c r="AA90" s="31"/>
      <c r="AD90">
        <v>25</v>
      </c>
      <c r="AE90" t="s">
        <v>22</v>
      </c>
      <c r="AF90" s="31">
        <v>45701</v>
      </c>
      <c r="AG90" s="61">
        <v>0.73598379629629629</v>
      </c>
      <c r="AI90" t="s">
        <v>795</v>
      </c>
      <c r="AJ90" s="31">
        <v>45726</v>
      </c>
      <c r="AK90" s="61">
        <v>0.73435185185185181</v>
      </c>
      <c r="AL90" t="s">
        <v>1358</v>
      </c>
      <c r="AP90" t="s">
        <v>22</v>
      </c>
      <c r="AQ90" t="s">
        <v>1359</v>
      </c>
      <c r="AS90" s="31"/>
      <c r="AY90">
        <v>1</v>
      </c>
    </row>
    <row r="91" spans="1:51" x14ac:dyDescent="0.3">
      <c r="A91" t="s">
        <v>22</v>
      </c>
      <c r="B91">
        <v>245</v>
      </c>
      <c r="D91">
        <v>1763</v>
      </c>
      <c r="G91" t="s">
        <v>1360</v>
      </c>
      <c r="H91">
        <v>30164963000191</v>
      </c>
      <c r="J91" t="s">
        <v>1361</v>
      </c>
      <c r="K91" t="s">
        <v>1361</v>
      </c>
      <c r="L91" t="s">
        <v>1362</v>
      </c>
      <c r="N91" t="s">
        <v>1363</v>
      </c>
      <c r="Q91" t="s">
        <v>778</v>
      </c>
      <c r="R91" t="s">
        <v>923</v>
      </c>
      <c r="T91" t="s">
        <v>814</v>
      </c>
      <c r="W91" t="s">
        <v>1291</v>
      </c>
      <c r="X91" t="s">
        <v>780</v>
      </c>
      <c r="Y91" t="s">
        <v>816</v>
      </c>
      <c r="AA91" s="31"/>
      <c r="AB91">
        <v>46332</v>
      </c>
      <c r="AC91">
        <v>257546</v>
      </c>
      <c r="AD91">
        <v>35</v>
      </c>
      <c r="AE91" t="s">
        <v>22</v>
      </c>
      <c r="AF91" s="31">
        <v>45702</v>
      </c>
      <c r="AG91" s="61">
        <v>0.46055555555555561</v>
      </c>
      <c r="AI91" t="s">
        <v>818</v>
      </c>
      <c r="AJ91" s="31">
        <v>45737</v>
      </c>
      <c r="AK91" s="61">
        <v>0.61858796296296292</v>
      </c>
      <c r="AO91" t="s">
        <v>1364</v>
      </c>
      <c r="AP91" t="s">
        <v>22</v>
      </c>
      <c r="AQ91" t="s">
        <v>1359</v>
      </c>
      <c r="AS91" s="31"/>
      <c r="AY91">
        <v>1</v>
      </c>
    </row>
    <row r="92" spans="1:51" x14ac:dyDescent="0.3">
      <c r="A92" t="s">
        <v>22</v>
      </c>
      <c r="B92">
        <v>246</v>
      </c>
      <c r="D92">
        <v>1768</v>
      </c>
      <c r="G92" t="s">
        <v>1365</v>
      </c>
      <c r="J92" t="s">
        <v>1366</v>
      </c>
      <c r="K92" t="s">
        <v>1366</v>
      </c>
      <c r="L92">
        <v>11951945790</v>
      </c>
      <c r="N92" t="s">
        <v>1297</v>
      </c>
      <c r="Q92" t="s">
        <v>778</v>
      </c>
      <c r="X92" t="s">
        <v>780</v>
      </c>
      <c r="Y92" t="s">
        <v>816</v>
      </c>
      <c r="AA92" s="31"/>
      <c r="AB92">
        <v>0</v>
      </c>
      <c r="AC92">
        <v>3062</v>
      </c>
      <c r="AD92">
        <v>0</v>
      </c>
      <c r="AE92" t="s">
        <v>22</v>
      </c>
      <c r="AF92" s="31">
        <v>45702</v>
      </c>
      <c r="AG92" s="61">
        <v>0.4742939814814815</v>
      </c>
      <c r="AI92" t="s">
        <v>818</v>
      </c>
      <c r="AJ92" s="31">
        <v>45702</v>
      </c>
      <c r="AK92" s="61">
        <v>0.47730324074074082</v>
      </c>
      <c r="AO92" t="s">
        <v>1328</v>
      </c>
      <c r="AP92" t="s">
        <v>22</v>
      </c>
      <c r="AQ92" t="s">
        <v>1328</v>
      </c>
      <c r="AS92" s="31"/>
      <c r="AY92">
        <v>1</v>
      </c>
    </row>
    <row r="93" spans="1:51" x14ac:dyDescent="0.3">
      <c r="A93" t="s">
        <v>22</v>
      </c>
      <c r="B93">
        <v>248</v>
      </c>
      <c r="D93">
        <v>1770</v>
      </c>
      <c r="G93" t="s">
        <v>1367</v>
      </c>
      <c r="J93" t="s">
        <v>1368</v>
      </c>
      <c r="K93" t="s">
        <v>1368</v>
      </c>
      <c r="L93">
        <v>11941743784</v>
      </c>
      <c r="N93" t="s">
        <v>1370</v>
      </c>
      <c r="Q93" t="s">
        <v>778</v>
      </c>
      <c r="T93" t="s">
        <v>1068</v>
      </c>
      <c r="W93" t="s">
        <v>1327</v>
      </c>
      <c r="X93" t="s">
        <v>780</v>
      </c>
      <c r="Y93" t="s">
        <v>807</v>
      </c>
      <c r="Z93" t="s">
        <v>817</v>
      </c>
      <c r="AA93" s="31"/>
      <c r="AB93">
        <v>64600</v>
      </c>
      <c r="AC93">
        <v>199064</v>
      </c>
      <c r="AD93">
        <v>53</v>
      </c>
      <c r="AE93" t="s">
        <v>22</v>
      </c>
      <c r="AF93" s="31">
        <v>45702</v>
      </c>
      <c r="AG93" s="61">
        <v>0.67921296296296296</v>
      </c>
      <c r="AI93" t="s">
        <v>795</v>
      </c>
      <c r="AJ93" s="31">
        <v>45755</v>
      </c>
      <c r="AK93" s="61">
        <v>0.37805555555555548</v>
      </c>
      <c r="AL93" t="s">
        <v>858</v>
      </c>
      <c r="AO93" t="s">
        <v>1343</v>
      </c>
      <c r="AQ93" t="s">
        <v>1328</v>
      </c>
      <c r="AS93" s="31"/>
      <c r="AY93">
        <v>1</v>
      </c>
    </row>
    <row r="94" spans="1:51" x14ac:dyDescent="0.3">
      <c r="A94" t="s">
        <v>22</v>
      </c>
      <c r="B94">
        <v>249</v>
      </c>
      <c r="D94">
        <v>1771</v>
      </c>
      <c r="G94" t="s">
        <v>1371</v>
      </c>
      <c r="J94" t="s">
        <v>1372</v>
      </c>
      <c r="K94" t="s">
        <v>1372</v>
      </c>
      <c r="L94">
        <v>11996600206</v>
      </c>
      <c r="N94" t="s">
        <v>1111</v>
      </c>
      <c r="Q94" t="s">
        <v>778</v>
      </c>
      <c r="T94" t="s">
        <v>933</v>
      </c>
      <c r="W94" t="s">
        <v>1327</v>
      </c>
      <c r="X94" t="s">
        <v>780</v>
      </c>
      <c r="Y94" t="s">
        <v>807</v>
      </c>
      <c r="Z94" t="s">
        <v>817</v>
      </c>
      <c r="AA94" s="31"/>
      <c r="AB94">
        <v>16000</v>
      </c>
      <c r="AC94">
        <v>3724</v>
      </c>
      <c r="AD94">
        <v>116</v>
      </c>
      <c r="AE94" t="s">
        <v>22</v>
      </c>
      <c r="AF94" s="31">
        <v>45702</v>
      </c>
      <c r="AG94" s="61">
        <v>0.68333333333333335</v>
      </c>
      <c r="AI94" t="s">
        <v>795</v>
      </c>
      <c r="AJ94" s="31">
        <v>45818</v>
      </c>
      <c r="AK94" s="61">
        <v>0.61789351851851848</v>
      </c>
      <c r="AL94" t="s">
        <v>858</v>
      </c>
      <c r="AO94" t="s">
        <v>1374</v>
      </c>
      <c r="AP94" t="s">
        <v>22</v>
      </c>
      <c r="AQ94" t="s">
        <v>1343</v>
      </c>
      <c r="AS94" s="31"/>
      <c r="AY94">
        <v>1</v>
      </c>
    </row>
    <row r="95" spans="1:51" x14ac:dyDescent="0.3">
      <c r="A95" t="s">
        <v>22</v>
      </c>
      <c r="B95">
        <v>250</v>
      </c>
      <c r="D95">
        <v>1772</v>
      </c>
      <c r="G95" t="s">
        <v>1375</v>
      </c>
      <c r="J95" t="s">
        <v>1239</v>
      </c>
      <c r="K95" t="s">
        <v>1239</v>
      </c>
      <c r="L95">
        <v>11981721166</v>
      </c>
      <c r="N95" t="s">
        <v>1111</v>
      </c>
      <c r="Q95" t="s">
        <v>778</v>
      </c>
      <c r="T95" t="s">
        <v>1068</v>
      </c>
      <c r="W95" t="s">
        <v>1377</v>
      </c>
      <c r="X95" t="s">
        <v>780</v>
      </c>
      <c r="Y95" t="s">
        <v>857</v>
      </c>
      <c r="Z95" t="s">
        <v>817</v>
      </c>
      <c r="AA95" s="31">
        <v>46935</v>
      </c>
      <c r="AD95">
        <v>208</v>
      </c>
      <c r="AE95" t="s">
        <v>22</v>
      </c>
      <c r="AF95" s="31">
        <v>45702</v>
      </c>
      <c r="AG95" s="61">
        <v>0.68557870370370366</v>
      </c>
      <c r="AI95" t="s">
        <v>795</v>
      </c>
      <c r="AJ95" s="31">
        <v>45910</v>
      </c>
      <c r="AK95" s="61">
        <v>0.6743055555555556</v>
      </c>
      <c r="AL95" t="s">
        <v>796</v>
      </c>
      <c r="AP95" t="s">
        <v>22</v>
      </c>
      <c r="AQ95" t="s">
        <v>1378</v>
      </c>
      <c r="AS95" s="31"/>
      <c r="AY95">
        <v>1</v>
      </c>
    </row>
    <row r="96" spans="1:51" x14ac:dyDescent="0.3">
      <c r="A96" t="s">
        <v>22</v>
      </c>
      <c r="B96">
        <v>253</v>
      </c>
      <c r="D96">
        <v>1776</v>
      </c>
      <c r="G96" t="s">
        <v>1379</v>
      </c>
      <c r="J96" t="s">
        <v>1380</v>
      </c>
      <c r="K96" t="s">
        <v>1380</v>
      </c>
      <c r="L96">
        <v>31984513164</v>
      </c>
      <c r="N96" t="s">
        <v>1111</v>
      </c>
      <c r="Q96" t="s">
        <v>778</v>
      </c>
      <c r="T96" t="s">
        <v>1068</v>
      </c>
      <c r="W96" t="s">
        <v>1382</v>
      </c>
      <c r="X96" t="s">
        <v>780</v>
      </c>
      <c r="Y96" t="s">
        <v>807</v>
      </c>
      <c r="Z96" t="s">
        <v>817</v>
      </c>
      <c r="AA96" s="31">
        <v>46037</v>
      </c>
      <c r="AB96">
        <v>48000</v>
      </c>
      <c r="AC96">
        <v>1690959</v>
      </c>
      <c r="AD96">
        <v>299</v>
      </c>
      <c r="AE96" t="s">
        <v>22</v>
      </c>
      <c r="AF96" s="31">
        <v>45702</v>
      </c>
      <c r="AG96" s="61">
        <v>0.72782407407407412</v>
      </c>
      <c r="AI96" t="s">
        <v>795</v>
      </c>
      <c r="AJ96" s="31">
        <v>46001</v>
      </c>
      <c r="AK96" s="61">
        <v>0.71494212962962966</v>
      </c>
      <c r="AL96" t="s">
        <v>858</v>
      </c>
      <c r="AO96" t="s">
        <v>1383</v>
      </c>
      <c r="AP96" t="s">
        <v>22</v>
      </c>
      <c r="AQ96" t="s">
        <v>1359</v>
      </c>
      <c r="AS96" s="31"/>
      <c r="AY96">
        <v>1</v>
      </c>
    </row>
    <row r="97" spans="1:51" x14ac:dyDescent="0.3">
      <c r="A97" t="s">
        <v>22</v>
      </c>
      <c r="B97">
        <v>254</v>
      </c>
      <c r="D97">
        <v>1777</v>
      </c>
      <c r="G97" t="s">
        <v>1384</v>
      </c>
      <c r="J97" t="s">
        <v>1385</v>
      </c>
      <c r="K97" t="s">
        <v>1385</v>
      </c>
      <c r="L97">
        <v>11947392525</v>
      </c>
      <c r="N97" t="s">
        <v>1111</v>
      </c>
      <c r="Q97" t="s">
        <v>778</v>
      </c>
      <c r="T97" t="s">
        <v>1068</v>
      </c>
      <c r="W97" t="s">
        <v>1327</v>
      </c>
      <c r="X97" t="s">
        <v>780</v>
      </c>
      <c r="Y97" t="s">
        <v>897</v>
      </c>
      <c r="Z97" t="s">
        <v>817</v>
      </c>
      <c r="AA97" s="31"/>
      <c r="AD97">
        <v>40</v>
      </c>
      <c r="AE97" t="s">
        <v>22</v>
      </c>
      <c r="AF97" s="31">
        <v>45702</v>
      </c>
      <c r="AG97" s="61">
        <v>0.73282407407407413</v>
      </c>
      <c r="AI97" t="s">
        <v>795</v>
      </c>
      <c r="AJ97" s="31">
        <v>45742</v>
      </c>
      <c r="AK97" s="61">
        <v>0.72969907407407408</v>
      </c>
      <c r="AL97" t="s">
        <v>1226</v>
      </c>
      <c r="AQ97" t="s">
        <v>1359</v>
      </c>
      <c r="AS97" s="31"/>
      <c r="AY97">
        <v>1</v>
      </c>
    </row>
    <row r="98" spans="1:51" x14ac:dyDescent="0.3">
      <c r="A98" t="s">
        <v>22</v>
      </c>
      <c r="B98">
        <v>255</v>
      </c>
      <c r="D98">
        <v>1778</v>
      </c>
      <c r="G98" t="s">
        <v>1387</v>
      </c>
      <c r="J98" t="s">
        <v>1388</v>
      </c>
      <c r="K98" t="s">
        <v>1388</v>
      </c>
      <c r="L98">
        <v>54981340574</v>
      </c>
      <c r="N98" t="s">
        <v>1111</v>
      </c>
      <c r="Q98" t="s">
        <v>778</v>
      </c>
      <c r="T98" t="s">
        <v>1068</v>
      </c>
      <c r="W98" t="s">
        <v>1327</v>
      </c>
      <c r="X98" t="s">
        <v>780</v>
      </c>
      <c r="Y98" t="s">
        <v>897</v>
      </c>
      <c r="Z98" t="s">
        <v>817</v>
      </c>
      <c r="AA98" s="31"/>
      <c r="AD98">
        <v>116</v>
      </c>
      <c r="AE98" t="s">
        <v>22</v>
      </c>
      <c r="AF98" s="31">
        <v>45702</v>
      </c>
      <c r="AG98" s="61">
        <v>0.73409722222222218</v>
      </c>
      <c r="AI98" t="s">
        <v>795</v>
      </c>
      <c r="AJ98" s="31">
        <v>45818</v>
      </c>
      <c r="AK98" s="61">
        <v>0.61849537037037039</v>
      </c>
      <c r="AL98" t="s">
        <v>796</v>
      </c>
      <c r="AQ98" t="s">
        <v>1378</v>
      </c>
      <c r="AS98" s="31"/>
      <c r="AY98">
        <v>1</v>
      </c>
    </row>
    <row r="99" spans="1:51" x14ac:dyDescent="0.3">
      <c r="A99" t="s">
        <v>22</v>
      </c>
      <c r="B99">
        <v>256</v>
      </c>
      <c r="D99">
        <v>1781</v>
      </c>
      <c r="G99" t="s">
        <v>1390</v>
      </c>
      <c r="J99" t="s">
        <v>1391</v>
      </c>
      <c r="K99" t="s">
        <v>1391</v>
      </c>
      <c r="L99">
        <v>38998346343</v>
      </c>
      <c r="N99" t="s">
        <v>1393</v>
      </c>
      <c r="Q99" t="s">
        <v>778</v>
      </c>
      <c r="T99" t="s">
        <v>933</v>
      </c>
      <c r="X99" t="s">
        <v>780</v>
      </c>
      <c r="Y99" t="s">
        <v>857</v>
      </c>
      <c r="Z99" t="s">
        <v>817</v>
      </c>
      <c r="AA99" s="31"/>
      <c r="AD99">
        <v>37</v>
      </c>
      <c r="AE99" t="s">
        <v>22</v>
      </c>
      <c r="AF99" s="31">
        <v>45705</v>
      </c>
      <c r="AG99" s="61">
        <v>0.51423611111111112</v>
      </c>
      <c r="AI99" t="s">
        <v>795</v>
      </c>
      <c r="AJ99" s="31">
        <v>45742</v>
      </c>
      <c r="AK99" s="61">
        <v>0.73364583333333333</v>
      </c>
      <c r="AL99" t="s">
        <v>858</v>
      </c>
      <c r="AO99" t="s">
        <v>1378</v>
      </c>
      <c r="AP99" t="s">
        <v>22</v>
      </c>
      <c r="AQ99" t="s">
        <v>1378</v>
      </c>
      <c r="AS99" s="31"/>
      <c r="AY99">
        <v>1</v>
      </c>
    </row>
    <row r="100" spans="1:51" x14ac:dyDescent="0.3">
      <c r="A100" t="s">
        <v>22</v>
      </c>
      <c r="B100">
        <v>257</v>
      </c>
      <c r="D100">
        <v>1780</v>
      </c>
      <c r="G100" t="s">
        <v>1394</v>
      </c>
      <c r="J100" t="s">
        <v>1395</v>
      </c>
      <c r="K100" t="s">
        <v>1395</v>
      </c>
      <c r="L100" t="s">
        <v>1396</v>
      </c>
      <c r="N100" t="s">
        <v>1397</v>
      </c>
      <c r="Q100" t="s">
        <v>778</v>
      </c>
      <c r="R100" t="s">
        <v>1398</v>
      </c>
      <c r="T100" t="s">
        <v>814</v>
      </c>
      <c r="W100" t="s">
        <v>1399</v>
      </c>
      <c r="X100" t="s">
        <v>780</v>
      </c>
      <c r="Y100" t="s">
        <v>807</v>
      </c>
      <c r="Z100" t="s">
        <v>817</v>
      </c>
      <c r="AA100" s="31"/>
      <c r="AB100">
        <v>1234935</v>
      </c>
      <c r="AC100">
        <v>833725</v>
      </c>
      <c r="AD100">
        <v>113</v>
      </c>
      <c r="AE100" t="s">
        <v>22</v>
      </c>
      <c r="AF100" s="31">
        <v>45705</v>
      </c>
      <c r="AG100" s="61">
        <v>0.53861111111111115</v>
      </c>
      <c r="AI100" t="s">
        <v>795</v>
      </c>
      <c r="AJ100" s="31">
        <v>45818</v>
      </c>
      <c r="AK100" s="61">
        <v>0.60993055555555553</v>
      </c>
      <c r="AL100" t="s">
        <v>974</v>
      </c>
      <c r="AO100" t="s">
        <v>1378</v>
      </c>
      <c r="AP100" t="s">
        <v>22</v>
      </c>
      <c r="AQ100" t="s">
        <v>1378</v>
      </c>
      <c r="AS100" s="31"/>
      <c r="AY100">
        <v>1</v>
      </c>
    </row>
    <row r="101" spans="1:51" x14ac:dyDescent="0.3">
      <c r="A101" t="s">
        <v>22</v>
      </c>
      <c r="B101">
        <v>258</v>
      </c>
      <c r="D101">
        <v>1782</v>
      </c>
      <c r="G101" t="s">
        <v>1400</v>
      </c>
      <c r="J101" t="s">
        <v>1401</v>
      </c>
      <c r="K101" t="s">
        <v>1401</v>
      </c>
      <c r="L101">
        <v>73999081706</v>
      </c>
      <c r="N101" t="s">
        <v>1403</v>
      </c>
      <c r="Q101" t="s">
        <v>778</v>
      </c>
      <c r="W101" t="s">
        <v>1327</v>
      </c>
      <c r="X101" t="s">
        <v>780</v>
      </c>
      <c r="Y101" t="s">
        <v>807</v>
      </c>
      <c r="AA101" s="31"/>
      <c r="AD101">
        <v>21</v>
      </c>
      <c r="AE101" t="s">
        <v>22</v>
      </c>
      <c r="AF101" s="31">
        <v>45705</v>
      </c>
      <c r="AG101" s="61">
        <v>0.54</v>
      </c>
      <c r="AI101" t="s">
        <v>795</v>
      </c>
      <c r="AJ101" s="31">
        <v>45726</v>
      </c>
      <c r="AK101" s="61">
        <v>0.73636574074074079</v>
      </c>
      <c r="AL101" t="s">
        <v>867</v>
      </c>
      <c r="AO101" t="s">
        <v>1378</v>
      </c>
      <c r="AP101" t="s">
        <v>22</v>
      </c>
      <c r="AQ101" t="s">
        <v>1378</v>
      </c>
      <c r="AS101" s="31"/>
      <c r="AY101">
        <v>1</v>
      </c>
    </row>
    <row r="102" spans="1:51" x14ac:dyDescent="0.3">
      <c r="A102" t="s">
        <v>22</v>
      </c>
      <c r="B102">
        <v>259</v>
      </c>
      <c r="D102">
        <v>1783</v>
      </c>
      <c r="G102" t="s">
        <v>1404</v>
      </c>
      <c r="J102" t="s">
        <v>1405</v>
      </c>
      <c r="K102" t="s">
        <v>1405</v>
      </c>
      <c r="L102">
        <v>11997681796</v>
      </c>
      <c r="N102" t="s">
        <v>1111</v>
      </c>
      <c r="Q102" t="s">
        <v>778</v>
      </c>
      <c r="T102" t="s">
        <v>1068</v>
      </c>
      <c r="W102" t="s">
        <v>1407</v>
      </c>
      <c r="X102" t="s">
        <v>780</v>
      </c>
      <c r="Y102" t="s">
        <v>897</v>
      </c>
      <c r="Z102" t="s">
        <v>817</v>
      </c>
      <c r="AA102" s="31"/>
      <c r="AD102">
        <v>75</v>
      </c>
      <c r="AE102" t="s">
        <v>22</v>
      </c>
      <c r="AF102" s="31">
        <v>45705</v>
      </c>
      <c r="AG102" s="61">
        <v>0.55487268518518518</v>
      </c>
      <c r="AI102" t="s">
        <v>795</v>
      </c>
      <c r="AJ102" s="31">
        <v>45780</v>
      </c>
      <c r="AK102" s="61">
        <v>0.45906249999999998</v>
      </c>
      <c r="AL102" t="s">
        <v>796</v>
      </c>
      <c r="AP102" t="s">
        <v>22</v>
      </c>
      <c r="AQ102" t="s">
        <v>1408</v>
      </c>
      <c r="AS102" s="31"/>
      <c r="AY102">
        <v>1</v>
      </c>
    </row>
    <row r="103" spans="1:51" x14ac:dyDescent="0.3">
      <c r="A103" t="s">
        <v>22</v>
      </c>
      <c r="B103">
        <v>260</v>
      </c>
      <c r="D103">
        <v>1785</v>
      </c>
      <c r="G103" t="s">
        <v>1409</v>
      </c>
      <c r="J103" t="s">
        <v>1410</v>
      </c>
      <c r="K103" t="s">
        <v>1410</v>
      </c>
      <c r="L103">
        <v>11964237222</v>
      </c>
      <c r="N103" t="s">
        <v>1111</v>
      </c>
      <c r="Q103" t="s">
        <v>778</v>
      </c>
      <c r="T103" t="s">
        <v>1068</v>
      </c>
      <c r="W103" t="s">
        <v>1266</v>
      </c>
      <c r="X103" t="s">
        <v>780</v>
      </c>
      <c r="Y103" t="s">
        <v>897</v>
      </c>
      <c r="Z103" t="s">
        <v>817</v>
      </c>
      <c r="AA103" s="31"/>
      <c r="AD103">
        <v>37</v>
      </c>
      <c r="AE103" t="s">
        <v>22</v>
      </c>
      <c r="AF103" s="31">
        <v>45705</v>
      </c>
      <c r="AG103" s="61">
        <v>0.55835648148148154</v>
      </c>
      <c r="AI103" t="s">
        <v>795</v>
      </c>
      <c r="AJ103" s="31">
        <v>45742</v>
      </c>
      <c r="AK103" s="61">
        <v>0.73165509259259254</v>
      </c>
      <c r="AL103" t="s">
        <v>867</v>
      </c>
      <c r="AP103" t="s">
        <v>22</v>
      </c>
      <c r="AQ103" t="s">
        <v>1408</v>
      </c>
      <c r="AS103" s="31"/>
      <c r="AY103">
        <v>1</v>
      </c>
    </row>
    <row r="104" spans="1:51" x14ac:dyDescent="0.3">
      <c r="A104" t="s">
        <v>44</v>
      </c>
      <c r="B104">
        <v>261</v>
      </c>
      <c r="D104">
        <v>1786</v>
      </c>
      <c r="G104" t="s">
        <v>1412</v>
      </c>
      <c r="J104" t="s">
        <v>1413</v>
      </c>
      <c r="K104" t="s">
        <v>1413</v>
      </c>
      <c r="L104">
        <v>49991999161</v>
      </c>
      <c r="N104" t="s">
        <v>1340</v>
      </c>
      <c r="Q104" t="s">
        <v>778</v>
      </c>
      <c r="W104" t="s">
        <v>1327</v>
      </c>
      <c r="X104" t="s">
        <v>780</v>
      </c>
      <c r="Y104" t="s">
        <v>793</v>
      </c>
      <c r="AA104" s="31"/>
      <c r="AB104">
        <v>1600</v>
      </c>
      <c r="AC104">
        <v>2101</v>
      </c>
      <c r="AD104">
        <v>7</v>
      </c>
      <c r="AE104" t="s">
        <v>44</v>
      </c>
      <c r="AF104" s="31">
        <v>45705</v>
      </c>
      <c r="AG104" s="61">
        <v>0.62410879629629634</v>
      </c>
      <c r="AI104" t="s">
        <v>795</v>
      </c>
      <c r="AJ104" s="31">
        <v>45712</v>
      </c>
      <c r="AK104" s="61">
        <v>0.71869212962962958</v>
      </c>
      <c r="AL104" t="s">
        <v>867</v>
      </c>
      <c r="AM104" t="s">
        <v>1342</v>
      </c>
      <c r="AO104" t="s">
        <v>1343</v>
      </c>
      <c r="AQ104" t="s">
        <v>1336</v>
      </c>
      <c r="AS104" s="31"/>
      <c r="AY104">
        <v>1</v>
      </c>
    </row>
    <row r="105" spans="1:51" x14ac:dyDescent="0.3">
      <c r="A105" t="s">
        <v>22</v>
      </c>
      <c r="B105">
        <v>263</v>
      </c>
      <c r="D105">
        <v>1790</v>
      </c>
      <c r="E105" t="s">
        <v>1415</v>
      </c>
      <c r="G105" t="s">
        <v>1416</v>
      </c>
      <c r="J105" t="s">
        <v>1417</v>
      </c>
      <c r="K105" t="s">
        <v>1417</v>
      </c>
      <c r="L105">
        <v>11914779683</v>
      </c>
      <c r="N105" t="s">
        <v>1111</v>
      </c>
      <c r="Q105" t="s">
        <v>778</v>
      </c>
      <c r="T105" t="s">
        <v>791</v>
      </c>
      <c r="W105" t="s">
        <v>1419</v>
      </c>
      <c r="X105" t="s">
        <v>780</v>
      </c>
      <c r="Y105" t="s">
        <v>793</v>
      </c>
      <c r="Z105" t="s">
        <v>817</v>
      </c>
      <c r="AA105" s="31">
        <v>46053</v>
      </c>
      <c r="AD105">
        <v>364</v>
      </c>
      <c r="AE105" t="s">
        <v>22</v>
      </c>
      <c r="AF105" s="31">
        <v>45706</v>
      </c>
      <c r="AG105" s="61">
        <v>0.41710648148148149</v>
      </c>
      <c r="AI105" t="s">
        <v>795</v>
      </c>
      <c r="AJ105" s="31">
        <v>46070</v>
      </c>
      <c r="AK105" s="61">
        <v>0.60356481481481483</v>
      </c>
      <c r="AL105" t="s">
        <v>796</v>
      </c>
      <c r="AM105" t="s">
        <v>1420</v>
      </c>
      <c r="AO105" t="s">
        <v>1421</v>
      </c>
      <c r="AP105" t="s">
        <v>22</v>
      </c>
      <c r="AQ105" t="s">
        <v>1422</v>
      </c>
      <c r="AR105" t="s">
        <v>1422</v>
      </c>
      <c r="AS105" s="31">
        <v>46045</v>
      </c>
      <c r="AT105">
        <v>50</v>
      </c>
      <c r="AY105">
        <v>1</v>
      </c>
    </row>
    <row r="106" spans="1:51" x14ac:dyDescent="0.3">
      <c r="A106" t="s">
        <v>44</v>
      </c>
      <c r="B106">
        <v>266</v>
      </c>
      <c r="D106">
        <v>1866</v>
      </c>
      <c r="G106" t="s">
        <v>1424</v>
      </c>
      <c r="H106">
        <v>8652421000109</v>
      </c>
      <c r="J106" t="s">
        <v>1425</v>
      </c>
      <c r="K106" t="s">
        <v>1425</v>
      </c>
      <c r="L106" t="s">
        <v>1426</v>
      </c>
      <c r="N106" t="s">
        <v>1427</v>
      </c>
      <c r="Q106" t="s">
        <v>778</v>
      </c>
      <c r="R106" t="s">
        <v>1428</v>
      </c>
      <c r="S106" t="s">
        <v>1027</v>
      </c>
      <c r="X106" t="s">
        <v>780</v>
      </c>
      <c r="Y106" t="s">
        <v>897</v>
      </c>
      <c r="AA106" s="31"/>
      <c r="AB106">
        <v>14400</v>
      </c>
      <c r="AC106">
        <v>18034</v>
      </c>
      <c r="AD106">
        <v>30</v>
      </c>
      <c r="AE106" t="s">
        <v>44</v>
      </c>
      <c r="AF106" s="31">
        <v>45707</v>
      </c>
      <c r="AG106" s="61">
        <v>0.70996527777777774</v>
      </c>
      <c r="AI106" t="s">
        <v>795</v>
      </c>
      <c r="AJ106" s="31">
        <v>45737</v>
      </c>
      <c r="AK106" s="61">
        <v>0.61376157407407406</v>
      </c>
      <c r="AL106" t="s">
        <v>858</v>
      </c>
      <c r="AM106" t="s">
        <v>1429</v>
      </c>
      <c r="AO106" t="s">
        <v>1430</v>
      </c>
      <c r="AQ106" t="s">
        <v>1430</v>
      </c>
      <c r="AS106" s="31"/>
      <c r="AY106">
        <v>1</v>
      </c>
    </row>
    <row r="107" spans="1:51" x14ac:dyDescent="0.3">
      <c r="A107" t="s">
        <v>44</v>
      </c>
      <c r="B107">
        <v>267</v>
      </c>
      <c r="D107">
        <v>1871</v>
      </c>
      <c r="G107" t="s">
        <v>1431</v>
      </c>
      <c r="H107">
        <v>21969045000149</v>
      </c>
      <c r="J107" t="s">
        <v>1432</v>
      </c>
      <c r="K107" t="s">
        <v>1432</v>
      </c>
      <c r="L107" t="s">
        <v>1433</v>
      </c>
      <c r="N107" t="s">
        <v>1434</v>
      </c>
      <c r="Q107" t="s">
        <v>778</v>
      </c>
      <c r="R107" t="s">
        <v>1435</v>
      </c>
      <c r="S107" t="s">
        <v>790</v>
      </c>
      <c r="T107" t="s">
        <v>1068</v>
      </c>
      <c r="W107" t="s">
        <v>1266</v>
      </c>
      <c r="X107" t="s">
        <v>780</v>
      </c>
      <c r="Y107" t="s">
        <v>816</v>
      </c>
      <c r="Z107" t="s">
        <v>817</v>
      </c>
      <c r="AA107" s="31"/>
      <c r="AB107">
        <v>88000</v>
      </c>
      <c r="AC107">
        <v>450432</v>
      </c>
      <c r="AD107">
        <v>64</v>
      </c>
      <c r="AE107" t="s">
        <v>44</v>
      </c>
      <c r="AF107" s="31">
        <v>45707</v>
      </c>
      <c r="AG107" s="61">
        <v>0.71253472222222225</v>
      </c>
      <c r="AI107" t="s">
        <v>818</v>
      </c>
      <c r="AJ107" s="31">
        <v>45771</v>
      </c>
      <c r="AK107" s="61">
        <v>0.50746527777777772</v>
      </c>
      <c r="AO107" t="s">
        <v>1436</v>
      </c>
      <c r="AS107" s="31"/>
      <c r="AY107">
        <v>1</v>
      </c>
    </row>
    <row r="108" spans="1:51" x14ac:dyDescent="0.3">
      <c r="A108" t="s">
        <v>44</v>
      </c>
      <c r="B108">
        <v>268</v>
      </c>
      <c r="D108">
        <v>1874</v>
      </c>
      <c r="G108" t="s">
        <v>1437</v>
      </c>
      <c r="H108">
        <v>52556578000122</v>
      </c>
      <c r="J108" t="s">
        <v>1438</v>
      </c>
      <c r="K108" t="s">
        <v>1438</v>
      </c>
      <c r="L108" t="s">
        <v>1439</v>
      </c>
      <c r="N108" t="s">
        <v>1440</v>
      </c>
      <c r="Q108" t="s">
        <v>778</v>
      </c>
      <c r="R108" t="s">
        <v>1441</v>
      </c>
      <c r="S108" t="s">
        <v>790</v>
      </c>
      <c r="T108" t="s">
        <v>1068</v>
      </c>
      <c r="W108" t="s">
        <v>1266</v>
      </c>
      <c r="X108" t="s">
        <v>780</v>
      </c>
      <c r="Y108" t="s">
        <v>897</v>
      </c>
      <c r="Z108" t="s">
        <v>817</v>
      </c>
      <c r="AA108" s="31"/>
      <c r="AD108">
        <v>54</v>
      </c>
      <c r="AE108" t="s">
        <v>44</v>
      </c>
      <c r="AF108" s="31">
        <v>45708</v>
      </c>
      <c r="AG108" s="61">
        <v>0.44270833333333331</v>
      </c>
      <c r="AI108" t="s">
        <v>795</v>
      </c>
      <c r="AJ108" s="31">
        <v>45762</v>
      </c>
      <c r="AK108" s="61">
        <v>0.69423611111111116</v>
      </c>
      <c r="AL108" t="s">
        <v>796</v>
      </c>
      <c r="AM108" t="s">
        <v>1442</v>
      </c>
      <c r="AS108" s="31"/>
      <c r="AY108">
        <v>1</v>
      </c>
    </row>
    <row r="109" spans="1:51" x14ac:dyDescent="0.3">
      <c r="A109" t="s">
        <v>44</v>
      </c>
      <c r="B109">
        <v>270</v>
      </c>
      <c r="C109">
        <v>167</v>
      </c>
      <c r="D109">
        <v>1880</v>
      </c>
      <c r="G109" t="s">
        <v>1443</v>
      </c>
      <c r="H109">
        <v>7973104000121</v>
      </c>
      <c r="I109" t="s">
        <v>979</v>
      </c>
      <c r="J109" t="s">
        <v>1444</v>
      </c>
      <c r="K109" t="s">
        <v>1444</v>
      </c>
      <c r="L109">
        <v>47999949301</v>
      </c>
      <c r="N109" t="s">
        <v>982</v>
      </c>
      <c r="Q109" t="s">
        <v>778</v>
      </c>
      <c r="R109" t="s">
        <v>983</v>
      </c>
      <c r="S109" t="s">
        <v>932</v>
      </c>
      <c r="X109" t="s">
        <v>780</v>
      </c>
      <c r="Y109" t="s">
        <v>816</v>
      </c>
      <c r="AA109" s="31"/>
      <c r="AB109">
        <v>0</v>
      </c>
      <c r="AC109">
        <v>49896</v>
      </c>
      <c r="AD109">
        <v>11</v>
      </c>
      <c r="AE109" t="s">
        <v>44</v>
      </c>
      <c r="AF109" s="31">
        <v>45708</v>
      </c>
      <c r="AG109" s="61">
        <v>0.48841435185185178</v>
      </c>
      <c r="AI109" t="s">
        <v>818</v>
      </c>
      <c r="AJ109" s="31">
        <v>45719</v>
      </c>
      <c r="AK109" s="61">
        <v>0.48200231481481481</v>
      </c>
      <c r="AO109" t="s">
        <v>1436</v>
      </c>
      <c r="AS109" s="31"/>
      <c r="AY109">
        <v>1</v>
      </c>
    </row>
    <row r="110" spans="1:51" x14ac:dyDescent="0.3">
      <c r="A110" t="s">
        <v>44</v>
      </c>
      <c r="B110">
        <v>272</v>
      </c>
      <c r="D110">
        <v>1882</v>
      </c>
      <c r="G110" t="s">
        <v>1445</v>
      </c>
      <c r="J110" t="s">
        <v>1445</v>
      </c>
      <c r="K110" t="s">
        <v>1445</v>
      </c>
      <c r="L110">
        <v>31987570994</v>
      </c>
      <c r="N110" t="s">
        <v>1447</v>
      </c>
      <c r="Q110" t="s">
        <v>778</v>
      </c>
      <c r="T110" t="s">
        <v>1068</v>
      </c>
      <c r="W110" t="s">
        <v>1327</v>
      </c>
      <c r="X110" t="s">
        <v>780</v>
      </c>
      <c r="Y110" t="s">
        <v>897</v>
      </c>
      <c r="Z110" t="s">
        <v>817</v>
      </c>
      <c r="AA110" s="31"/>
      <c r="AD110">
        <v>50</v>
      </c>
      <c r="AE110" t="s">
        <v>44</v>
      </c>
      <c r="AF110" s="31">
        <v>45712</v>
      </c>
      <c r="AG110" s="61">
        <v>0.39177083333333329</v>
      </c>
      <c r="AI110" t="s">
        <v>795</v>
      </c>
      <c r="AJ110" s="31">
        <v>45762</v>
      </c>
      <c r="AK110" s="61">
        <v>0.69267361111111114</v>
      </c>
      <c r="AL110" t="s">
        <v>796</v>
      </c>
      <c r="AM110" t="s">
        <v>1448</v>
      </c>
      <c r="AQ110" t="s">
        <v>1262</v>
      </c>
      <c r="AS110" s="31"/>
      <c r="AY110">
        <v>1</v>
      </c>
    </row>
    <row r="111" spans="1:51" x14ac:dyDescent="0.3">
      <c r="A111" t="s">
        <v>31</v>
      </c>
      <c r="B111">
        <v>273</v>
      </c>
      <c r="D111">
        <v>1883</v>
      </c>
      <c r="G111" t="s">
        <v>1449</v>
      </c>
      <c r="J111" t="s">
        <v>1450</v>
      </c>
      <c r="K111" t="s">
        <v>1450</v>
      </c>
      <c r="L111">
        <v>11991554630</v>
      </c>
      <c r="N111" t="s">
        <v>1452</v>
      </c>
      <c r="Q111" t="s">
        <v>778</v>
      </c>
      <c r="T111" t="s">
        <v>1068</v>
      </c>
      <c r="X111" t="s">
        <v>780</v>
      </c>
      <c r="Y111" t="s">
        <v>816</v>
      </c>
      <c r="Z111" t="s">
        <v>817</v>
      </c>
      <c r="AA111" s="31"/>
      <c r="AB111">
        <v>55440</v>
      </c>
      <c r="AC111">
        <v>560465</v>
      </c>
      <c r="AD111">
        <v>39</v>
      </c>
      <c r="AE111" t="s">
        <v>31</v>
      </c>
      <c r="AF111" s="31">
        <v>45712</v>
      </c>
      <c r="AG111" s="61">
        <v>0.66232638888888884</v>
      </c>
      <c r="AI111" t="s">
        <v>795</v>
      </c>
      <c r="AJ111" s="31">
        <v>45751</v>
      </c>
      <c r="AK111" s="61">
        <v>0.64483796296296292</v>
      </c>
      <c r="AL111" t="s">
        <v>867</v>
      </c>
      <c r="AO111" t="s">
        <v>1453</v>
      </c>
      <c r="AP111" t="s">
        <v>31</v>
      </c>
      <c r="AQ111" t="s">
        <v>1454</v>
      </c>
      <c r="AR111" t="s">
        <v>1455</v>
      </c>
      <c r="AS111" s="31"/>
      <c r="AY111">
        <v>1</v>
      </c>
    </row>
    <row r="112" spans="1:51" x14ac:dyDescent="0.3">
      <c r="A112" t="s">
        <v>44</v>
      </c>
      <c r="B112">
        <v>277</v>
      </c>
      <c r="D112">
        <v>1887</v>
      </c>
      <c r="G112" t="s">
        <v>1456</v>
      </c>
      <c r="J112" t="s">
        <v>1457</v>
      </c>
      <c r="K112" t="s">
        <v>1457</v>
      </c>
      <c r="L112">
        <v>19997023116</v>
      </c>
      <c r="N112" t="s">
        <v>1459</v>
      </c>
      <c r="Q112" t="s">
        <v>778</v>
      </c>
      <c r="X112" t="s">
        <v>780</v>
      </c>
      <c r="Y112" t="s">
        <v>816</v>
      </c>
      <c r="AA112" s="31"/>
      <c r="AB112">
        <v>0</v>
      </c>
      <c r="AC112">
        <v>3564</v>
      </c>
      <c r="AD112">
        <v>5</v>
      </c>
      <c r="AE112" t="s">
        <v>44</v>
      </c>
      <c r="AF112" s="31">
        <v>45714</v>
      </c>
      <c r="AG112" s="61">
        <v>0.38343749999999999</v>
      </c>
      <c r="AI112" t="s">
        <v>818</v>
      </c>
      <c r="AJ112" s="31">
        <v>45719</v>
      </c>
      <c r="AK112" s="61">
        <v>0.48221064814814812</v>
      </c>
      <c r="AO112" t="s">
        <v>1460</v>
      </c>
      <c r="AS112" s="31"/>
      <c r="AY112">
        <v>1</v>
      </c>
    </row>
    <row r="113" spans="1:51" x14ac:dyDescent="0.3">
      <c r="A113" t="s">
        <v>44</v>
      </c>
      <c r="B113">
        <v>279</v>
      </c>
      <c r="D113">
        <v>1890</v>
      </c>
      <c r="G113" t="s">
        <v>1461</v>
      </c>
      <c r="J113" t="s">
        <v>1462</v>
      </c>
      <c r="K113" t="s">
        <v>1462</v>
      </c>
      <c r="L113">
        <v>14997530243</v>
      </c>
      <c r="N113" t="s">
        <v>1111</v>
      </c>
      <c r="Q113" t="s">
        <v>778</v>
      </c>
      <c r="X113" t="s">
        <v>780</v>
      </c>
      <c r="Y113" t="s">
        <v>897</v>
      </c>
      <c r="AA113" s="31"/>
      <c r="AD113">
        <v>2</v>
      </c>
      <c r="AE113" t="s">
        <v>22</v>
      </c>
      <c r="AF113" s="31">
        <v>45714</v>
      </c>
      <c r="AG113" s="61">
        <v>0.73251157407407408</v>
      </c>
      <c r="AI113" t="s">
        <v>795</v>
      </c>
      <c r="AJ113" s="31">
        <v>45716</v>
      </c>
      <c r="AK113" s="61">
        <v>0.71136574074074077</v>
      </c>
      <c r="AL113" t="s">
        <v>1226</v>
      </c>
      <c r="AM113" t="s">
        <v>1464</v>
      </c>
      <c r="AP113" t="s">
        <v>44</v>
      </c>
      <c r="AS113" s="31"/>
      <c r="AY113">
        <v>1</v>
      </c>
    </row>
    <row r="114" spans="1:51" x14ac:dyDescent="0.3">
      <c r="A114" t="s">
        <v>44</v>
      </c>
      <c r="B114">
        <v>281</v>
      </c>
      <c r="D114">
        <v>1892</v>
      </c>
      <c r="G114" t="s">
        <v>1465</v>
      </c>
      <c r="J114" t="s">
        <v>1466</v>
      </c>
      <c r="K114" t="s">
        <v>1466</v>
      </c>
      <c r="L114">
        <v>17996266839</v>
      </c>
      <c r="N114" t="s">
        <v>1468</v>
      </c>
      <c r="Q114" t="s">
        <v>778</v>
      </c>
      <c r="T114" t="s">
        <v>1068</v>
      </c>
      <c r="X114" t="s">
        <v>780</v>
      </c>
      <c r="Y114" t="s">
        <v>816</v>
      </c>
      <c r="Z114" t="s">
        <v>817</v>
      </c>
      <c r="AA114" s="31"/>
      <c r="AB114">
        <v>0</v>
      </c>
      <c r="AC114">
        <v>449635</v>
      </c>
      <c r="AD114">
        <v>55</v>
      </c>
      <c r="AE114" t="s">
        <v>44</v>
      </c>
      <c r="AF114" s="31">
        <v>45716</v>
      </c>
      <c r="AG114" s="61">
        <v>0.42606481481481479</v>
      </c>
      <c r="AI114" t="s">
        <v>818</v>
      </c>
      <c r="AJ114" s="31">
        <v>45771</v>
      </c>
      <c r="AK114" s="61">
        <v>0.50797453703703699</v>
      </c>
      <c r="AO114" t="s">
        <v>1383</v>
      </c>
      <c r="AQ114" t="s">
        <v>1460</v>
      </c>
      <c r="AS114" s="31"/>
      <c r="AY114">
        <v>1</v>
      </c>
    </row>
    <row r="115" spans="1:51" x14ac:dyDescent="0.3">
      <c r="A115" t="s">
        <v>44</v>
      </c>
      <c r="B115">
        <v>282</v>
      </c>
      <c r="D115">
        <v>1894</v>
      </c>
      <c r="G115" t="s">
        <v>1469</v>
      </c>
      <c r="J115" t="s">
        <v>1470</v>
      </c>
      <c r="K115" t="s">
        <v>1470</v>
      </c>
      <c r="L115">
        <v>75981412000</v>
      </c>
      <c r="N115" t="s">
        <v>1472</v>
      </c>
      <c r="Q115" t="s">
        <v>778</v>
      </c>
      <c r="T115" t="s">
        <v>1068</v>
      </c>
      <c r="X115" t="s">
        <v>780</v>
      </c>
      <c r="Y115" t="s">
        <v>793</v>
      </c>
      <c r="Z115" t="s">
        <v>817</v>
      </c>
      <c r="AA115" s="31"/>
      <c r="AB115">
        <v>1600</v>
      </c>
      <c r="AC115">
        <v>5</v>
      </c>
      <c r="AD115">
        <v>47</v>
      </c>
      <c r="AE115" t="s">
        <v>44</v>
      </c>
      <c r="AF115" s="31">
        <v>45716</v>
      </c>
      <c r="AG115" s="61">
        <v>0.70343750000000005</v>
      </c>
      <c r="AI115" t="s">
        <v>795</v>
      </c>
      <c r="AJ115" s="31">
        <v>45763</v>
      </c>
      <c r="AK115" s="61">
        <v>0.3946527777777778</v>
      </c>
      <c r="AL115" t="s">
        <v>796</v>
      </c>
      <c r="AM115" t="s">
        <v>1351</v>
      </c>
      <c r="AO115" t="s">
        <v>1352</v>
      </c>
      <c r="AQ115" t="s">
        <v>1305</v>
      </c>
      <c r="AS115" s="31"/>
      <c r="AY115">
        <v>1</v>
      </c>
    </row>
    <row r="116" spans="1:51" x14ac:dyDescent="0.3">
      <c r="A116" t="s">
        <v>31</v>
      </c>
      <c r="B116">
        <v>283</v>
      </c>
      <c r="D116">
        <v>1895</v>
      </c>
      <c r="G116" t="s">
        <v>1473</v>
      </c>
      <c r="H116">
        <v>37075503000136</v>
      </c>
      <c r="J116" t="s">
        <v>1474</v>
      </c>
      <c r="K116" t="s">
        <v>1474</v>
      </c>
      <c r="L116" t="s">
        <v>1475</v>
      </c>
      <c r="N116" t="s">
        <v>1476</v>
      </c>
      <c r="Q116" t="s">
        <v>778</v>
      </c>
      <c r="R116" t="s">
        <v>1477</v>
      </c>
      <c r="S116" t="s">
        <v>932</v>
      </c>
      <c r="X116" t="s">
        <v>780</v>
      </c>
      <c r="Y116" t="s">
        <v>816</v>
      </c>
      <c r="AA116" s="31"/>
      <c r="AB116">
        <v>63000</v>
      </c>
      <c r="AC116">
        <v>211328</v>
      </c>
      <c r="AD116">
        <v>20</v>
      </c>
      <c r="AE116" t="s">
        <v>31</v>
      </c>
      <c r="AF116" s="31">
        <v>45720</v>
      </c>
      <c r="AG116" s="61">
        <v>0.40530092592592593</v>
      </c>
      <c r="AI116" t="s">
        <v>818</v>
      </c>
      <c r="AJ116" s="31">
        <v>45740</v>
      </c>
      <c r="AK116" s="61">
        <v>0.80163194444444441</v>
      </c>
      <c r="AO116" t="s">
        <v>1478</v>
      </c>
      <c r="AP116" t="s">
        <v>31</v>
      </c>
      <c r="AS116" s="31"/>
      <c r="AY116">
        <v>1</v>
      </c>
    </row>
    <row r="117" spans="1:51" x14ac:dyDescent="0.3">
      <c r="A117" t="s">
        <v>31</v>
      </c>
      <c r="B117">
        <v>284</v>
      </c>
      <c r="D117">
        <v>1897</v>
      </c>
      <c r="G117" t="s">
        <v>1479</v>
      </c>
      <c r="H117">
        <v>37075503000136</v>
      </c>
      <c r="J117" t="s">
        <v>1474</v>
      </c>
      <c r="K117" t="s">
        <v>1474</v>
      </c>
      <c r="L117" t="s">
        <v>1475</v>
      </c>
      <c r="N117" t="s">
        <v>1476</v>
      </c>
      <c r="Q117" t="s">
        <v>778</v>
      </c>
      <c r="R117" t="s">
        <v>1477</v>
      </c>
      <c r="S117" t="s">
        <v>932</v>
      </c>
      <c r="T117" t="s">
        <v>1068</v>
      </c>
      <c r="X117" t="s">
        <v>780</v>
      </c>
      <c r="Y117" t="s">
        <v>816</v>
      </c>
      <c r="AA117" s="31"/>
      <c r="AB117">
        <v>1600</v>
      </c>
      <c r="AC117">
        <v>287073</v>
      </c>
      <c r="AD117">
        <v>22</v>
      </c>
      <c r="AE117" t="s">
        <v>31</v>
      </c>
      <c r="AF117" s="31">
        <v>45720</v>
      </c>
      <c r="AG117" s="61">
        <v>0.63810185185185186</v>
      </c>
      <c r="AI117" t="s">
        <v>818</v>
      </c>
      <c r="AJ117" s="31">
        <v>45742</v>
      </c>
      <c r="AK117" s="61">
        <v>0.4453125</v>
      </c>
      <c r="AO117" t="s">
        <v>1478</v>
      </c>
      <c r="AP117" t="s">
        <v>31</v>
      </c>
      <c r="AQ117" t="s">
        <v>1478</v>
      </c>
      <c r="AS117" s="31"/>
      <c r="AY117">
        <v>1</v>
      </c>
    </row>
    <row r="118" spans="1:51" x14ac:dyDescent="0.3">
      <c r="A118" t="s">
        <v>31</v>
      </c>
      <c r="B118">
        <v>286</v>
      </c>
      <c r="D118">
        <v>1900</v>
      </c>
      <c r="G118" t="s">
        <v>1480</v>
      </c>
      <c r="H118">
        <v>37075503000136</v>
      </c>
      <c r="J118" t="s">
        <v>1481</v>
      </c>
      <c r="K118" t="s">
        <v>1481</v>
      </c>
      <c r="L118">
        <v>5196199231</v>
      </c>
      <c r="N118" t="s">
        <v>1476</v>
      </c>
      <c r="Q118" t="s">
        <v>778</v>
      </c>
      <c r="R118" t="s">
        <v>1477</v>
      </c>
      <c r="S118" t="s">
        <v>932</v>
      </c>
      <c r="T118" t="s">
        <v>791</v>
      </c>
      <c r="X118" t="s">
        <v>780</v>
      </c>
      <c r="Y118" t="s">
        <v>807</v>
      </c>
      <c r="Z118" t="s">
        <v>817</v>
      </c>
      <c r="AA118" s="31"/>
      <c r="AB118">
        <v>23580</v>
      </c>
      <c r="AC118">
        <v>1800</v>
      </c>
      <c r="AD118">
        <v>65</v>
      </c>
      <c r="AE118" t="s">
        <v>31</v>
      </c>
      <c r="AF118" s="31">
        <v>45726</v>
      </c>
      <c r="AG118" s="61">
        <v>0.63922453703703708</v>
      </c>
      <c r="AI118" t="s">
        <v>795</v>
      </c>
      <c r="AJ118" s="31">
        <v>45791</v>
      </c>
      <c r="AK118" s="61">
        <v>0.48103009259259261</v>
      </c>
      <c r="AL118" t="s">
        <v>934</v>
      </c>
      <c r="AO118" t="s">
        <v>1483</v>
      </c>
      <c r="AP118" t="s">
        <v>31</v>
      </c>
      <c r="AQ118" t="s">
        <v>1483</v>
      </c>
      <c r="AS118" s="31"/>
      <c r="AY118">
        <v>1</v>
      </c>
    </row>
    <row r="119" spans="1:51" x14ac:dyDescent="0.3">
      <c r="A119" t="s">
        <v>22</v>
      </c>
      <c r="B119">
        <v>287</v>
      </c>
      <c r="D119">
        <v>1902</v>
      </c>
      <c r="G119" t="s">
        <v>1484</v>
      </c>
      <c r="H119">
        <v>7764744000202</v>
      </c>
      <c r="J119" t="s">
        <v>1485</v>
      </c>
      <c r="K119" t="s">
        <v>1485</v>
      </c>
      <c r="L119">
        <v>11997802621</v>
      </c>
      <c r="N119" t="s">
        <v>1487</v>
      </c>
      <c r="Q119" t="s">
        <v>778</v>
      </c>
      <c r="T119" t="s">
        <v>791</v>
      </c>
      <c r="W119" t="s">
        <v>1488</v>
      </c>
      <c r="X119" t="s">
        <v>780</v>
      </c>
      <c r="Y119" t="s">
        <v>807</v>
      </c>
      <c r="Z119" t="s">
        <v>817</v>
      </c>
      <c r="AA119" s="31"/>
      <c r="AB119">
        <v>16000</v>
      </c>
      <c r="AC119">
        <v>68607</v>
      </c>
      <c r="AD119">
        <v>54</v>
      </c>
      <c r="AE119" t="s">
        <v>22</v>
      </c>
      <c r="AF119" s="31">
        <v>45726</v>
      </c>
      <c r="AG119" s="61">
        <v>0.69724537037037038</v>
      </c>
      <c r="AI119" t="s">
        <v>795</v>
      </c>
      <c r="AJ119" s="31">
        <v>45780</v>
      </c>
      <c r="AK119" s="61">
        <v>0.44266203703703699</v>
      </c>
      <c r="AL119" t="s">
        <v>974</v>
      </c>
      <c r="AO119" t="s">
        <v>1489</v>
      </c>
      <c r="AP119" t="s">
        <v>22</v>
      </c>
      <c r="AQ119" t="s">
        <v>1490</v>
      </c>
      <c r="AR119" t="s">
        <v>1491</v>
      </c>
      <c r="AS119" s="31"/>
      <c r="AY119">
        <v>1</v>
      </c>
    </row>
    <row r="120" spans="1:51" x14ac:dyDescent="0.3">
      <c r="A120" t="s">
        <v>44</v>
      </c>
      <c r="B120">
        <v>291</v>
      </c>
      <c r="D120">
        <v>1904</v>
      </c>
      <c r="G120" t="s">
        <v>1492</v>
      </c>
      <c r="J120" t="s">
        <v>1493</v>
      </c>
      <c r="K120" t="s">
        <v>1493</v>
      </c>
      <c r="L120">
        <v>7199841895</v>
      </c>
      <c r="N120" t="s">
        <v>1495</v>
      </c>
      <c r="Q120" t="s">
        <v>778</v>
      </c>
      <c r="T120" t="s">
        <v>1496</v>
      </c>
      <c r="X120" t="s">
        <v>780</v>
      </c>
      <c r="Y120" t="s">
        <v>816</v>
      </c>
      <c r="Z120" t="s">
        <v>817</v>
      </c>
      <c r="AA120" s="31"/>
      <c r="AB120">
        <v>12720</v>
      </c>
      <c r="AC120">
        <v>1764</v>
      </c>
      <c r="AD120">
        <v>47</v>
      </c>
      <c r="AE120" t="s">
        <v>44</v>
      </c>
      <c r="AF120" s="31">
        <v>45729</v>
      </c>
      <c r="AG120" s="61">
        <v>0.59673611111111113</v>
      </c>
      <c r="AI120" t="s">
        <v>818</v>
      </c>
      <c r="AJ120" s="31">
        <v>45776</v>
      </c>
      <c r="AK120" s="61">
        <v>0.60798611111111112</v>
      </c>
      <c r="AO120" t="s">
        <v>1497</v>
      </c>
      <c r="AQ120" t="s">
        <v>1497</v>
      </c>
      <c r="AS120" s="31"/>
      <c r="AY120">
        <v>1</v>
      </c>
    </row>
    <row r="121" spans="1:51" x14ac:dyDescent="0.3">
      <c r="A121" t="s">
        <v>22</v>
      </c>
      <c r="B121">
        <v>293</v>
      </c>
      <c r="D121">
        <v>1907</v>
      </c>
      <c r="G121" t="s">
        <v>1498</v>
      </c>
      <c r="J121" t="s">
        <v>1499</v>
      </c>
      <c r="K121" t="s">
        <v>1499</v>
      </c>
      <c r="L121" t="s">
        <v>1500</v>
      </c>
      <c r="N121" t="s">
        <v>1501</v>
      </c>
      <c r="Q121" t="s">
        <v>778</v>
      </c>
      <c r="R121" t="s">
        <v>1502</v>
      </c>
      <c r="T121" t="s">
        <v>814</v>
      </c>
      <c r="W121" t="s">
        <v>1198</v>
      </c>
      <c r="X121" t="s">
        <v>780</v>
      </c>
      <c r="Y121" t="s">
        <v>857</v>
      </c>
      <c r="Z121" t="s">
        <v>817</v>
      </c>
      <c r="AA121" s="31"/>
      <c r="AD121">
        <v>21</v>
      </c>
      <c r="AE121" t="s">
        <v>22</v>
      </c>
      <c r="AF121" s="31">
        <v>45733</v>
      </c>
      <c r="AG121" s="61">
        <v>0.37027777777777782</v>
      </c>
      <c r="AI121" t="s">
        <v>795</v>
      </c>
      <c r="AJ121" s="31">
        <v>45754</v>
      </c>
      <c r="AK121" s="61">
        <v>0.58361111111111108</v>
      </c>
      <c r="AL121" t="s">
        <v>858</v>
      </c>
      <c r="AO121" t="s">
        <v>1503</v>
      </c>
      <c r="AQ121" t="s">
        <v>1503</v>
      </c>
      <c r="AS121" s="31"/>
      <c r="AY121">
        <v>1</v>
      </c>
    </row>
    <row r="122" spans="1:51" x14ac:dyDescent="0.3">
      <c r="A122" t="s">
        <v>22</v>
      </c>
      <c r="B122">
        <v>294</v>
      </c>
      <c r="D122">
        <v>1908</v>
      </c>
      <c r="G122" t="s">
        <v>1504</v>
      </c>
      <c r="J122" t="s">
        <v>1505</v>
      </c>
      <c r="K122" t="s">
        <v>1505</v>
      </c>
      <c r="L122">
        <v>31995069963</v>
      </c>
      <c r="N122" t="s">
        <v>1111</v>
      </c>
      <c r="Q122" t="s">
        <v>778</v>
      </c>
      <c r="T122" t="s">
        <v>1191</v>
      </c>
      <c r="X122" t="s">
        <v>780</v>
      </c>
      <c r="Y122" t="s">
        <v>857</v>
      </c>
      <c r="Z122" t="s">
        <v>817</v>
      </c>
      <c r="AA122" s="31"/>
      <c r="AD122">
        <v>21</v>
      </c>
      <c r="AE122" t="s">
        <v>22</v>
      </c>
      <c r="AF122" s="31">
        <v>45733</v>
      </c>
      <c r="AG122" s="61">
        <v>0.37392361111111111</v>
      </c>
      <c r="AI122" t="s">
        <v>795</v>
      </c>
      <c r="AJ122" s="31">
        <v>45754</v>
      </c>
      <c r="AK122" s="61">
        <v>0.49223379629629632</v>
      </c>
      <c r="AL122" t="s">
        <v>858</v>
      </c>
      <c r="AO122" t="s">
        <v>1503</v>
      </c>
      <c r="AP122" t="s">
        <v>22</v>
      </c>
      <c r="AQ122" t="s">
        <v>1503</v>
      </c>
      <c r="AS122" s="31"/>
      <c r="AY122">
        <v>1</v>
      </c>
    </row>
    <row r="123" spans="1:51" x14ac:dyDescent="0.3">
      <c r="A123" t="s">
        <v>44</v>
      </c>
      <c r="B123">
        <v>295</v>
      </c>
      <c r="D123">
        <v>1909</v>
      </c>
      <c r="G123" t="s">
        <v>1507</v>
      </c>
      <c r="J123" t="s">
        <v>1508</v>
      </c>
      <c r="K123" t="s">
        <v>1508</v>
      </c>
      <c r="L123">
        <v>21996127685</v>
      </c>
      <c r="N123" t="s">
        <v>1510</v>
      </c>
      <c r="Q123" t="s">
        <v>778</v>
      </c>
      <c r="T123" t="s">
        <v>933</v>
      </c>
      <c r="X123" t="s">
        <v>780</v>
      </c>
      <c r="Y123" t="s">
        <v>807</v>
      </c>
      <c r="Z123" t="s">
        <v>817</v>
      </c>
      <c r="AA123" s="31"/>
      <c r="AB123">
        <v>79920</v>
      </c>
      <c r="AC123">
        <v>33813</v>
      </c>
      <c r="AD123">
        <v>59</v>
      </c>
      <c r="AE123" t="s">
        <v>44</v>
      </c>
      <c r="AF123" s="31">
        <v>45733</v>
      </c>
      <c r="AG123" s="61">
        <v>0.52471064814814816</v>
      </c>
      <c r="AI123" t="s">
        <v>795</v>
      </c>
      <c r="AJ123" s="31">
        <v>45792</v>
      </c>
      <c r="AK123" s="61">
        <v>0.68163194444444442</v>
      </c>
      <c r="AL123" t="s">
        <v>796</v>
      </c>
      <c r="AM123" t="s">
        <v>797</v>
      </c>
      <c r="AO123" t="s">
        <v>1511</v>
      </c>
      <c r="AQ123" t="s">
        <v>1512</v>
      </c>
      <c r="AS123" s="31"/>
      <c r="AY123">
        <v>1</v>
      </c>
    </row>
    <row r="124" spans="1:51" x14ac:dyDescent="0.3">
      <c r="A124" t="s">
        <v>44</v>
      </c>
      <c r="B124">
        <v>298</v>
      </c>
      <c r="D124">
        <v>1913</v>
      </c>
      <c r="G124" t="s">
        <v>1513</v>
      </c>
      <c r="J124" t="s">
        <v>1514</v>
      </c>
      <c r="K124" t="s">
        <v>1514</v>
      </c>
      <c r="L124">
        <v>21996127685</v>
      </c>
      <c r="N124" t="s">
        <v>1515</v>
      </c>
      <c r="Q124" t="s">
        <v>778</v>
      </c>
      <c r="T124" t="s">
        <v>933</v>
      </c>
      <c r="X124" t="s">
        <v>780</v>
      </c>
      <c r="Y124" t="s">
        <v>807</v>
      </c>
      <c r="Z124" t="s">
        <v>817</v>
      </c>
      <c r="AA124" s="31"/>
      <c r="AB124">
        <v>1600</v>
      </c>
      <c r="AC124">
        <v>3196</v>
      </c>
      <c r="AD124">
        <v>58</v>
      </c>
      <c r="AE124" t="s">
        <v>44</v>
      </c>
      <c r="AF124" s="31">
        <v>45734</v>
      </c>
      <c r="AG124" s="61">
        <v>0.62533564814814813</v>
      </c>
      <c r="AI124" t="s">
        <v>795</v>
      </c>
      <c r="AJ124" s="31">
        <v>45792</v>
      </c>
      <c r="AK124" s="61">
        <v>0.68206018518518519</v>
      </c>
      <c r="AL124" t="s">
        <v>796</v>
      </c>
      <c r="AM124" t="s">
        <v>797</v>
      </c>
      <c r="AO124" t="s">
        <v>1511</v>
      </c>
      <c r="AQ124" t="s">
        <v>1512</v>
      </c>
      <c r="AS124" s="31"/>
      <c r="AY124">
        <v>1</v>
      </c>
    </row>
    <row r="125" spans="1:51" x14ac:dyDescent="0.3">
      <c r="A125" t="s">
        <v>44</v>
      </c>
      <c r="B125">
        <v>301</v>
      </c>
      <c r="D125">
        <v>1916</v>
      </c>
      <c r="G125" t="s">
        <v>1516</v>
      </c>
      <c r="J125" t="s">
        <v>1517</v>
      </c>
      <c r="K125" t="s">
        <v>1517</v>
      </c>
      <c r="L125">
        <v>19997023116</v>
      </c>
      <c r="N125" t="s">
        <v>1459</v>
      </c>
      <c r="Q125" t="s">
        <v>778</v>
      </c>
      <c r="T125" t="s">
        <v>791</v>
      </c>
      <c r="X125" t="s">
        <v>780</v>
      </c>
      <c r="Y125" t="s">
        <v>816</v>
      </c>
      <c r="AA125" s="31"/>
      <c r="AB125">
        <v>2339208</v>
      </c>
      <c r="AC125">
        <v>0</v>
      </c>
      <c r="AD125">
        <v>13</v>
      </c>
      <c r="AE125" t="s">
        <v>44</v>
      </c>
      <c r="AF125" s="31">
        <v>45736</v>
      </c>
      <c r="AG125" s="61">
        <v>0.61819444444444449</v>
      </c>
      <c r="AI125" t="s">
        <v>818</v>
      </c>
      <c r="AJ125" s="31">
        <v>45749</v>
      </c>
      <c r="AK125" s="61">
        <v>0.42002314814814817</v>
      </c>
      <c r="AO125" t="s">
        <v>1518</v>
      </c>
      <c r="AS125" s="31"/>
      <c r="AY125">
        <v>1</v>
      </c>
    </row>
    <row r="126" spans="1:51" x14ac:dyDescent="0.3">
      <c r="A126" t="s">
        <v>44</v>
      </c>
      <c r="B126">
        <v>303</v>
      </c>
      <c r="D126">
        <v>1919</v>
      </c>
      <c r="G126" t="s">
        <v>1519</v>
      </c>
      <c r="J126" t="s">
        <v>1520</v>
      </c>
      <c r="K126" t="s">
        <v>1520</v>
      </c>
      <c r="L126" t="s">
        <v>1521</v>
      </c>
      <c r="N126" t="s">
        <v>1522</v>
      </c>
      <c r="Q126" t="s">
        <v>778</v>
      </c>
      <c r="R126" t="s">
        <v>1523</v>
      </c>
      <c r="T126" t="s">
        <v>814</v>
      </c>
      <c r="W126" t="s">
        <v>1186</v>
      </c>
      <c r="X126" t="s">
        <v>780</v>
      </c>
      <c r="Y126" t="s">
        <v>816</v>
      </c>
      <c r="Z126" t="s">
        <v>817</v>
      </c>
      <c r="AA126" s="31"/>
      <c r="AB126">
        <v>583848</v>
      </c>
      <c r="AC126">
        <v>229112</v>
      </c>
      <c r="AD126">
        <v>57</v>
      </c>
      <c r="AE126" t="s">
        <v>22</v>
      </c>
      <c r="AF126" s="31">
        <v>45741</v>
      </c>
      <c r="AG126" s="61">
        <v>0.38427083333333328</v>
      </c>
      <c r="AI126" t="s">
        <v>818</v>
      </c>
      <c r="AJ126" s="31">
        <v>45798</v>
      </c>
      <c r="AK126" s="61">
        <v>0.37590277777777781</v>
      </c>
      <c r="AO126" t="s">
        <v>1524</v>
      </c>
      <c r="AQ126" t="s">
        <v>1525</v>
      </c>
      <c r="AR126" t="s">
        <v>1524</v>
      </c>
      <c r="AS126" s="31"/>
      <c r="AY126">
        <v>1</v>
      </c>
    </row>
    <row r="127" spans="1:51" x14ac:dyDescent="0.3">
      <c r="A127" t="s">
        <v>44</v>
      </c>
      <c r="B127">
        <v>304</v>
      </c>
      <c r="D127">
        <v>1922</v>
      </c>
      <c r="G127" t="s">
        <v>1526</v>
      </c>
      <c r="J127" t="s">
        <v>1527</v>
      </c>
      <c r="K127" t="s">
        <v>1527</v>
      </c>
      <c r="L127">
        <v>19997023116</v>
      </c>
      <c r="N127" t="s">
        <v>1459</v>
      </c>
      <c r="Q127" t="s">
        <v>778</v>
      </c>
      <c r="X127" t="s">
        <v>780</v>
      </c>
      <c r="Y127" t="s">
        <v>816</v>
      </c>
      <c r="AA127" s="31"/>
      <c r="AB127">
        <v>0</v>
      </c>
      <c r="AC127">
        <v>14256</v>
      </c>
      <c r="AD127">
        <v>0</v>
      </c>
      <c r="AE127" t="s">
        <v>44</v>
      </c>
      <c r="AF127" s="31">
        <v>45742</v>
      </c>
      <c r="AG127" s="61">
        <v>0.51811342592592591</v>
      </c>
      <c r="AI127" t="s">
        <v>818</v>
      </c>
      <c r="AJ127" s="31">
        <v>45742</v>
      </c>
      <c r="AK127" s="61">
        <v>0.51986111111111111</v>
      </c>
      <c r="AO127" t="s">
        <v>1528</v>
      </c>
      <c r="AS127" s="31"/>
      <c r="AY127">
        <v>1</v>
      </c>
    </row>
    <row r="128" spans="1:51" x14ac:dyDescent="0.3">
      <c r="A128" t="s">
        <v>44</v>
      </c>
      <c r="B128">
        <v>305</v>
      </c>
      <c r="D128">
        <v>1923</v>
      </c>
      <c r="G128" t="s">
        <v>1529</v>
      </c>
      <c r="H128">
        <v>49695060000165</v>
      </c>
      <c r="J128" t="s">
        <v>1530</v>
      </c>
      <c r="K128" t="s">
        <v>1530</v>
      </c>
      <c r="L128" t="s">
        <v>1531</v>
      </c>
      <c r="N128" t="s">
        <v>1532</v>
      </c>
      <c r="Q128" t="s">
        <v>778</v>
      </c>
      <c r="R128" t="s">
        <v>1094</v>
      </c>
      <c r="S128" t="s">
        <v>790</v>
      </c>
      <c r="T128" t="s">
        <v>1191</v>
      </c>
      <c r="X128" t="s">
        <v>780</v>
      </c>
      <c r="Y128" t="s">
        <v>793</v>
      </c>
      <c r="Z128" t="s">
        <v>817</v>
      </c>
      <c r="AA128" s="31"/>
      <c r="AB128">
        <v>64448</v>
      </c>
      <c r="AC128">
        <v>159326</v>
      </c>
      <c r="AD128">
        <v>50</v>
      </c>
      <c r="AE128" t="s">
        <v>44</v>
      </c>
      <c r="AF128" s="31">
        <v>45742</v>
      </c>
      <c r="AG128" s="61">
        <v>0.53810185185185189</v>
      </c>
      <c r="AI128" t="s">
        <v>795</v>
      </c>
      <c r="AJ128" s="31">
        <v>45792</v>
      </c>
      <c r="AK128" s="61">
        <v>0.64240740740740743</v>
      </c>
      <c r="AL128" t="s">
        <v>796</v>
      </c>
      <c r="AM128" t="s">
        <v>1533</v>
      </c>
      <c r="AO128" t="s">
        <v>1525</v>
      </c>
      <c r="AQ128" t="s">
        <v>1528</v>
      </c>
      <c r="AS128" s="31"/>
      <c r="AY128">
        <v>1</v>
      </c>
    </row>
    <row r="129" spans="1:51" x14ac:dyDescent="0.3">
      <c r="A129" t="s">
        <v>44</v>
      </c>
      <c r="B129">
        <v>311</v>
      </c>
      <c r="D129">
        <v>1942</v>
      </c>
      <c r="G129" t="s">
        <v>1534</v>
      </c>
      <c r="J129" t="s">
        <v>642</v>
      </c>
      <c r="K129" t="s">
        <v>642</v>
      </c>
      <c r="L129">
        <v>47991900625</v>
      </c>
      <c r="N129" t="s">
        <v>1536</v>
      </c>
      <c r="Q129" t="s">
        <v>778</v>
      </c>
      <c r="X129" t="s">
        <v>780</v>
      </c>
      <c r="Y129" t="s">
        <v>816</v>
      </c>
      <c r="Z129" t="s">
        <v>1537</v>
      </c>
      <c r="AA129" s="31"/>
      <c r="AB129">
        <v>16960</v>
      </c>
      <c r="AC129">
        <v>10810</v>
      </c>
      <c r="AD129">
        <v>43</v>
      </c>
      <c r="AE129" t="s">
        <v>44</v>
      </c>
      <c r="AF129" s="31">
        <v>45743</v>
      </c>
      <c r="AG129" s="61">
        <v>0.53383101851851855</v>
      </c>
      <c r="AI129" t="s">
        <v>818</v>
      </c>
      <c r="AJ129" s="31">
        <v>45786</v>
      </c>
      <c r="AK129" s="61">
        <v>0.50201388888888887</v>
      </c>
      <c r="AO129" t="s">
        <v>1524</v>
      </c>
      <c r="AQ129" t="s">
        <v>1525</v>
      </c>
      <c r="AR129" t="s">
        <v>1538</v>
      </c>
      <c r="AS129" s="31"/>
      <c r="AY129">
        <v>1</v>
      </c>
    </row>
    <row r="130" spans="1:51" x14ac:dyDescent="0.3">
      <c r="A130" t="s">
        <v>22</v>
      </c>
      <c r="B130">
        <v>313</v>
      </c>
      <c r="D130">
        <v>1944</v>
      </c>
      <c r="G130" t="s">
        <v>1539</v>
      </c>
      <c r="H130">
        <v>1787082000129</v>
      </c>
      <c r="J130" t="s">
        <v>1540</v>
      </c>
      <c r="K130" t="s">
        <v>1540</v>
      </c>
      <c r="L130" t="s">
        <v>1541</v>
      </c>
      <c r="N130" t="s">
        <v>1542</v>
      </c>
      <c r="Q130" t="s">
        <v>778</v>
      </c>
      <c r="T130" t="s">
        <v>933</v>
      </c>
      <c r="W130" t="s">
        <v>1488</v>
      </c>
      <c r="X130" t="s">
        <v>780</v>
      </c>
      <c r="Y130" t="s">
        <v>816</v>
      </c>
      <c r="Z130" t="s">
        <v>817</v>
      </c>
      <c r="AA130" s="31">
        <v>46904</v>
      </c>
      <c r="AB130">
        <v>51200</v>
      </c>
      <c r="AC130">
        <v>42262</v>
      </c>
      <c r="AD130">
        <v>75</v>
      </c>
      <c r="AE130" t="s">
        <v>22</v>
      </c>
      <c r="AF130" s="31">
        <v>45743</v>
      </c>
      <c r="AG130" s="61">
        <v>0.66615740740740736</v>
      </c>
      <c r="AI130" t="s">
        <v>795</v>
      </c>
      <c r="AJ130" s="31">
        <v>45818</v>
      </c>
      <c r="AK130" s="61">
        <v>0.51120370370370372</v>
      </c>
      <c r="AL130" t="s">
        <v>867</v>
      </c>
      <c r="AO130" t="s">
        <v>1374</v>
      </c>
      <c r="AP130" t="s">
        <v>22</v>
      </c>
      <c r="AQ130" t="s">
        <v>1543</v>
      </c>
      <c r="AS130" s="31"/>
      <c r="AY130">
        <v>1</v>
      </c>
    </row>
    <row r="131" spans="1:51" x14ac:dyDescent="0.3">
      <c r="A131" t="s">
        <v>22</v>
      </c>
      <c r="B131">
        <v>314</v>
      </c>
      <c r="D131">
        <v>1948</v>
      </c>
      <c r="G131" t="s">
        <v>1544</v>
      </c>
      <c r="J131" t="s">
        <v>1462</v>
      </c>
      <c r="K131" t="s">
        <v>1462</v>
      </c>
      <c r="L131">
        <v>12991051939</v>
      </c>
      <c r="N131" t="s">
        <v>1111</v>
      </c>
      <c r="Q131" t="s">
        <v>778</v>
      </c>
      <c r="X131" t="s">
        <v>780</v>
      </c>
      <c r="Y131" t="s">
        <v>897</v>
      </c>
      <c r="AA131" s="31"/>
      <c r="AD131">
        <v>10</v>
      </c>
      <c r="AE131" t="s">
        <v>22</v>
      </c>
      <c r="AF131" s="31">
        <v>45744</v>
      </c>
      <c r="AG131" s="61">
        <v>0.46645833333333331</v>
      </c>
      <c r="AI131" t="s">
        <v>795</v>
      </c>
      <c r="AJ131" s="31">
        <v>45754</v>
      </c>
      <c r="AK131" s="61">
        <v>0.60836805555555551</v>
      </c>
      <c r="AL131" t="s">
        <v>1226</v>
      </c>
      <c r="AP131" t="s">
        <v>22</v>
      </c>
      <c r="AQ131" t="s">
        <v>1546</v>
      </c>
      <c r="AS131" s="31"/>
      <c r="AY131">
        <v>1</v>
      </c>
    </row>
    <row r="132" spans="1:51" x14ac:dyDescent="0.3">
      <c r="A132" t="s">
        <v>44</v>
      </c>
      <c r="B132">
        <v>315</v>
      </c>
      <c r="D132">
        <v>1949</v>
      </c>
      <c r="G132" t="s">
        <v>1547</v>
      </c>
      <c r="J132" t="s">
        <v>1548</v>
      </c>
      <c r="K132" t="s">
        <v>1548</v>
      </c>
      <c r="L132">
        <v>62993609476</v>
      </c>
      <c r="N132" t="s">
        <v>1522</v>
      </c>
      <c r="Q132" t="s">
        <v>778</v>
      </c>
      <c r="X132" t="s">
        <v>780</v>
      </c>
      <c r="Y132" t="s">
        <v>816</v>
      </c>
      <c r="Z132" t="s">
        <v>995</v>
      </c>
      <c r="AA132" s="31"/>
      <c r="AB132">
        <v>1600</v>
      </c>
      <c r="AC132">
        <v>180443</v>
      </c>
      <c r="AD132">
        <v>54</v>
      </c>
      <c r="AE132" t="s">
        <v>44</v>
      </c>
      <c r="AF132" s="31">
        <v>45744</v>
      </c>
      <c r="AG132" s="61">
        <v>0.49288194444444439</v>
      </c>
      <c r="AI132" t="s">
        <v>818</v>
      </c>
      <c r="AJ132" s="31">
        <v>45798</v>
      </c>
      <c r="AK132" s="61">
        <v>0.37681712962962971</v>
      </c>
      <c r="AO132" t="s">
        <v>1524</v>
      </c>
      <c r="AQ132" t="s">
        <v>1525</v>
      </c>
      <c r="AS132" s="31"/>
      <c r="AY132">
        <v>1</v>
      </c>
    </row>
    <row r="133" spans="1:51" x14ac:dyDescent="0.3">
      <c r="A133" t="s">
        <v>44</v>
      </c>
      <c r="B133">
        <v>316</v>
      </c>
      <c r="D133">
        <v>1950</v>
      </c>
      <c r="G133" t="s">
        <v>1550</v>
      </c>
      <c r="H133">
        <v>49695060000165</v>
      </c>
      <c r="J133" t="s">
        <v>1551</v>
      </c>
      <c r="K133" t="s">
        <v>1551</v>
      </c>
      <c r="L133" t="s">
        <v>1531</v>
      </c>
      <c r="N133" t="s">
        <v>1532</v>
      </c>
      <c r="Q133" t="s">
        <v>778</v>
      </c>
      <c r="R133" t="s">
        <v>1094</v>
      </c>
      <c r="S133" t="s">
        <v>790</v>
      </c>
      <c r="X133" t="s">
        <v>780</v>
      </c>
      <c r="Y133" t="s">
        <v>793</v>
      </c>
      <c r="AA133" s="31"/>
      <c r="AB133">
        <v>1600</v>
      </c>
      <c r="AC133">
        <v>2178</v>
      </c>
      <c r="AD133">
        <v>48</v>
      </c>
      <c r="AE133" t="s">
        <v>44</v>
      </c>
      <c r="AF133" s="31">
        <v>45744</v>
      </c>
      <c r="AG133" s="61">
        <v>0.62916666666666665</v>
      </c>
      <c r="AI133" t="s">
        <v>795</v>
      </c>
      <c r="AJ133" s="31">
        <v>45792</v>
      </c>
      <c r="AK133" s="61">
        <v>0.64351851851851849</v>
      </c>
      <c r="AL133" t="s">
        <v>796</v>
      </c>
      <c r="AM133" t="s">
        <v>1533</v>
      </c>
      <c r="AN133" t="s">
        <v>1528</v>
      </c>
      <c r="AO133" t="s">
        <v>1528</v>
      </c>
      <c r="AQ133" t="s">
        <v>1528</v>
      </c>
      <c r="AS133" s="31"/>
      <c r="AY133">
        <v>1</v>
      </c>
    </row>
    <row r="134" spans="1:51" x14ac:dyDescent="0.3">
      <c r="A134" t="s">
        <v>44</v>
      </c>
      <c r="B134">
        <v>317</v>
      </c>
      <c r="D134">
        <v>1952</v>
      </c>
      <c r="G134" t="s">
        <v>1552</v>
      </c>
      <c r="H134">
        <v>8652421000109</v>
      </c>
      <c r="J134" t="s">
        <v>1553</v>
      </c>
      <c r="K134" t="s">
        <v>1553</v>
      </c>
      <c r="L134" t="s">
        <v>1554</v>
      </c>
      <c r="N134" t="s">
        <v>1427</v>
      </c>
      <c r="Q134" t="s">
        <v>778</v>
      </c>
      <c r="R134" t="s">
        <v>1428</v>
      </c>
      <c r="S134" t="s">
        <v>1027</v>
      </c>
      <c r="X134" t="s">
        <v>780</v>
      </c>
      <c r="Y134" t="s">
        <v>807</v>
      </c>
      <c r="AA134" s="31"/>
      <c r="AB134">
        <v>74860</v>
      </c>
      <c r="AC134">
        <v>641932</v>
      </c>
      <c r="AD134">
        <v>48</v>
      </c>
      <c r="AE134" t="s">
        <v>44</v>
      </c>
      <c r="AF134" s="31">
        <v>45744</v>
      </c>
      <c r="AG134" s="61">
        <v>0.65123842592592596</v>
      </c>
      <c r="AI134" t="s">
        <v>795</v>
      </c>
      <c r="AJ134" s="31">
        <v>45792</v>
      </c>
      <c r="AK134" s="61">
        <v>0.48288194444444438</v>
      </c>
      <c r="AL134" t="s">
        <v>796</v>
      </c>
      <c r="AM134" t="s">
        <v>1555</v>
      </c>
      <c r="AO134" t="s">
        <v>1524</v>
      </c>
      <c r="AQ134" t="s">
        <v>1556</v>
      </c>
      <c r="AS134" s="31"/>
      <c r="AY134">
        <v>1</v>
      </c>
    </row>
    <row r="135" spans="1:51" x14ac:dyDescent="0.3">
      <c r="A135" t="s">
        <v>44</v>
      </c>
      <c r="B135">
        <v>318</v>
      </c>
      <c r="D135">
        <v>1957</v>
      </c>
      <c r="G135" t="s">
        <v>1557</v>
      </c>
      <c r="H135">
        <v>8652421000109</v>
      </c>
      <c r="J135" t="s">
        <v>1558</v>
      </c>
      <c r="K135" t="s">
        <v>1558</v>
      </c>
      <c r="L135">
        <v>43991395000</v>
      </c>
      <c r="N135" t="s">
        <v>1427</v>
      </c>
      <c r="Q135" t="s">
        <v>778</v>
      </c>
      <c r="X135" t="s">
        <v>780</v>
      </c>
      <c r="Y135" t="s">
        <v>793</v>
      </c>
      <c r="AA135" s="31"/>
      <c r="AD135">
        <v>19</v>
      </c>
      <c r="AE135" t="s">
        <v>44</v>
      </c>
      <c r="AF135" s="31">
        <v>45744</v>
      </c>
      <c r="AG135" s="61">
        <v>0.65327546296296302</v>
      </c>
      <c r="AI135" t="s">
        <v>795</v>
      </c>
      <c r="AJ135" s="31">
        <v>45763</v>
      </c>
      <c r="AK135" s="61">
        <v>0.40211805555555558</v>
      </c>
      <c r="AL135" t="s">
        <v>796</v>
      </c>
      <c r="AM135" t="s">
        <v>1560</v>
      </c>
      <c r="AO135" t="s">
        <v>1524</v>
      </c>
      <c r="AQ135" t="s">
        <v>1556</v>
      </c>
      <c r="AS135" s="31"/>
      <c r="AY135">
        <v>1</v>
      </c>
    </row>
    <row r="136" spans="1:51" x14ac:dyDescent="0.3">
      <c r="A136" t="s">
        <v>44</v>
      </c>
      <c r="B136">
        <v>319</v>
      </c>
      <c r="D136">
        <v>1958</v>
      </c>
      <c r="G136" t="s">
        <v>1561</v>
      </c>
      <c r="J136" t="s">
        <v>1562</v>
      </c>
      <c r="K136" t="s">
        <v>1562</v>
      </c>
      <c r="L136">
        <v>54996596274</v>
      </c>
      <c r="N136" t="s">
        <v>1025</v>
      </c>
      <c r="Q136" t="s">
        <v>778</v>
      </c>
      <c r="X136" t="s">
        <v>780</v>
      </c>
      <c r="Y136" t="s">
        <v>816</v>
      </c>
      <c r="AA136" s="31"/>
      <c r="AB136">
        <v>1760013</v>
      </c>
      <c r="AC136">
        <v>0</v>
      </c>
      <c r="AD136">
        <v>0</v>
      </c>
      <c r="AE136" t="s">
        <v>44</v>
      </c>
      <c r="AF136" s="31">
        <v>45747</v>
      </c>
      <c r="AG136" s="61">
        <v>0.47290509259259261</v>
      </c>
      <c r="AI136" t="s">
        <v>818</v>
      </c>
      <c r="AJ136" s="31">
        <v>45747</v>
      </c>
      <c r="AK136" s="61">
        <v>0.48357638888888888</v>
      </c>
      <c r="AO136" t="s">
        <v>1497</v>
      </c>
      <c r="AS136" s="31"/>
      <c r="AY136">
        <v>1</v>
      </c>
    </row>
    <row r="137" spans="1:51" x14ac:dyDescent="0.3">
      <c r="A137" t="s">
        <v>44</v>
      </c>
      <c r="B137">
        <v>321</v>
      </c>
      <c r="D137">
        <v>1961</v>
      </c>
      <c r="G137" t="s">
        <v>1557</v>
      </c>
      <c r="J137" t="s">
        <v>1558</v>
      </c>
      <c r="K137" t="s">
        <v>1558</v>
      </c>
      <c r="L137">
        <v>5537446412</v>
      </c>
      <c r="N137" t="s">
        <v>1427</v>
      </c>
      <c r="Q137" t="s">
        <v>778</v>
      </c>
      <c r="X137" t="s">
        <v>780</v>
      </c>
      <c r="Y137" t="s">
        <v>807</v>
      </c>
      <c r="AA137" s="31"/>
      <c r="AB137">
        <v>1600</v>
      </c>
      <c r="AC137">
        <v>462522</v>
      </c>
      <c r="AD137">
        <v>45</v>
      </c>
      <c r="AE137" t="s">
        <v>44</v>
      </c>
      <c r="AF137" s="31">
        <v>45747</v>
      </c>
      <c r="AG137" s="61">
        <v>0.63219907407407405</v>
      </c>
      <c r="AI137" t="s">
        <v>795</v>
      </c>
      <c r="AJ137" s="31">
        <v>45792</v>
      </c>
      <c r="AK137" s="61">
        <v>0.48388888888888892</v>
      </c>
      <c r="AL137" t="s">
        <v>796</v>
      </c>
      <c r="AM137" t="s">
        <v>1555</v>
      </c>
      <c r="AO137" t="s">
        <v>1524</v>
      </c>
      <c r="AQ137" t="s">
        <v>1556</v>
      </c>
      <c r="AS137" s="31"/>
      <c r="AY137">
        <v>1</v>
      </c>
    </row>
    <row r="138" spans="1:51" x14ac:dyDescent="0.3">
      <c r="A138" t="s">
        <v>44</v>
      </c>
      <c r="B138">
        <v>322</v>
      </c>
      <c r="D138">
        <v>1962</v>
      </c>
      <c r="G138" t="s">
        <v>1564</v>
      </c>
      <c r="J138" t="s">
        <v>1565</v>
      </c>
      <c r="K138" t="s">
        <v>1565</v>
      </c>
      <c r="L138">
        <v>19993040768</v>
      </c>
      <c r="N138" t="s">
        <v>992</v>
      </c>
      <c r="Q138" t="s">
        <v>778</v>
      </c>
      <c r="X138" t="s">
        <v>780</v>
      </c>
      <c r="Y138" t="s">
        <v>816</v>
      </c>
      <c r="AA138" s="31"/>
      <c r="AB138">
        <v>0</v>
      </c>
      <c r="AC138">
        <v>30002</v>
      </c>
      <c r="AD138">
        <v>24</v>
      </c>
      <c r="AE138" t="s">
        <v>44</v>
      </c>
      <c r="AF138" s="31">
        <v>45747</v>
      </c>
      <c r="AG138" s="61">
        <v>0.69299768518518523</v>
      </c>
      <c r="AI138" t="s">
        <v>818</v>
      </c>
      <c r="AJ138" s="31">
        <v>45771</v>
      </c>
      <c r="AK138" s="61">
        <v>0.50261574074074078</v>
      </c>
      <c r="AO138" t="s">
        <v>1524</v>
      </c>
      <c r="AS138" s="31"/>
      <c r="AY138">
        <v>1</v>
      </c>
    </row>
    <row r="139" spans="1:51" x14ac:dyDescent="0.3">
      <c r="A139" t="s">
        <v>44</v>
      </c>
      <c r="B139">
        <v>323</v>
      </c>
      <c r="D139">
        <v>1963</v>
      </c>
      <c r="G139" t="s">
        <v>1566</v>
      </c>
      <c r="J139" t="s">
        <v>1567</v>
      </c>
      <c r="K139" t="s">
        <v>1567</v>
      </c>
      <c r="L139">
        <v>21964397621</v>
      </c>
      <c r="N139" t="s">
        <v>1569</v>
      </c>
      <c r="Q139" t="s">
        <v>778</v>
      </c>
      <c r="X139" t="s">
        <v>780</v>
      </c>
      <c r="Y139" t="s">
        <v>793</v>
      </c>
      <c r="AA139" s="31"/>
      <c r="AB139">
        <v>16960</v>
      </c>
      <c r="AC139">
        <v>1980</v>
      </c>
      <c r="AD139">
        <v>64</v>
      </c>
      <c r="AE139" t="s">
        <v>44</v>
      </c>
      <c r="AF139" s="31">
        <v>45747</v>
      </c>
      <c r="AG139" s="61">
        <v>0.70123842592592589</v>
      </c>
      <c r="AI139" t="s">
        <v>795</v>
      </c>
      <c r="AJ139" s="31">
        <v>45811</v>
      </c>
      <c r="AK139" s="61">
        <v>0.46266203703703701</v>
      </c>
      <c r="AL139" t="s">
        <v>858</v>
      </c>
      <c r="AM139" t="s">
        <v>1570</v>
      </c>
      <c r="AO139" t="s">
        <v>1524</v>
      </c>
      <c r="AQ139" t="s">
        <v>1524</v>
      </c>
      <c r="AS139" s="31"/>
      <c r="AY139">
        <v>1</v>
      </c>
    </row>
    <row r="140" spans="1:51" x14ac:dyDescent="0.3">
      <c r="A140" t="s">
        <v>44</v>
      </c>
      <c r="B140">
        <v>328</v>
      </c>
      <c r="D140">
        <v>1970</v>
      </c>
      <c r="G140" t="s">
        <v>1571</v>
      </c>
      <c r="J140" t="s">
        <v>1572</v>
      </c>
      <c r="K140" t="s">
        <v>1572</v>
      </c>
      <c r="L140">
        <v>11983264135</v>
      </c>
      <c r="N140" t="s">
        <v>1574</v>
      </c>
      <c r="Q140" t="s">
        <v>778</v>
      </c>
      <c r="X140" t="s">
        <v>780</v>
      </c>
      <c r="Y140" t="s">
        <v>897</v>
      </c>
      <c r="AA140" s="31"/>
      <c r="AD140">
        <v>71</v>
      </c>
      <c r="AE140" t="s">
        <v>44</v>
      </c>
      <c r="AF140" s="31">
        <v>45748</v>
      </c>
      <c r="AG140" s="61">
        <v>0.6648263888888889</v>
      </c>
      <c r="AI140" t="s">
        <v>795</v>
      </c>
      <c r="AJ140" s="31">
        <v>45819</v>
      </c>
      <c r="AK140" s="61">
        <v>0.60791666666666666</v>
      </c>
      <c r="AL140" t="s">
        <v>796</v>
      </c>
      <c r="AM140" t="s">
        <v>1575</v>
      </c>
      <c r="AN140" t="s">
        <v>1576</v>
      </c>
      <c r="AS140" s="31"/>
      <c r="AY140">
        <v>1</v>
      </c>
    </row>
    <row r="141" spans="1:51" x14ac:dyDescent="0.3">
      <c r="A141" t="s">
        <v>44</v>
      </c>
      <c r="B141">
        <v>333</v>
      </c>
      <c r="D141">
        <v>1977</v>
      </c>
      <c r="G141" t="s">
        <v>1577</v>
      </c>
      <c r="H141">
        <v>32921219000110</v>
      </c>
      <c r="J141" t="s">
        <v>1578</v>
      </c>
      <c r="K141" t="s">
        <v>1578</v>
      </c>
      <c r="L141">
        <v>11910695515</v>
      </c>
      <c r="N141" t="s">
        <v>1580</v>
      </c>
      <c r="Q141" t="s">
        <v>778</v>
      </c>
      <c r="W141" t="s">
        <v>1581</v>
      </c>
      <c r="X141" t="s">
        <v>780</v>
      </c>
      <c r="Y141" t="s">
        <v>807</v>
      </c>
      <c r="AA141" s="31"/>
      <c r="AB141">
        <v>69112</v>
      </c>
      <c r="AC141">
        <v>318388</v>
      </c>
      <c r="AD141">
        <v>88</v>
      </c>
      <c r="AE141" t="s">
        <v>44</v>
      </c>
      <c r="AF141" s="31">
        <v>45750</v>
      </c>
      <c r="AG141" s="61">
        <v>0.66128472222222223</v>
      </c>
      <c r="AI141" t="s">
        <v>795</v>
      </c>
      <c r="AJ141" s="31">
        <v>45838</v>
      </c>
      <c r="AK141" s="61">
        <v>0.63310185185185186</v>
      </c>
      <c r="AL141" t="s">
        <v>934</v>
      </c>
      <c r="AM141" t="s">
        <v>1582</v>
      </c>
      <c r="AO141" t="s">
        <v>1583</v>
      </c>
      <c r="AP141" t="s">
        <v>44</v>
      </c>
      <c r="AQ141" t="s">
        <v>1583</v>
      </c>
      <c r="AR141" t="s">
        <v>1584</v>
      </c>
      <c r="AS141" s="31"/>
      <c r="AY141">
        <v>1</v>
      </c>
    </row>
    <row r="142" spans="1:51" x14ac:dyDescent="0.3">
      <c r="A142" t="s">
        <v>31</v>
      </c>
      <c r="B142">
        <v>334</v>
      </c>
      <c r="D142">
        <v>1978</v>
      </c>
      <c r="G142" t="s">
        <v>1585</v>
      </c>
      <c r="H142">
        <v>55940574000131</v>
      </c>
      <c r="J142" t="s">
        <v>1586</v>
      </c>
      <c r="K142" t="s">
        <v>1586</v>
      </c>
      <c r="L142">
        <v>16994380062</v>
      </c>
      <c r="N142" t="s">
        <v>1588</v>
      </c>
      <c r="Q142" t="s">
        <v>778</v>
      </c>
      <c r="T142" t="s">
        <v>933</v>
      </c>
      <c r="W142" t="s">
        <v>1581</v>
      </c>
      <c r="X142" t="s">
        <v>780</v>
      </c>
      <c r="Y142" t="s">
        <v>807</v>
      </c>
      <c r="Z142" t="s">
        <v>995</v>
      </c>
      <c r="AA142" s="31">
        <v>46053</v>
      </c>
      <c r="AD142">
        <v>228</v>
      </c>
      <c r="AE142" t="s">
        <v>31</v>
      </c>
      <c r="AF142" s="31">
        <v>45751</v>
      </c>
      <c r="AG142" s="61">
        <v>0.64585648148148145</v>
      </c>
      <c r="AI142" t="s">
        <v>795</v>
      </c>
      <c r="AJ142" s="31">
        <v>45979</v>
      </c>
      <c r="AK142" s="61">
        <v>0.39087962962962958</v>
      </c>
      <c r="AL142" t="s">
        <v>796</v>
      </c>
      <c r="AO142" t="s">
        <v>1589</v>
      </c>
      <c r="AP142" t="s">
        <v>31</v>
      </c>
      <c r="AQ142" t="s">
        <v>1590</v>
      </c>
      <c r="AR142" t="s">
        <v>1591</v>
      </c>
      <c r="AS142" s="31"/>
      <c r="AY142">
        <v>1</v>
      </c>
    </row>
    <row r="143" spans="1:51" x14ac:dyDescent="0.3">
      <c r="A143" t="s">
        <v>44</v>
      </c>
      <c r="B143">
        <v>336</v>
      </c>
      <c r="D143">
        <v>1980</v>
      </c>
      <c r="G143" t="s">
        <v>1592</v>
      </c>
      <c r="H143">
        <v>56262451000151</v>
      </c>
      <c r="J143" t="s">
        <v>1593</v>
      </c>
      <c r="K143" t="s">
        <v>1593</v>
      </c>
      <c r="L143" t="s">
        <v>1594</v>
      </c>
      <c r="N143" t="s">
        <v>1595</v>
      </c>
      <c r="Q143" t="s">
        <v>778</v>
      </c>
      <c r="R143" t="s">
        <v>1596</v>
      </c>
      <c r="S143" t="s">
        <v>790</v>
      </c>
      <c r="X143" t="s">
        <v>780</v>
      </c>
      <c r="Y143" t="s">
        <v>807</v>
      </c>
      <c r="AA143" s="31"/>
      <c r="AB143">
        <v>110486</v>
      </c>
      <c r="AC143">
        <v>704412</v>
      </c>
      <c r="AD143">
        <v>16</v>
      </c>
      <c r="AE143" t="s">
        <v>44</v>
      </c>
      <c r="AF143" s="31">
        <v>45754</v>
      </c>
      <c r="AG143" s="61">
        <v>0.42481481481481481</v>
      </c>
      <c r="AI143" t="s">
        <v>795</v>
      </c>
      <c r="AJ143" s="31">
        <v>45770</v>
      </c>
      <c r="AK143" s="61">
        <v>0.62724537037037043</v>
      </c>
      <c r="AL143" t="s">
        <v>934</v>
      </c>
      <c r="AM143" t="s">
        <v>1597</v>
      </c>
      <c r="AN143" t="s">
        <v>1598</v>
      </c>
      <c r="AO143" t="s">
        <v>1576</v>
      </c>
      <c r="AS143" s="31"/>
      <c r="AY143">
        <v>1</v>
      </c>
    </row>
    <row r="144" spans="1:51" x14ac:dyDescent="0.3">
      <c r="A144" t="s">
        <v>22</v>
      </c>
      <c r="B144">
        <v>338</v>
      </c>
      <c r="D144">
        <v>1983</v>
      </c>
      <c r="G144" t="s">
        <v>1599</v>
      </c>
      <c r="H144">
        <v>750764000102</v>
      </c>
      <c r="J144" t="s">
        <v>1600</v>
      </c>
      <c r="K144" t="s">
        <v>1600</v>
      </c>
      <c r="L144">
        <v>4834332503</v>
      </c>
      <c r="N144" t="s">
        <v>1602</v>
      </c>
      <c r="Q144" t="s">
        <v>778</v>
      </c>
      <c r="X144" t="s">
        <v>780</v>
      </c>
      <c r="Y144" t="s">
        <v>807</v>
      </c>
      <c r="AA144" s="31"/>
      <c r="AB144">
        <v>50000</v>
      </c>
      <c r="AC144">
        <v>30502</v>
      </c>
      <c r="AD144">
        <v>26</v>
      </c>
      <c r="AE144" t="s">
        <v>22</v>
      </c>
      <c r="AF144" s="31">
        <v>45754</v>
      </c>
      <c r="AG144" s="61">
        <v>0.60024305555555557</v>
      </c>
      <c r="AI144" t="s">
        <v>795</v>
      </c>
      <c r="AJ144" s="31">
        <v>45780</v>
      </c>
      <c r="AK144" s="61">
        <v>0.44513888888888892</v>
      </c>
      <c r="AL144" t="s">
        <v>867</v>
      </c>
      <c r="AO144" t="s">
        <v>1603</v>
      </c>
      <c r="AP144" t="s">
        <v>22</v>
      </c>
      <c r="AQ144" t="s">
        <v>1604</v>
      </c>
      <c r="AS144" s="31"/>
      <c r="AY144">
        <v>1</v>
      </c>
    </row>
    <row r="145" spans="1:51" x14ac:dyDescent="0.3">
      <c r="A145" t="s">
        <v>44</v>
      </c>
      <c r="B145">
        <v>343</v>
      </c>
      <c r="D145">
        <v>1988</v>
      </c>
      <c r="G145" t="s">
        <v>1605</v>
      </c>
      <c r="J145" t="s">
        <v>1606</v>
      </c>
      <c r="K145" t="s">
        <v>1606</v>
      </c>
      <c r="L145">
        <v>11940062281</v>
      </c>
      <c r="N145" t="s">
        <v>1608</v>
      </c>
      <c r="Q145" t="s">
        <v>778</v>
      </c>
      <c r="X145" t="s">
        <v>780</v>
      </c>
      <c r="Y145" t="s">
        <v>793</v>
      </c>
      <c r="AA145" s="31"/>
      <c r="AB145">
        <v>32400</v>
      </c>
      <c r="AC145">
        <v>104544</v>
      </c>
      <c r="AD145">
        <v>34</v>
      </c>
      <c r="AE145" t="s">
        <v>44</v>
      </c>
      <c r="AF145" s="31">
        <v>45758</v>
      </c>
      <c r="AG145" s="61">
        <v>0.4972685185185185</v>
      </c>
      <c r="AI145" t="s">
        <v>795</v>
      </c>
      <c r="AJ145" s="31">
        <v>45792</v>
      </c>
      <c r="AK145" s="61">
        <v>0.47031250000000002</v>
      </c>
      <c r="AL145" t="s">
        <v>796</v>
      </c>
      <c r="AM145" t="s">
        <v>1609</v>
      </c>
      <c r="AO145" t="s">
        <v>1610</v>
      </c>
      <c r="AQ145" t="s">
        <v>1610</v>
      </c>
      <c r="AS145" s="31"/>
      <c r="AY145">
        <v>1</v>
      </c>
    </row>
    <row r="146" spans="1:51" x14ac:dyDescent="0.3">
      <c r="A146" t="s">
        <v>44</v>
      </c>
      <c r="B146">
        <v>346</v>
      </c>
      <c r="D146">
        <v>1991</v>
      </c>
      <c r="G146" t="s">
        <v>1611</v>
      </c>
      <c r="J146" t="s">
        <v>1612</v>
      </c>
      <c r="K146" t="s">
        <v>1612</v>
      </c>
      <c r="L146">
        <v>11965745182</v>
      </c>
      <c r="N146" t="s">
        <v>1614</v>
      </c>
      <c r="Q146" t="s">
        <v>778</v>
      </c>
      <c r="W146" t="s">
        <v>1615</v>
      </c>
      <c r="X146" t="s">
        <v>780</v>
      </c>
      <c r="Y146" t="s">
        <v>816</v>
      </c>
      <c r="AA146" s="31">
        <v>46053</v>
      </c>
      <c r="AB146">
        <v>51306</v>
      </c>
      <c r="AC146">
        <v>2700</v>
      </c>
      <c r="AD146">
        <v>296</v>
      </c>
      <c r="AE146" t="s">
        <v>44</v>
      </c>
      <c r="AF146" s="31">
        <v>45762</v>
      </c>
      <c r="AG146" s="61">
        <v>0.62379629629629629</v>
      </c>
      <c r="AI146" t="s">
        <v>818</v>
      </c>
      <c r="AJ146" s="31">
        <v>45783</v>
      </c>
      <c r="AK146" s="61">
        <v>0.48605324074074069</v>
      </c>
      <c r="AM146">
        <v>0</v>
      </c>
      <c r="AO146" t="s">
        <v>888</v>
      </c>
      <c r="AQ146" t="s">
        <v>888</v>
      </c>
      <c r="AS146" s="31">
        <v>46028</v>
      </c>
      <c r="AY146">
        <v>1</v>
      </c>
    </row>
    <row r="147" spans="1:51" x14ac:dyDescent="0.3">
      <c r="A147" t="s">
        <v>44</v>
      </c>
      <c r="B147">
        <v>347</v>
      </c>
      <c r="D147">
        <v>1992</v>
      </c>
      <c r="G147" t="s">
        <v>1616</v>
      </c>
      <c r="J147" t="s">
        <v>1617</v>
      </c>
      <c r="K147" t="s">
        <v>1617</v>
      </c>
      <c r="L147">
        <v>11965745182</v>
      </c>
      <c r="N147" t="s">
        <v>1614</v>
      </c>
      <c r="Q147" t="s">
        <v>778</v>
      </c>
      <c r="X147" t="s">
        <v>780</v>
      </c>
      <c r="Y147" t="s">
        <v>807</v>
      </c>
      <c r="AA147" s="31"/>
      <c r="AB147">
        <v>15216</v>
      </c>
      <c r="AC147">
        <v>37684</v>
      </c>
      <c r="AD147">
        <v>21</v>
      </c>
      <c r="AE147" t="s">
        <v>44</v>
      </c>
      <c r="AF147" s="31">
        <v>45762</v>
      </c>
      <c r="AG147" s="61">
        <v>0.62471064814814814</v>
      </c>
      <c r="AI147" t="s">
        <v>795</v>
      </c>
      <c r="AJ147" s="31">
        <v>45783</v>
      </c>
      <c r="AK147" s="61">
        <v>0.4869560185185185</v>
      </c>
      <c r="AL147" t="s">
        <v>867</v>
      </c>
      <c r="AM147" t="s">
        <v>1618</v>
      </c>
      <c r="AO147" t="s">
        <v>1584</v>
      </c>
      <c r="AQ147" t="s">
        <v>1619</v>
      </c>
      <c r="AS147" s="31"/>
      <c r="AY147">
        <v>1</v>
      </c>
    </row>
    <row r="148" spans="1:51" x14ac:dyDescent="0.3">
      <c r="A148" t="s">
        <v>44</v>
      </c>
      <c r="B148">
        <v>348</v>
      </c>
      <c r="D148">
        <v>1993</v>
      </c>
      <c r="G148" t="s">
        <v>1620</v>
      </c>
      <c r="J148" t="s">
        <v>1621</v>
      </c>
      <c r="K148" t="s">
        <v>1621</v>
      </c>
      <c r="L148">
        <v>11997371774</v>
      </c>
      <c r="N148" t="s">
        <v>1623</v>
      </c>
      <c r="Q148" t="s">
        <v>778</v>
      </c>
      <c r="X148" t="s">
        <v>780</v>
      </c>
      <c r="Y148" t="s">
        <v>816</v>
      </c>
      <c r="Z148" t="s">
        <v>995</v>
      </c>
      <c r="AA148" s="31"/>
      <c r="AB148">
        <v>15264</v>
      </c>
      <c r="AC148">
        <v>8210</v>
      </c>
      <c r="AD148">
        <v>22</v>
      </c>
      <c r="AE148" t="s">
        <v>44</v>
      </c>
      <c r="AF148" s="31">
        <v>45762</v>
      </c>
      <c r="AG148" s="61">
        <v>0.7232291666666667</v>
      </c>
      <c r="AI148" t="s">
        <v>818</v>
      </c>
      <c r="AJ148" s="31">
        <v>45784</v>
      </c>
      <c r="AK148" s="61">
        <v>0.37145833333333328</v>
      </c>
      <c r="AO148" t="s">
        <v>1624</v>
      </c>
      <c r="AS148" s="31"/>
      <c r="AY148">
        <v>1</v>
      </c>
    </row>
    <row r="149" spans="1:51" x14ac:dyDescent="0.3">
      <c r="A149" t="s">
        <v>44</v>
      </c>
      <c r="B149">
        <v>351</v>
      </c>
      <c r="D149">
        <v>1997</v>
      </c>
      <c r="G149" t="s">
        <v>1625</v>
      </c>
      <c r="H149">
        <v>56262451000151</v>
      </c>
      <c r="J149" t="s">
        <v>1626</v>
      </c>
      <c r="K149" t="s">
        <v>1626</v>
      </c>
      <c r="L149" t="s">
        <v>1594</v>
      </c>
      <c r="N149" t="s">
        <v>1595</v>
      </c>
      <c r="Q149" t="s">
        <v>778</v>
      </c>
      <c r="R149" t="s">
        <v>1596</v>
      </c>
      <c r="S149" t="s">
        <v>790</v>
      </c>
      <c r="X149" t="s">
        <v>780</v>
      </c>
      <c r="Y149" t="s">
        <v>807</v>
      </c>
      <c r="AA149" s="31"/>
      <c r="AB149">
        <v>1620001</v>
      </c>
      <c r="AC149">
        <v>3400</v>
      </c>
      <c r="AD149">
        <v>6</v>
      </c>
      <c r="AE149" t="s">
        <v>44</v>
      </c>
      <c r="AF149" s="31">
        <v>45764</v>
      </c>
      <c r="AG149" s="61">
        <v>0.43085648148148148</v>
      </c>
      <c r="AI149" t="s">
        <v>795</v>
      </c>
      <c r="AJ149" s="31">
        <v>45770</v>
      </c>
      <c r="AK149" s="61">
        <v>0.62804398148148144</v>
      </c>
      <c r="AL149" t="s">
        <v>934</v>
      </c>
      <c r="AM149" t="s">
        <v>1597</v>
      </c>
      <c r="AO149" t="s">
        <v>1598</v>
      </c>
      <c r="AQ149" t="s">
        <v>1576</v>
      </c>
      <c r="AS149" s="31"/>
      <c r="AY149">
        <v>1</v>
      </c>
    </row>
    <row r="150" spans="1:51" x14ac:dyDescent="0.3">
      <c r="A150" t="s">
        <v>44</v>
      </c>
      <c r="B150">
        <v>352</v>
      </c>
      <c r="D150">
        <v>1999</v>
      </c>
      <c r="G150" t="s">
        <v>1627</v>
      </c>
      <c r="J150" t="s">
        <v>1628</v>
      </c>
      <c r="K150" t="s">
        <v>1628</v>
      </c>
      <c r="L150">
        <v>11949590732</v>
      </c>
      <c r="N150" t="s">
        <v>1595</v>
      </c>
      <c r="Q150" t="s">
        <v>778</v>
      </c>
      <c r="X150" t="s">
        <v>780</v>
      </c>
      <c r="Y150" t="s">
        <v>807</v>
      </c>
      <c r="AA150" s="31"/>
      <c r="AB150">
        <v>16200</v>
      </c>
      <c r="AC150">
        <v>2160</v>
      </c>
      <c r="AD150">
        <v>6</v>
      </c>
      <c r="AE150" t="s">
        <v>44</v>
      </c>
      <c r="AF150" s="31">
        <v>45764</v>
      </c>
      <c r="AG150" s="61">
        <v>0.46605324074074073</v>
      </c>
      <c r="AI150" t="s">
        <v>795</v>
      </c>
      <c r="AJ150" s="31">
        <v>45770</v>
      </c>
      <c r="AK150" s="61">
        <v>0.62869212962962961</v>
      </c>
      <c r="AL150" t="s">
        <v>934</v>
      </c>
      <c r="AM150" t="s">
        <v>1597</v>
      </c>
      <c r="AO150" t="s">
        <v>1598</v>
      </c>
      <c r="AQ150" t="s">
        <v>1576</v>
      </c>
      <c r="AS150" s="31"/>
      <c r="AY150">
        <v>1</v>
      </c>
    </row>
    <row r="151" spans="1:51" x14ac:dyDescent="0.3">
      <c r="A151" t="s">
        <v>44</v>
      </c>
      <c r="B151">
        <v>353</v>
      </c>
      <c r="D151">
        <v>2000</v>
      </c>
      <c r="G151" t="s">
        <v>1630</v>
      </c>
      <c r="H151">
        <v>8678467000105</v>
      </c>
      <c r="J151" t="s">
        <v>1631</v>
      </c>
      <c r="K151" t="s">
        <v>1631</v>
      </c>
      <c r="L151" t="s">
        <v>1632</v>
      </c>
      <c r="Q151" t="s">
        <v>778</v>
      </c>
      <c r="R151" t="s">
        <v>1633</v>
      </c>
      <c r="S151" t="s">
        <v>848</v>
      </c>
      <c r="W151" t="s">
        <v>1419</v>
      </c>
      <c r="X151" t="s">
        <v>780</v>
      </c>
      <c r="Y151" t="s">
        <v>807</v>
      </c>
      <c r="AA151" s="31"/>
      <c r="AB151">
        <v>5667184</v>
      </c>
      <c r="AC151">
        <v>539533</v>
      </c>
      <c r="AD151">
        <v>68</v>
      </c>
      <c r="AE151" t="s">
        <v>44</v>
      </c>
      <c r="AF151" s="31">
        <v>45764</v>
      </c>
      <c r="AG151" s="61">
        <v>0.51119212962962968</v>
      </c>
      <c r="AI151" t="s">
        <v>795</v>
      </c>
      <c r="AJ151" s="31">
        <v>45832</v>
      </c>
      <c r="AK151" s="61">
        <v>0.4964351851851852</v>
      </c>
      <c r="AL151" t="s">
        <v>934</v>
      </c>
      <c r="AM151" t="s">
        <v>1634</v>
      </c>
      <c r="AO151" t="s">
        <v>1583</v>
      </c>
      <c r="AQ151" t="s">
        <v>1583</v>
      </c>
      <c r="AS151" s="31"/>
      <c r="AY151">
        <v>1</v>
      </c>
    </row>
    <row r="152" spans="1:51" x14ac:dyDescent="0.3">
      <c r="A152" t="s">
        <v>44</v>
      </c>
      <c r="B152">
        <v>354</v>
      </c>
      <c r="D152">
        <v>2002</v>
      </c>
      <c r="G152" t="s">
        <v>1635</v>
      </c>
      <c r="H152">
        <v>8678467000105</v>
      </c>
      <c r="J152" t="s">
        <v>1636</v>
      </c>
      <c r="K152" t="s">
        <v>1636</v>
      </c>
      <c r="L152" t="s">
        <v>1632</v>
      </c>
      <c r="Q152" t="s">
        <v>778</v>
      </c>
      <c r="R152" t="s">
        <v>1633</v>
      </c>
      <c r="S152" t="s">
        <v>848</v>
      </c>
      <c r="W152" t="s">
        <v>1419</v>
      </c>
      <c r="X152" t="s">
        <v>780</v>
      </c>
      <c r="Y152" t="s">
        <v>807</v>
      </c>
      <c r="AA152" s="31"/>
      <c r="AB152">
        <v>1600</v>
      </c>
      <c r="AC152">
        <v>28747</v>
      </c>
      <c r="AD152">
        <v>68</v>
      </c>
      <c r="AE152" t="s">
        <v>44</v>
      </c>
      <c r="AF152" s="31">
        <v>45764</v>
      </c>
      <c r="AG152" s="61">
        <v>0.59777777777777774</v>
      </c>
      <c r="AI152" t="s">
        <v>795</v>
      </c>
      <c r="AJ152" s="31">
        <v>45832</v>
      </c>
      <c r="AK152" s="61">
        <v>0.49752314814814808</v>
      </c>
      <c r="AL152" t="s">
        <v>934</v>
      </c>
      <c r="AM152" t="s">
        <v>1637</v>
      </c>
      <c r="AO152" t="s">
        <v>1583</v>
      </c>
      <c r="AQ152" t="s">
        <v>1583</v>
      </c>
      <c r="AS152" s="31"/>
      <c r="AY152">
        <v>1</v>
      </c>
    </row>
    <row r="153" spans="1:51" x14ac:dyDescent="0.3">
      <c r="A153" t="s">
        <v>44</v>
      </c>
      <c r="B153">
        <v>355</v>
      </c>
      <c r="D153">
        <v>2004</v>
      </c>
      <c r="G153" t="s">
        <v>1638</v>
      </c>
      <c r="J153" t="s">
        <v>1639</v>
      </c>
      <c r="K153" t="s">
        <v>1639</v>
      </c>
      <c r="L153">
        <v>11910695515</v>
      </c>
      <c r="N153" t="s">
        <v>1640</v>
      </c>
      <c r="Q153" t="s">
        <v>778</v>
      </c>
      <c r="W153" t="s">
        <v>1581</v>
      </c>
      <c r="X153" t="s">
        <v>780</v>
      </c>
      <c r="Y153" t="s">
        <v>807</v>
      </c>
      <c r="AA153" s="31"/>
      <c r="AB153">
        <v>1600</v>
      </c>
      <c r="AC153">
        <v>32107</v>
      </c>
      <c r="AD153">
        <v>74</v>
      </c>
      <c r="AE153" t="s">
        <v>44</v>
      </c>
      <c r="AF153" s="31">
        <v>45764</v>
      </c>
      <c r="AG153" s="61">
        <v>0.64312499999999995</v>
      </c>
      <c r="AI153" t="s">
        <v>795</v>
      </c>
      <c r="AJ153" s="31">
        <v>45838</v>
      </c>
      <c r="AK153" s="61">
        <v>0.63413194444444443</v>
      </c>
      <c r="AL153" t="s">
        <v>934</v>
      </c>
      <c r="AM153" t="s">
        <v>1641</v>
      </c>
      <c r="AO153" t="s">
        <v>1583</v>
      </c>
      <c r="AQ153" t="s">
        <v>1583</v>
      </c>
      <c r="AR153" t="s">
        <v>1584</v>
      </c>
      <c r="AS153" s="31"/>
      <c r="AY153">
        <v>1</v>
      </c>
    </row>
    <row r="154" spans="1:51" x14ac:dyDescent="0.3">
      <c r="A154" t="s">
        <v>44</v>
      </c>
      <c r="B154">
        <v>358</v>
      </c>
      <c r="D154">
        <v>2008</v>
      </c>
      <c r="G154" t="s">
        <v>1642</v>
      </c>
      <c r="J154" t="s">
        <v>1643</v>
      </c>
      <c r="K154" t="s">
        <v>1643</v>
      </c>
      <c r="L154" t="s">
        <v>1644</v>
      </c>
      <c r="N154" t="s">
        <v>1645</v>
      </c>
      <c r="Q154" t="s">
        <v>778</v>
      </c>
      <c r="R154" t="s">
        <v>1646</v>
      </c>
      <c r="T154" t="s">
        <v>814</v>
      </c>
      <c r="W154" t="s">
        <v>1186</v>
      </c>
      <c r="X154" t="s">
        <v>780</v>
      </c>
      <c r="Y154" t="s">
        <v>793</v>
      </c>
      <c r="AA154" s="31"/>
      <c r="AB154">
        <v>58088</v>
      </c>
      <c r="AC154">
        <v>112089</v>
      </c>
      <c r="AD154">
        <v>17</v>
      </c>
      <c r="AE154" t="s">
        <v>22</v>
      </c>
      <c r="AF154" s="31">
        <v>45775</v>
      </c>
      <c r="AG154" s="61">
        <v>0.6950115740740741</v>
      </c>
      <c r="AI154" t="s">
        <v>795</v>
      </c>
      <c r="AJ154" s="31">
        <v>45792</v>
      </c>
      <c r="AK154" s="61">
        <v>0.64664351851851853</v>
      </c>
      <c r="AL154" t="s">
        <v>796</v>
      </c>
      <c r="AM154" t="s">
        <v>1647</v>
      </c>
      <c r="AO154" t="s">
        <v>1589</v>
      </c>
      <c r="AP154" t="s">
        <v>44</v>
      </c>
      <c r="AQ154" t="s">
        <v>1589</v>
      </c>
      <c r="AS154" s="31"/>
      <c r="AY154">
        <v>1</v>
      </c>
    </row>
    <row r="155" spans="1:51" x14ac:dyDescent="0.3">
      <c r="A155" t="s">
        <v>22</v>
      </c>
      <c r="B155">
        <v>359</v>
      </c>
      <c r="D155">
        <v>2019</v>
      </c>
      <c r="G155" t="s">
        <v>1648</v>
      </c>
      <c r="J155" t="s">
        <v>1649</v>
      </c>
      <c r="K155" t="s">
        <v>1649</v>
      </c>
      <c r="L155" t="s">
        <v>1650</v>
      </c>
      <c r="N155" t="s">
        <v>1651</v>
      </c>
      <c r="Q155" t="s">
        <v>778</v>
      </c>
      <c r="X155" t="s">
        <v>780</v>
      </c>
      <c r="Y155" t="s">
        <v>816</v>
      </c>
      <c r="AA155" s="31"/>
      <c r="AB155">
        <v>40000</v>
      </c>
      <c r="AC155">
        <v>23581</v>
      </c>
      <c r="AD155">
        <v>43</v>
      </c>
      <c r="AE155" t="s">
        <v>22</v>
      </c>
      <c r="AF155" s="31">
        <v>45775</v>
      </c>
      <c r="AG155" s="61">
        <v>0.69732638888888887</v>
      </c>
      <c r="AI155" t="s">
        <v>818</v>
      </c>
      <c r="AJ155" s="31">
        <v>45818</v>
      </c>
      <c r="AK155" s="61">
        <v>0.51094907407407408</v>
      </c>
      <c r="AO155" t="s">
        <v>1652</v>
      </c>
      <c r="AP155" t="s">
        <v>22</v>
      </c>
      <c r="AQ155" t="s">
        <v>1653</v>
      </c>
      <c r="AS155" s="31"/>
      <c r="AY155">
        <v>1</v>
      </c>
    </row>
    <row r="156" spans="1:51" x14ac:dyDescent="0.3">
      <c r="A156" t="s">
        <v>22</v>
      </c>
      <c r="B156">
        <v>360</v>
      </c>
      <c r="D156">
        <v>1986</v>
      </c>
      <c r="G156" t="s">
        <v>1654</v>
      </c>
      <c r="J156" t="s">
        <v>1655</v>
      </c>
      <c r="K156" t="s">
        <v>1655</v>
      </c>
      <c r="L156" t="s">
        <v>1656</v>
      </c>
      <c r="N156" t="s">
        <v>1657</v>
      </c>
      <c r="Q156" t="s">
        <v>778</v>
      </c>
      <c r="R156" t="s">
        <v>923</v>
      </c>
      <c r="T156" t="s">
        <v>814</v>
      </c>
      <c r="W156" t="s">
        <v>1186</v>
      </c>
      <c r="X156" t="s">
        <v>780</v>
      </c>
      <c r="Y156" t="s">
        <v>807</v>
      </c>
      <c r="AA156" s="31"/>
      <c r="AB156">
        <v>68400</v>
      </c>
      <c r="AC156">
        <v>302046</v>
      </c>
      <c r="AD156">
        <v>43</v>
      </c>
      <c r="AE156" t="s">
        <v>22</v>
      </c>
      <c r="AF156" s="31">
        <v>45775</v>
      </c>
      <c r="AG156" s="61">
        <v>0.70218749999999996</v>
      </c>
      <c r="AI156" t="s">
        <v>795</v>
      </c>
      <c r="AJ156" s="31">
        <v>45818</v>
      </c>
      <c r="AK156" s="61">
        <v>0.61357638888888888</v>
      </c>
      <c r="AL156" t="s">
        <v>858</v>
      </c>
      <c r="AO156" t="s">
        <v>1652</v>
      </c>
      <c r="AP156" t="s">
        <v>22</v>
      </c>
      <c r="AQ156" t="s">
        <v>1653</v>
      </c>
      <c r="AS156" s="31"/>
      <c r="AY156">
        <v>1</v>
      </c>
    </row>
    <row r="157" spans="1:51" x14ac:dyDescent="0.3">
      <c r="A157" t="s">
        <v>44</v>
      </c>
      <c r="B157">
        <v>361</v>
      </c>
      <c r="D157">
        <v>2010</v>
      </c>
      <c r="G157" t="s">
        <v>1658</v>
      </c>
      <c r="J157" t="s">
        <v>1659</v>
      </c>
      <c r="K157" t="s">
        <v>1659</v>
      </c>
      <c r="L157">
        <v>22999671888</v>
      </c>
      <c r="N157" t="s">
        <v>1645</v>
      </c>
      <c r="Q157" t="s">
        <v>778</v>
      </c>
      <c r="X157" t="s">
        <v>780</v>
      </c>
      <c r="Y157" t="s">
        <v>793</v>
      </c>
      <c r="AA157" s="31"/>
      <c r="AB157">
        <v>26200</v>
      </c>
      <c r="AC157">
        <v>3400</v>
      </c>
      <c r="AD157">
        <v>16</v>
      </c>
      <c r="AE157" t="s">
        <v>44</v>
      </c>
      <c r="AF157" s="31">
        <v>45776</v>
      </c>
      <c r="AG157" s="61">
        <v>0.6177893518518518</v>
      </c>
      <c r="AI157" t="s">
        <v>795</v>
      </c>
      <c r="AJ157" s="31">
        <v>45792</v>
      </c>
      <c r="AK157" s="61">
        <v>0.64693287037037039</v>
      </c>
      <c r="AL157" t="s">
        <v>796</v>
      </c>
      <c r="AM157" t="s">
        <v>1647</v>
      </c>
      <c r="AO157" t="s">
        <v>1589</v>
      </c>
      <c r="AQ157" t="s">
        <v>1589</v>
      </c>
      <c r="AS157" s="31"/>
      <c r="AY157">
        <v>1</v>
      </c>
    </row>
    <row r="158" spans="1:51" x14ac:dyDescent="0.3">
      <c r="A158" t="s">
        <v>44</v>
      </c>
      <c r="B158">
        <v>362</v>
      </c>
      <c r="D158">
        <v>2011</v>
      </c>
      <c r="G158" t="s">
        <v>1661</v>
      </c>
      <c r="J158" t="s">
        <v>1662</v>
      </c>
      <c r="K158" t="s">
        <v>1662</v>
      </c>
      <c r="L158">
        <v>11965745182</v>
      </c>
      <c r="N158" t="s">
        <v>1614</v>
      </c>
      <c r="Q158" t="s">
        <v>778</v>
      </c>
      <c r="X158" t="s">
        <v>780</v>
      </c>
      <c r="Y158" t="s">
        <v>807</v>
      </c>
      <c r="AA158" s="31"/>
      <c r="AB158">
        <v>1600</v>
      </c>
      <c r="AC158">
        <v>1026</v>
      </c>
      <c r="AD158">
        <v>7</v>
      </c>
      <c r="AE158" t="s">
        <v>44</v>
      </c>
      <c r="AF158" s="31">
        <v>45776</v>
      </c>
      <c r="AG158" s="61">
        <v>0.70245370370370375</v>
      </c>
      <c r="AI158" t="s">
        <v>795</v>
      </c>
      <c r="AJ158" s="31">
        <v>45783</v>
      </c>
      <c r="AK158" s="61">
        <v>0.62656250000000002</v>
      </c>
      <c r="AL158" t="s">
        <v>867</v>
      </c>
      <c r="AO158" t="s">
        <v>1584</v>
      </c>
      <c r="AQ158" t="s">
        <v>1619</v>
      </c>
      <c r="AS158" s="31"/>
      <c r="AY158">
        <v>1</v>
      </c>
    </row>
    <row r="159" spans="1:51" x14ac:dyDescent="0.3">
      <c r="A159" t="s">
        <v>31</v>
      </c>
      <c r="B159">
        <v>366</v>
      </c>
      <c r="D159">
        <v>2015</v>
      </c>
      <c r="G159" t="s">
        <v>1663</v>
      </c>
      <c r="J159" t="s">
        <v>1664</v>
      </c>
      <c r="K159" t="s">
        <v>1664</v>
      </c>
      <c r="N159" t="s">
        <v>1665</v>
      </c>
      <c r="Q159" t="s">
        <v>778</v>
      </c>
      <c r="X159" t="s">
        <v>780</v>
      </c>
      <c r="Y159" t="s">
        <v>816</v>
      </c>
      <c r="AA159" s="31"/>
      <c r="AB159">
        <v>3360</v>
      </c>
      <c r="AC159">
        <v>165372</v>
      </c>
      <c r="AD159">
        <v>19</v>
      </c>
      <c r="AE159" t="s">
        <v>31</v>
      </c>
      <c r="AF159" s="31">
        <v>45777</v>
      </c>
      <c r="AG159" s="61">
        <v>0.63238425925925923</v>
      </c>
      <c r="AI159" t="s">
        <v>818</v>
      </c>
      <c r="AJ159" s="31">
        <v>45796</v>
      </c>
      <c r="AK159" s="61">
        <v>0.37675925925925918</v>
      </c>
      <c r="AO159" t="s">
        <v>1666</v>
      </c>
      <c r="AQ159" t="s">
        <v>1666</v>
      </c>
      <c r="AS159" s="31"/>
      <c r="AY159">
        <v>1</v>
      </c>
    </row>
    <row r="160" spans="1:51" x14ac:dyDescent="0.3">
      <c r="A160" t="s">
        <v>44</v>
      </c>
      <c r="B160">
        <v>367</v>
      </c>
      <c r="D160">
        <v>2016</v>
      </c>
      <c r="G160" t="s">
        <v>1667</v>
      </c>
      <c r="J160" t="s">
        <v>1668</v>
      </c>
      <c r="K160" t="s">
        <v>1668</v>
      </c>
      <c r="L160">
        <v>22999671888</v>
      </c>
      <c r="N160" t="s">
        <v>1645</v>
      </c>
      <c r="Q160" t="s">
        <v>778</v>
      </c>
      <c r="X160" t="s">
        <v>780</v>
      </c>
      <c r="Y160" t="s">
        <v>793</v>
      </c>
      <c r="AA160" s="31"/>
      <c r="AB160">
        <v>1600</v>
      </c>
      <c r="AC160">
        <v>210169</v>
      </c>
      <c r="AD160">
        <v>15</v>
      </c>
      <c r="AE160" t="s">
        <v>44</v>
      </c>
      <c r="AF160" s="31">
        <v>45777</v>
      </c>
      <c r="AG160" s="61">
        <v>0.64599537037037036</v>
      </c>
      <c r="AI160" t="s">
        <v>795</v>
      </c>
      <c r="AJ160" s="31">
        <v>45792</v>
      </c>
      <c r="AK160" s="61">
        <v>0.64718750000000003</v>
      </c>
      <c r="AL160" t="s">
        <v>796</v>
      </c>
      <c r="AM160" t="s">
        <v>1647</v>
      </c>
      <c r="AO160" t="s">
        <v>1589</v>
      </c>
      <c r="AQ160" t="s">
        <v>1589</v>
      </c>
      <c r="AS160" s="31"/>
      <c r="AY160">
        <v>1</v>
      </c>
    </row>
    <row r="161" spans="1:51" x14ac:dyDescent="0.3">
      <c r="A161" t="s">
        <v>22</v>
      </c>
      <c r="B161">
        <v>368</v>
      </c>
      <c r="D161">
        <v>2017</v>
      </c>
      <c r="G161" t="s">
        <v>1669</v>
      </c>
      <c r="H161">
        <v>18677964000134</v>
      </c>
      <c r="J161" t="s">
        <v>640</v>
      </c>
      <c r="K161" t="s">
        <v>640</v>
      </c>
      <c r="L161">
        <v>1127696004</v>
      </c>
      <c r="N161" t="s">
        <v>1671</v>
      </c>
      <c r="Q161" t="s">
        <v>778</v>
      </c>
      <c r="X161" t="s">
        <v>780</v>
      </c>
      <c r="Y161" t="s">
        <v>816</v>
      </c>
      <c r="AA161" s="31"/>
      <c r="AB161">
        <v>14000</v>
      </c>
      <c r="AC161">
        <v>886</v>
      </c>
      <c r="AD161">
        <v>0</v>
      </c>
      <c r="AE161" t="s">
        <v>22</v>
      </c>
      <c r="AF161" s="31">
        <v>45779</v>
      </c>
      <c r="AG161" s="61">
        <v>0.58202546296296298</v>
      </c>
      <c r="AI161" t="s">
        <v>818</v>
      </c>
      <c r="AJ161" s="31">
        <v>45779</v>
      </c>
      <c r="AK161" s="61">
        <v>0.58649305555555553</v>
      </c>
      <c r="AO161" t="s">
        <v>1672</v>
      </c>
      <c r="AP161" t="s">
        <v>22</v>
      </c>
      <c r="AQ161" t="s">
        <v>1672</v>
      </c>
      <c r="AS161" s="31"/>
      <c r="AY161">
        <v>1</v>
      </c>
    </row>
    <row r="162" spans="1:51" x14ac:dyDescent="0.3">
      <c r="A162" t="s">
        <v>22</v>
      </c>
      <c r="B162">
        <v>369</v>
      </c>
      <c r="D162">
        <v>2018</v>
      </c>
      <c r="G162" t="s">
        <v>1673</v>
      </c>
      <c r="H162">
        <v>10906096000105</v>
      </c>
      <c r="J162" t="s">
        <v>641</v>
      </c>
      <c r="K162" t="s">
        <v>641</v>
      </c>
      <c r="L162">
        <v>1133133243</v>
      </c>
      <c r="N162" t="s">
        <v>1675</v>
      </c>
      <c r="Q162" t="s">
        <v>778</v>
      </c>
      <c r="X162" t="s">
        <v>780</v>
      </c>
      <c r="Y162" t="s">
        <v>781</v>
      </c>
      <c r="AA162" s="31"/>
      <c r="AB162">
        <v>13600</v>
      </c>
      <c r="AC162">
        <v>886</v>
      </c>
      <c r="AD162">
        <v>0</v>
      </c>
      <c r="AE162" t="s">
        <v>22</v>
      </c>
      <c r="AF162" s="31">
        <v>45779</v>
      </c>
      <c r="AG162" s="61">
        <v>0.58754629629629629</v>
      </c>
      <c r="AI162" t="s">
        <v>818</v>
      </c>
      <c r="AJ162" s="31">
        <v>45779</v>
      </c>
      <c r="AK162" s="61">
        <v>0.58922453703703703</v>
      </c>
      <c r="AO162" t="s">
        <v>1672</v>
      </c>
      <c r="AP162" t="s">
        <v>22</v>
      </c>
      <c r="AQ162" t="s">
        <v>1672</v>
      </c>
      <c r="AS162" s="31"/>
      <c r="AY162">
        <v>1</v>
      </c>
    </row>
    <row r="163" spans="1:51" x14ac:dyDescent="0.3">
      <c r="A163" t="s">
        <v>22</v>
      </c>
      <c r="B163">
        <v>370</v>
      </c>
      <c r="D163">
        <v>2020</v>
      </c>
      <c r="G163" t="s">
        <v>1676</v>
      </c>
      <c r="J163" t="s">
        <v>1677</v>
      </c>
      <c r="K163" t="s">
        <v>1677</v>
      </c>
      <c r="L163">
        <v>15998182143</v>
      </c>
      <c r="N163" t="s">
        <v>1111</v>
      </c>
      <c r="Q163" t="s">
        <v>778</v>
      </c>
      <c r="W163" t="s">
        <v>1419</v>
      </c>
      <c r="X163" t="s">
        <v>780</v>
      </c>
      <c r="Y163" t="s">
        <v>807</v>
      </c>
      <c r="AA163" s="31"/>
      <c r="AB163">
        <v>51250</v>
      </c>
      <c r="AC163">
        <v>33381</v>
      </c>
      <c r="AD163">
        <v>114</v>
      </c>
      <c r="AE163" t="s">
        <v>22</v>
      </c>
      <c r="AF163" s="31">
        <v>45780</v>
      </c>
      <c r="AG163" s="61">
        <v>0.46067129629629627</v>
      </c>
      <c r="AI163" t="s">
        <v>795</v>
      </c>
      <c r="AJ163" s="31">
        <v>45894</v>
      </c>
      <c r="AK163" s="61">
        <v>0.60730324074074071</v>
      </c>
      <c r="AL163" t="s">
        <v>796</v>
      </c>
      <c r="AP163" t="s">
        <v>22</v>
      </c>
      <c r="AQ163" t="s">
        <v>1679</v>
      </c>
      <c r="AS163" s="31"/>
      <c r="AY163">
        <v>1</v>
      </c>
    </row>
    <row r="164" spans="1:51" x14ac:dyDescent="0.3">
      <c r="A164" t="s">
        <v>44</v>
      </c>
      <c r="B164">
        <v>375</v>
      </c>
      <c r="D164">
        <v>2024</v>
      </c>
      <c r="G164" t="s">
        <v>1680</v>
      </c>
      <c r="J164" t="s">
        <v>1681</v>
      </c>
      <c r="K164" t="s">
        <v>1681</v>
      </c>
      <c r="L164">
        <v>11947482090</v>
      </c>
      <c r="N164" t="s">
        <v>1683</v>
      </c>
      <c r="Q164" t="s">
        <v>778</v>
      </c>
      <c r="X164" t="s">
        <v>780</v>
      </c>
      <c r="Y164" t="s">
        <v>793</v>
      </c>
      <c r="AA164" s="31"/>
      <c r="AB164">
        <v>69112</v>
      </c>
      <c r="AC164">
        <v>508112</v>
      </c>
      <c r="AD164">
        <v>7</v>
      </c>
      <c r="AE164" t="s">
        <v>44</v>
      </c>
      <c r="AF164" s="31">
        <v>45785</v>
      </c>
      <c r="AG164" s="61">
        <v>0.67459490740740746</v>
      </c>
      <c r="AI164" t="s">
        <v>795</v>
      </c>
      <c r="AJ164" s="31">
        <v>45792</v>
      </c>
      <c r="AK164" s="61">
        <v>0.6825</v>
      </c>
      <c r="AL164" t="s">
        <v>934</v>
      </c>
      <c r="AO164" t="s">
        <v>1684</v>
      </c>
      <c r="AQ164" t="s">
        <v>1684</v>
      </c>
      <c r="AS164" s="31"/>
      <c r="AY164">
        <v>1</v>
      </c>
    </row>
    <row r="165" spans="1:51" x14ac:dyDescent="0.3">
      <c r="A165" t="s">
        <v>44</v>
      </c>
      <c r="B165">
        <v>376</v>
      </c>
      <c r="D165">
        <v>2025</v>
      </c>
      <c r="G165" t="s">
        <v>1685</v>
      </c>
      <c r="J165" t="s">
        <v>1686</v>
      </c>
      <c r="K165" t="s">
        <v>1686</v>
      </c>
      <c r="L165">
        <v>11947482090</v>
      </c>
      <c r="N165" t="s">
        <v>1683</v>
      </c>
      <c r="Q165" t="s">
        <v>778</v>
      </c>
      <c r="X165" t="s">
        <v>780</v>
      </c>
      <c r="Y165" t="s">
        <v>793</v>
      </c>
      <c r="AA165" s="31"/>
      <c r="AB165">
        <v>1600</v>
      </c>
      <c r="AC165">
        <v>32107</v>
      </c>
      <c r="AD165">
        <v>7</v>
      </c>
      <c r="AE165" t="s">
        <v>44</v>
      </c>
      <c r="AF165" s="31">
        <v>45785</v>
      </c>
      <c r="AG165" s="61">
        <v>0.68726851851851856</v>
      </c>
      <c r="AI165" t="s">
        <v>795</v>
      </c>
      <c r="AJ165" s="31">
        <v>45792</v>
      </c>
      <c r="AK165" s="61">
        <v>0.68280092592592589</v>
      </c>
      <c r="AL165" t="s">
        <v>934</v>
      </c>
      <c r="AO165" t="s">
        <v>1684</v>
      </c>
      <c r="AQ165" t="s">
        <v>1684</v>
      </c>
      <c r="AS165" s="31"/>
      <c r="AY165">
        <v>1</v>
      </c>
    </row>
    <row r="166" spans="1:51" x14ac:dyDescent="0.3">
      <c r="A166" t="s">
        <v>22</v>
      </c>
      <c r="B166">
        <v>379</v>
      </c>
      <c r="D166">
        <v>2199</v>
      </c>
      <c r="G166" t="s">
        <v>1687</v>
      </c>
      <c r="J166" t="s">
        <v>1688</v>
      </c>
      <c r="K166" t="s">
        <v>1688</v>
      </c>
      <c r="L166" t="s">
        <v>1689</v>
      </c>
      <c r="Q166" t="s">
        <v>778</v>
      </c>
      <c r="T166" t="s">
        <v>933</v>
      </c>
      <c r="W166" t="s">
        <v>1419</v>
      </c>
      <c r="X166" t="s">
        <v>780</v>
      </c>
      <c r="Y166" t="s">
        <v>807</v>
      </c>
      <c r="AA166" s="31"/>
      <c r="AB166">
        <v>68400</v>
      </c>
      <c r="AC166">
        <v>17345</v>
      </c>
      <c r="AD166">
        <v>108</v>
      </c>
      <c r="AE166" t="s">
        <v>22</v>
      </c>
      <c r="AF166" s="31">
        <v>45786</v>
      </c>
      <c r="AG166" s="61">
        <v>0.66736111111111107</v>
      </c>
      <c r="AI166" t="s">
        <v>795</v>
      </c>
      <c r="AJ166" s="31">
        <v>45894</v>
      </c>
      <c r="AK166" s="61">
        <v>0.6030092592592593</v>
      </c>
      <c r="AL166" t="s">
        <v>974</v>
      </c>
      <c r="AS166" s="31"/>
      <c r="AY166">
        <v>1</v>
      </c>
    </row>
    <row r="167" spans="1:51" x14ac:dyDescent="0.3">
      <c r="A167" t="s">
        <v>44</v>
      </c>
      <c r="B167">
        <v>382</v>
      </c>
      <c r="D167">
        <v>2031</v>
      </c>
      <c r="G167" t="s">
        <v>1690</v>
      </c>
      <c r="H167">
        <v>27173648000116</v>
      </c>
      <c r="J167" t="s">
        <v>1691</v>
      </c>
      <c r="K167" t="s">
        <v>1691</v>
      </c>
      <c r="L167" t="s">
        <v>1692</v>
      </c>
      <c r="N167" t="s">
        <v>1693</v>
      </c>
      <c r="Q167" t="s">
        <v>778</v>
      </c>
      <c r="R167" t="s">
        <v>1094</v>
      </c>
      <c r="S167" t="s">
        <v>790</v>
      </c>
      <c r="X167" t="s">
        <v>780</v>
      </c>
      <c r="Y167" t="s">
        <v>781</v>
      </c>
      <c r="AA167" s="31"/>
      <c r="AD167">
        <v>50</v>
      </c>
      <c r="AE167" t="s">
        <v>44</v>
      </c>
      <c r="AF167" s="31">
        <v>45789</v>
      </c>
      <c r="AG167" s="61">
        <v>0.64024305555555561</v>
      </c>
      <c r="AI167" t="s">
        <v>795</v>
      </c>
      <c r="AJ167" s="31">
        <v>45839</v>
      </c>
      <c r="AK167" s="61">
        <v>0.40694444444444439</v>
      </c>
      <c r="AL167" t="s">
        <v>796</v>
      </c>
      <c r="AM167" t="s">
        <v>1694</v>
      </c>
      <c r="AQ167" t="s">
        <v>1695</v>
      </c>
      <c r="AS167" s="31"/>
      <c r="AY167">
        <v>1</v>
      </c>
    </row>
    <row r="168" spans="1:51" x14ac:dyDescent="0.3">
      <c r="A168" t="s">
        <v>44</v>
      </c>
      <c r="B168">
        <v>383</v>
      </c>
      <c r="D168">
        <v>2033</v>
      </c>
      <c r="G168" t="s">
        <v>1696</v>
      </c>
      <c r="H168">
        <v>86890639000105</v>
      </c>
      <c r="J168" t="s">
        <v>1697</v>
      </c>
      <c r="K168" t="s">
        <v>1697</v>
      </c>
      <c r="Q168" t="s">
        <v>778</v>
      </c>
      <c r="R168" t="s">
        <v>1698</v>
      </c>
      <c r="S168" t="s">
        <v>1699</v>
      </c>
      <c r="X168" t="s">
        <v>780</v>
      </c>
      <c r="Y168" t="s">
        <v>781</v>
      </c>
      <c r="AA168" s="31"/>
      <c r="AD168">
        <v>50</v>
      </c>
      <c r="AE168" t="s">
        <v>44</v>
      </c>
      <c r="AF168" s="31">
        <v>45789</v>
      </c>
      <c r="AG168" s="61">
        <v>0.64898148148148149</v>
      </c>
      <c r="AI168" t="s">
        <v>795</v>
      </c>
      <c r="AJ168" s="31">
        <v>45839</v>
      </c>
      <c r="AK168" s="61">
        <v>0.40733796296296299</v>
      </c>
      <c r="AL168" t="s">
        <v>796</v>
      </c>
      <c r="AM168" t="s">
        <v>1694</v>
      </c>
      <c r="AS168" s="31"/>
      <c r="AY168">
        <v>1</v>
      </c>
    </row>
    <row r="169" spans="1:51" x14ac:dyDescent="0.3">
      <c r="A169" t="s">
        <v>44</v>
      </c>
      <c r="B169">
        <v>384</v>
      </c>
      <c r="D169">
        <v>2036</v>
      </c>
      <c r="G169" t="s">
        <v>1700</v>
      </c>
      <c r="J169" t="s">
        <v>1701</v>
      </c>
      <c r="K169" t="s">
        <v>1701</v>
      </c>
      <c r="L169">
        <v>21989290057</v>
      </c>
      <c r="N169" t="s">
        <v>1703</v>
      </c>
      <c r="Q169" t="s">
        <v>778</v>
      </c>
      <c r="W169" t="s">
        <v>1704</v>
      </c>
      <c r="X169" t="s">
        <v>780</v>
      </c>
      <c r="Y169" t="s">
        <v>816</v>
      </c>
      <c r="AA169" s="31"/>
      <c r="AB169">
        <v>3230634</v>
      </c>
      <c r="AC169">
        <v>17706</v>
      </c>
      <c r="AD169">
        <v>35</v>
      </c>
      <c r="AE169" t="s">
        <v>44</v>
      </c>
      <c r="AF169" s="31">
        <v>45790</v>
      </c>
      <c r="AG169" s="61">
        <v>0.7193518518518518</v>
      </c>
      <c r="AI169" t="s">
        <v>818</v>
      </c>
      <c r="AJ169" s="31">
        <v>45825</v>
      </c>
      <c r="AK169" s="61">
        <v>0.68025462962962968</v>
      </c>
      <c r="AO169" t="s">
        <v>1695</v>
      </c>
      <c r="AQ169" t="s">
        <v>1705</v>
      </c>
      <c r="AS169" s="31"/>
      <c r="AY169">
        <v>1</v>
      </c>
    </row>
    <row r="170" spans="1:51" x14ac:dyDescent="0.3">
      <c r="A170" t="s">
        <v>44</v>
      </c>
      <c r="B170">
        <v>385</v>
      </c>
      <c r="D170">
        <v>2037</v>
      </c>
      <c r="G170" t="s">
        <v>1706</v>
      </c>
      <c r="J170" t="s">
        <v>1707</v>
      </c>
      <c r="K170" t="s">
        <v>1707</v>
      </c>
      <c r="L170">
        <v>21989290058</v>
      </c>
      <c r="N170" t="s">
        <v>1703</v>
      </c>
      <c r="Q170" t="s">
        <v>778</v>
      </c>
      <c r="W170" t="s">
        <v>1704</v>
      </c>
      <c r="X170" t="s">
        <v>780</v>
      </c>
      <c r="Y170" t="s">
        <v>816</v>
      </c>
      <c r="AA170" s="31"/>
      <c r="AB170">
        <v>0</v>
      </c>
      <c r="AC170">
        <v>208313</v>
      </c>
      <c r="AD170">
        <v>35</v>
      </c>
      <c r="AE170" t="s">
        <v>44</v>
      </c>
      <c r="AF170" s="31">
        <v>45790</v>
      </c>
      <c r="AG170" s="61">
        <v>0.72012731481481485</v>
      </c>
      <c r="AI170" t="s">
        <v>818</v>
      </c>
      <c r="AJ170" s="31">
        <v>45825</v>
      </c>
      <c r="AK170" s="61">
        <v>0.68076388888888884</v>
      </c>
      <c r="AO170" t="s">
        <v>1695</v>
      </c>
      <c r="AQ170" t="s">
        <v>1705</v>
      </c>
      <c r="AS170" s="31"/>
      <c r="AY170">
        <v>1</v>
      </c>
    </row>
    <row r="171" spans="1:51" x14ac:dyDescent="0.3">
      <c r="A171" t="s">
        <v>44</v>
      </c>
      <c r="B171">
        <v>405</v>
      </c>
      <c r="D171">
        <v>2061</v>
      </c>
      <c r="G171" t="s">
        <v>1709</v>
      </c>
      <c r="J171" t="s">
        <v>1710</v>
      </c>
      <c r="K171" t="s">
        <v>1710</v>
      </c>
      <c r="L171">
        <v>11991266405</v>
      </c>
      <c r="N171" t="s">
        <v>1712</v>
      </c>
      <c r="Q171" t="s">
        <v>778</v>
      </c>
      <c r="W171" t="s">
        <v>1419</v>
      </c>
      <c r="X171" t="s">
        <v>780</v>
      </c>
      <c r="Y171" t="s">
        <v>807</v>
      </c>
      <c r="AA171" s="31"/>
      <c r="AD171">
        <v>20</v>
      </c>
      <c r="AE171" t="s">
        <v>44</v>
      </c>
      <c r="AF171" s="31">
        <v>45805</v>
      </c>
      <c r="AG171" s="61">
        <v>0.3974537037037037</v>
      </c>
      <c r="AI171" t="s">
        <v>795</v>
      </c>
      <c r="AJ171" s="31">
        <v>45825</v>
      </c>
      <c r="AK171" s="61">
        <v>0.6817361111111111</v>
      </c>
      <c r="AL171" t="s">
        <v>1358</v>
      </c>
      <c r="AM171" t="s">
        <v>1713</v>
      </c>
      <c r="AO171" t="s">
        <v>1714</v>
      </c>
      <c r="AQ171" t="s">
        <v>1714</v>
      </c>
      <c r="AS171" s="31"/>
      <c r="AY171">
        <v>1</v>
      </c>
    </row>
    <row r="172" spans="1:51" x14ac:dyDescent="0.3">
      <c r="A172" t="s">
        <v>44</v>
      </c>
      <c r="B172">
        <v>406</v>
      </c>
      <c r="D172">
        <v>2062</v>
      </c>
      <c r="G172" t="s">
        <v>1715</v>
      </c>
      <c r="H172">
        <v>5215210000110</v>
      </c>
      <c r="J172" t="s">
        <v>1716</v>
      </c>
      <c r="K172" t="s">
        <v>1716</v>
      </c>
      <c r="L172" t="s">
        <v>1717</v>
      </c>
      <c r="Q172" t="s">
        <v>778</v>
      </c>
      <c r="R172" t="s">
        <v>1698</v>
      </c>
      <c r="S172" t="s">
        <v>1699</v>
      </c>
      <c r="W172" t="s">
        <v>1718</v>
      </c>
      <c r="X172" t="s">
        <v>780</v>
      </c>
      <c r="Y172" t="s">
        <v>857</v>
      </c>
      <c r="AA172" s="31"/>
      <c r="AB172">
        <v>622008</v>
      </c>
      <c r="AC172">
        <v>23661</v>
      </c>
      <c r="AD172">
        <v>26</v>
      </c>
      <c r="AE172" t="s">
        <v>44</v>
      </c>
      <c r="AF172" s="31">
        <v>45805</v>
      </c>
      <c r="AG172" s="61">
        <v>0.41018518518518521</v>
      </c>
      <c r="AI172" t="s">
        <v>795</v>
      </c>
      <c r="AJ172" s="31">
        <v>45831</v>
      </c>
      <c r="AK172" s="61">
        <v>0.36943287037037043</v>
      </c>
      <c r="AL172" t="s">
        <v>796</v>
      </c>
      <c r="AM172" t="s">
        <v>1719</v>
      </c>
      <c r="AO172" t="s">
        <v>1720</v>
      </c>
      <c r="AQ172" t="s">
        <v>1721</v>
      </c>
      <c r="AS172" s="31"/>
      <c r="AY172">
        <v>1</v>
      </c>
    </row>
    <row r="173" spans="1:51" x14ac:dyDescent="0.3">
      <c r="A173" t="s">
        <v>44</v>
      </c>
      <c r="B173">
        <v>407</v>
      </c>
      <c r="D173">
        <v>2065</v>
      </c>
      <c r="G173" t="s">
        <v>1722</v>
      </c>
      <c r="H173">
        <v>5215210000110</v>
      </c>
      <c r="J173" t="s">
        <v>1716</v>
      </c>
      <c r="K173" t="s">
        <v>1716</v>
      </c>
      <c r="L173" t="s">
        <v>1717</v>
      </c>
      <c r="Q173" t="s">
        <v>778</v>
      </c>
      <c r="R173" t="s">
        <v>1698</v>
      </c>
      <c r="S173" t="s">
        <v>1699</v>
      </c>
      <c r="W173" t="s">
        <v>1718</v>
      </c>
      <c r="X173" t="s">
        <v>780</v>
      </c>
      <c r="Y173" t="s">
        <v>857</v>
      </c>
      <c r="AA173" s="31"/>
      <c r="AB173">
        <v>1600</v>
      </c>
      <c r="AC173">
        <v>26507</v>
      </c>
      <c r="AD173">
        <v>26</v>
      </c>
      <c r="AE173" t="s">
        <v>44</v>
      </c>
      <c r="AF173" s="31">
        <v>45805</v>
      </c>
      <c r="AG173" s="61">
        <v>0.41281250000000003</v>
      </c>
      <c r="AI173" t="s">
        <v>795</v>
      </c>
      <c r="AJ173" s="31">
        <v>45831</v>
      </c>
      <c r="AK173" s="61">
        <v>0.37035879629629631</v>
      </c>
      <c r="AL173" t="s">
        <v>796</v>
      </c>
      <c r="AM173" t="s">
        <v>1723</v>
      </c>
      <c r="AO173" t="s">
        <v>1720</v>
      </c>
      <c r="AQ173" t="s">
        <v>1721</v>
      </c>
      <c r="AS173" s="31"/>
      <c r="AY173">
        <v>1</v>
      </c>
    </row>
    <row r="174" spans="1:51" x14ac:dyDescent="0.3">
      <c r="A174" t="s">
        <v>44</v>
      </c>
      <c r="B174">
        <v>408</v>
      </c>
      <c r="D174">
        <v>2068</v>
      </c>
      <c r="G174" t="s">
        <v>1724</v>
      </c>
      <c r="J174" t="s">
        <v>1725</v>
      </c>
      <c r="K174" t="s">
        <v>1725</v>
      </c>
      <c r="L174">
        <v>19997023116</v>
      </c>
      <c r="N174" t="s">
        <v>1459</v>
      </c>
      <c r="Q174" t="s">
        <v>778</v>
      </c>
      <c r="X174" t="s">
        <v>780</v>
      </c>
      <c r="Y174" t="s">
        <v>816</v>
      </c>
      <c r="Z174" t="s">
        <v>995</v>
      </c>
      <c r="AA174" s="31"/>
      <c r="AB174">
        <v>123066</v>
      </c>
      <c r="AC174">
        <v>0</v>
      </c>
      <c r="AD174">
        <v>0</v>
      </c>
      <c r="AE174" t="s">
        <v>44</v>
      </c>
      <c r="AF174" s="31">
        <v>45805</v>
      </c>
      <c r="AG174" s="61">
        <v>0.42335648148148147</v>
      </c>
      <c r="AI174" t="s">
        <v>818</v>
      </c>
      <c r="AJ174" s="31">
        <v>45805</v>
      </c>
      <c r="AK174" s="61">
        <v>0.43202546296296301</v>
      </c>
      <c r="AO174" t="s">
        <v>1726</v>
      </c>
      <c r="AS174" s="31"/>
      <c r="AY174">
        <v>1</v>
      </c>
    </row>
    <row r="175" spans="1:51" x14ac:dyDescent="0.3">
      <c r="A175" t="s">
        <v>44</v>
      </c>
      <c r="B175">
        <v>409</v>
      </c>
      <c r="D175">
        <v>2069</v>
      </c>
      <c r="G175" t="s">
        <v>1727</v>
      </c>
      <c r="H175">
        <v>56262451000151</v>
      </c>
      <c r="J175" t="s">
        <v>1728</v>
      </c>
      <c r="K175" t="s">
        <v>1728</v>
      </c>
      <c r="L175" t="s">
        <v>1594</v>
      </c>
      <c r="N175" t="s">
        <v>1595</v>
      </c>
      <c r="Q175" t="s">
        <v>778</v>
      </c>
      <c r="R175" t="s">
        <v>1596</v>
      </c>
      <c r="S175" t="s">
        <v>790</v>
      </c>
      <c r="X175" t="s">
        <v>780</v>
      </c>
      <c r="Y175" t="s">
        <v>807</v>
      </c>
      <c r="AA175" s="31"/>
      <c r="AB175">
        <v>52258</v>
      </c>
      <c r="AC175">
        <v>606364</v>
      </c>
      <c r="AD175">
        <v>6</v>
      </c>
      <c r="AE175" t="s">
        <v>44</v>
      </c>
      <c r="AF175" s="31">
        <v>45805</v>
      </c>
      <c r="AG175" s="61">
        <v>0.43896990740740738</v>
      </c>
      <c r="AI175" t="s">
        <v>795</v>
      </c>
      <c r="AJ175" s="31">
        <v>45811</v>
      </c>
      <c r="AK175" s="61">
        <v>0.41700231481481481</v>
      </c>
      <c r="AL175" t="s">
        <v>867</v>
      </c>
      <c r="AM175" t="s">
        <v>1729</v>
      </c>
      <c r="AO175" t="s">
        <v>1730</v>
      </c>
      <c r="AS175" s="31"/>
      <c r="AY175">
        <v>1</v>
      </c>
    </row>
    <row r="176" spans="1:51" x14ac:dyDescent="0.3">
      <c r="A176" t="s">
        <v>44</v>
      </c>
      <c r="B176">
        <v>410</v>
      </c>
      <c r="D176">
        <v>2071</v>
      </c>
      <c r="G176" t="s">
        <v>1731</v>
      </c>
      <c r="H176">
        <v>56262451000151</v>
      </c>
      <c r="J176" t="s">
        <v>1732</v>
      </c>
      <c r="K176" t="s">
        <v>1732</v>
      </c>
      <c r="L176" t="s">
        <v>1594</v>
      </c>
      <c r="N176" t="s">
        <v>1595</v>
      </c>
      <c r="Q176" t="s">
        <v>778</v>
      </c>
      <c r="R176" t="s">
        <v>1596</v>
      </c>
      <c r="S176" t="s">
        <v>790</v>
      </c>
      <c r="X176" t="s">
        <v>780</v>
      </c>
      <c r="Y176" t="s">
        <v>807</v>
      </c>
      <c r="AA176" s="31"/>
      <c r="AB176">
        <v>42400</v>
      </c>
      <c r="AC176">
        <v>5560</v>
      </c>
      <c r="AD176">
        <v>6</v>
      </c>
      <c r="AE176" t="s">
        <v>44</v>
      </c>
      <c r="AF176" s="31">
        <v>45805</v>
      </c>
      <c r="AG176" s="61">
        <v>0.44361111111111112</v>
      </c>
      <c r="AI176" t="s">
        <v>795</v>
      </c>
      <c r="AJ176" s="31">
        <v>45811</v>
      </c>
      <c r="AK176" s="61">
        <v>0.41766203703703703</v>
      </c>
      <c r="AL176" t="s">
        <v>867</v>
      </c>
      <c r="AM176" t="s">
        <v>1733</v>
      </c>
      <c r="AO176" t="s">
        <v>1730</v>
      </c>
      <c r="AS176" s="31"/>
      <c r="AY176">
        <v>1</v>
      </c>
    </row>
    <row r="177" spans="1:51" x14ac:dyDescent="0.3">
      <c r="A177" t="s">
        <v>44</v>
      </c>
      <c r="B177">
        <v>412</v>
      </c>
      <c r="D177">
        <v>2075</v>
      </c>
      <c r="G177" t="s">
        <v>1734</v>
      </c>
      <c r="J177" t="s">
        <v>1735</v>
      </c>
      <c r="K177" t="s">
        <v>1735</v>
      </c>
      <c r="L177">
        <v>67981004151</v>
      </c>
      <c r="N177" t="s">
        <v>1737</v>
      </c>
      <c r="Q177" t="s">
        <v>778</v>
      </c>
      <c r="W177" t="s">
        <v>1419</v>
      </c>
      <c r="X177" t="s">
        <v>780</v>
      </c>
      <c r="Y177" t="s">
        <v>807</v>
      </c>
      <c r="AA177" s="31"/>
      <c r="AB177">
        <v>26200</v>
      </c>
      <c r="AC177">
        <v>3400</v>
      </c>
      <c r="AD177">
        <v>92</v>
      </c>
      <c r="AE177" t="s">
        <v>44</v>
      </c>
      <c r="AF177" s="31">
        <v>45805</v>
      </c>
      <c r="AG177" s="61">
        <v>0.45153935185185179</v>
      </c>
      <c r="AI177" t="s">
        <v>795</v>
      </c>
      <c r="AJ177" s="31">
        <v>45897</v>
      </c>
      <c r="AK177" s="61">
        <v>0.64814814814814814</v>
      </c>
      <c r="AL177" t="s">
        <v>934</v>
      </c>
      <c r="AO177" t="s">
        <v>1721</v>
      </c>
      <c r="AQ177" t="s">
        <v>1721</v>
      </c>
      <c r="AS177" s="31"/>
      <c r="AY177">
        <v>1</v>
      </c>
    </row>
    <row r="178" spans="1:51" x14ac:dyDescent="0.3">
      <c r="A178" t="s">
        <v>44</v>
      </c>
      <c r="B178">
        <v>413</v>
      </c>
      <c r="D178">
        <v>2076</v>
      </c>
      <c r="G178" t="s">
        <v>1738</v>
      </c>
      <c r="J178" t="s">
        <v>1739</v>
      </c>
      <c r="K178" t="s">
        <v>1739</v>
      </c>
      <c r="L178">
        <v>19971332893</v>
      </c>
      <c r="N178" t="s">
        <v>1741</v>
      </c>
      <c r="Q178" t="s">
        <v>778</v>
      </c>
      <c r="X178" t="s">
        <v>780</v>
      </c>
      <c r="Y178" t="s">
        <v>857</v>
      </c>
      <c r="AA178" s="31"/>
      <c r="AD178">
        <v>12</v>
      </c>
      <c r="AE178" t="s">
        <v>44</v>
      </c>
      <c r="AF178" s="31">
        <v>45805</v>
      </c>
      <c r="AG178" s="61">
        <v>0.46685185185185191</v>
      </c>
      <c r="AI178" t="s">
        <v>795</v>
      </c>
      <c r="AJ178" s="31">
        <v>45817</v>
      </c>
      <c r="AK178" s="61">
        <v>0.66245370370370371</v>
      </c>
      <c r="AL178" t="s">
        <v>796</v>
      </c>
      <c r="AM178" t="s">
        <v>1742</v>
      </c>
      <c r="AQ178" t="s">
        <v>1743</v>
      </c>
      <c r="AS178" s="31"/>
      <c r="AY178">
        <v>1</v>
      </c>
    </row>
    <row r="179" spans="1:51" x14ac:dyDescent="0.3">
      <c r="A179" t="s">
        <v>44</v>
      </c>
      <c r="B179">
        <v>415</v>
      </c>
      <c r="D179">
        <v>2127</v>
      </c>
      <c r="G179" t="s">
        <v>1744</v>
      </c>
      <c r="J179" t="s">
        <v>1745</v>
      </c>
      <c r="K179" t="s">
        <v>1745</v>
      </c>
      <c r="L179">
        <v>11996219888</v>
      </c>
      <c r="N179" t="s">
        <v>1747</v>
      </c>
      <c r="Q179" t="s">
        <v>778</v>
      </c>
      <c r="X179" t="s">
        <v>780</v>
      </c>
      <c r="Y179" t="s">
        <v>857</v>
      </c>
      <c r="AA179" s="31"/>
      <c r="AB179">
        <v>622008</v>
      </c>
      <c r="AC179">
        <v>28481</v>
      </c>
      <c r="AD179">
        <v>12</v>
      </c>
      <c r="AE179" t="s">
        <v>44</v>
      </c>
      <c r="AF179" s="31">
        <v>45807</v>
      </c>
      <c r="AG179" s="61">
        <v>0.38197916666666659</v>
      </c>
      <c r="AI179" t="s">
        <v>795</v>
      </c>
      <c r="AJ179" s="31">
        <v>45819</v>
      </c>
      <c r="AK179" s="61">
        <v>0.6005787037037037</v>
      </c>
      <c r="AL179" t="s">
        <v>934</v>
      </c>
      <c r="AM179" t="s">
        <v>1748</v>
      </c>
      <c r="AO179" t="s">
        <v>1714</v>
      </c>
      <c r="AQ179" t="s">
        <v>1720</v>
      </c>
      <c r="AS179" s="31"/>
      <c r="AY179">
        <v>1</v>
      </c>
    </row>
    <row r="180" spans="1:51" x14ac:dyDescent="0.3">
      <c r="A180" t="s">
        <v>44</v>
      </c>
      <c r="B180">
        <v>416</v>
      </c>
      <c r="D180">
        <v>2132</v>
      </c>
      <c r="G180" t="s">
        <v>1749</v>
      </c>
      <c r="J180" t="s">
        <v>1750</v>
      </c>
      <c r="K180" t="s">
        <v>1750</v>
      </c>
      <c r="L180">
        <v>11996219888</v>
      </c>
      <c r="N180" t="s">
        <v>1747</v>
      </c>
      <c r="Q180" t="s">
        <v>778</v>
      </c>
      <c r="X180" t="s">
        <v>780</v>
      </c>
      <c r="Y180" t="s">
        <v>793</v>
      </c>
      <c r="AA180" s="31"/>
      <c r="AB180">
        <v>1600</v>
      </c>
      <c r="AC180">
        <v>28747</v>
      </c>
      <c r="AD180">
        <v>12</v>
      </c>
      <c r="AE180" t="s">
        <v>44</v>
      </c>
      <c r="AF180" s="31">
        <v>45807</v>
      </c>
      <c r="AG180" s="61">
        <v>0.4244560185185185</v>
      </c>
      <c r="AI180" t="s">
        <v>795</v>
      </c>
      <c r="AJ180" s="31">
        <v>45819</v>
      </c>
      <c r="AK180" s="61">
        <v>0.60103009259259255</v>
      </c>
      <c r="AL180" t="s">
        <v>934</v>
      </c>
      <c r="AM180" t="s">
        <v>1751</v>
      </c>
      <c r="AO180" t="s">
        <v>1714</v>
      </c>
      <c r="AQ180" t="s">
        <v>1720</v>
      </c>
      <c r="AS180" s="31"/>
      <c r="AY180">
        <v>1</v>
      </c>
    </row>
    <row r="181" spans="1:51" x14ac:dyDescent="0.3">
      <c r="A181" t="s">
        <v>44</v>
      </c>
      <c r="B181">
        <v>417</v>
      </c>
      <c r="D181">
        <v>2133</v>
      </c>
      <c r="G181" t="s">
        <v>1752</v>
      </c>
      <c r="J181" t="s">
        <v>1753</v>
      </c>
      <c r="K181" t="s">
        <v>1753</v>
      </c>
      <c r="L181">
        <v>43988505997</v>
      </c>
      <c r="N181" t="s">
        <v>1755</v>
      </c>
      <c r="Q181" t="s">
        <v>778</v>
      </c>
      <c r="W181" t="s">
        <v>1718</v>
      </c>
      <c r="X181" t="s">
        <v>780</v>
      </c>
      <c r="Y181" t="s">
        <v>793</v>
      </c>
      <c r="AA181" s="31"/>
      <c r="AB181">
        <v>16960</v>
      </c>
      <c r="AC181">
        <v>40572</v>
      </c>
      <c r="AD181">
        <v>52</v>
      </c>
      <c r="AE181" t="s">
        <v>44</v>
      </c>
      <c r="AF181" s="31">
        <v>45807</v>
      </c>
      <c r="AG181" s="61">
        <v>0.43975694444444452</v>
      </c>
      <c r="AI181" t="s">
        <v>795</v>
      </c>
      <c r="AJ181" s="31">
        <v>45859</v>
      </c>
      <c r="AK181" s="61">
        <v>0.38516203703703711</v>
      </c>
      <c r="AL181" t="s">
        <v>796</v>
      </c>
      <c r="AM181" t="s">
        <v>1756</v>
      </c>
      <c r="AO181" t="s">
        <v>1714</v>
      </c>
      <c r="AQ181" t="s">
        <v>1720</v>
      </c>
      <c r="AS181" s="31"/>
      <c r="AY181">
        <v>1</v>
      </c>
    </row>
    <row r="182" spans="1:51" x14ac:dyDescent="0.3">
      <c r="A182" t="s">
        <v>44</v>
      </c>
      <c r="B182">
        <v>419</v>
      </c>
      <c r="D182">
        <v>2144</v>
      </c>
      <c r="G182" t="s">
        <v>1757</v>
      </c>
      <c r="J182" t="s">
        <v>1758</v>
      </c>
      <c r="K182" t="s">
        <v>1758</v>
      </c>
      <c r="L182">
        <v>11987154112</v>
      </c>
      <c r="N182" t="s">
        <v>1760</v>
      </c>
      <c r="Q182" t="s">
        <v>778</v>
      </c>
      <c r="W182" t="s">
        <v>1704</v>
      </c>
      <c r="X182" t="s">
        <v>780</v>
      </c>
      <c r="Y182" t="s">
        <v>816</v>
      </c>
      <c r="AA182" s="31"/>
      <c r="AB182">
        <v>1600</v>
      </c>
      <c r="AC182">
        <v>1833334</v>
      </c>
      <c r="AD182">
        <v>52</v>
      </c>
      <c r="AE182" t="s">
        <v>44</v>
      </c>
      <c r="AF182" s="31">
        <v>45807</v>
      </c>
      <c r="AG182" s="61">
        <v>0.58697916666666672</v>
      </c>
      <c r="AI182" t="s">
        <v>795</v>
      </c>
      <c r="AJ182" s="31">
        <v>45859</v>
      </c>
      <c r="AK182" s="61">
        <v>0.40807870370370369</v>
      </c>
      <c r="AL182" t="s">
        <v>796</v>
      </c>
      <c r="AM182" t="s">
        <v>1303</v>
      </c>
      <c r="AO182" t="s">
        <v>1721</v>
      </c>
      <c r="AS182" s="31"/>
      <c r="AY182">
        <v>1</v>
      </c>
    </row>
    <row r="183" spans="1:51" x14ac:dyDescent="0.3">
      <c r="A183" t="s">
        <v>44</v>
      </c>
      <c r="B183">
        <v>422</v>
      </c>
      <c r="D183">
        <v>2141</v>
      </c>
      <c r="G183" t="s">
        <v>1761</v>
      </c>
      <c r="H183">
        <v>27898532000144</v>
      </c>
      <c r="J183" t="s">
        <v>1762</v>
      </c>
      <c r="K183" t="s">
        <v>1762</v>
      </c>
      <c r="L183" t="s">
        <v>1763</v>
      </c>
      <c r="N183" t="s">
        <v>1764</v>
      </c>
      <c r="Q183" t="s">
        <v>778</v>
      </c>
      <c r="R183" t="s">
        <v>1765</v>
      </c>
      <c r="S183" t="s">
        <v>790</v>
      </c>
      <c r="T183" t="s">
        <v>1766</v>
      </c>
      <c r="X183" t="s">
        <v>780</v>
      </c>
      <c r="Y183" t="s">
        <v>857</v>
      </c>
      <c r="AA183" s="31"/>
      <c r="AB183">
        <v>69592</v>
      </c>
      <c r="AC183">
        <v>23661</v>
      </c>
      <c r="AD183">
        <v>42</v>
      </c>
      <c r="AE183" t="s">
        <v>594</v>
      </c>
      <c r="AF183" s="31">
        <v>45810</v>
      </c>
      <c r="AG183" s="61">
        <v>0.45253472222222219</v>
      </c>
      <c r="AI183" t="s">
        <v>795</v>
      </c>
      <c r="AJ183" s="31">
        <v>45852</v>
      </c>
      <c r="AK183" s="61">
        <v>0.43975694444444452</v>
      </c>
      <c r="AL183" t="s">
        <v>796</v>
      </c>
      <c r="AM183" t="s">
        <v>1767</v>
      </c>
      <c r="AN183" t="s">
        <v>1768</v>
      </c>
      <c r="AO183" t="s">
        <v>1769</v>
      </c>
      <c r="AP183" t="s">
        <v>594</v>
      </c>
      <c r="AQ183" t="s">
        <v>1770</v>
      </c>
      <c r="AR183" t="s">
        <v>1771</v>
      </c>
      <c r="AS183" s="31"/>
      <c r="AY183">
        <v>1</v>
      </c>
    </row>
    <row r="184" spans="1:51" x14ac:dyDescent="0.3">
      <c r="A184" t="s">
        <v>31</v>
      </c>
      <c r="B184">
        <v>423</v>
      </c>
      <c r="D184">
        <v>2179</v>
      </c>
      <c r="G184" t="s">
        <v>1772</v>
      </c>
      <c r="H184">
        <v>62182753000112</v>
      </c>
      <c r="J184" t="s">
        <v>1133</v>
      </c>
      <c r="K184" t="s">
        <v>1133</v>
      </c>
      <c r="L184">
        <v>16994380062</v>
      </c>
      <c r="N184" t="s">
        <v>1588</v>
      </c>
      <c r="Q184" t="s">
        <v>778</v>
      </c>
      <c r="T184" t="s">
        <v>933</v>
      </c>
      <c r="W184" t="s">
        <v>1581</v>
      </c>
      <c r="X184" t="s">
        <v>780</v>
      </c>
      <c r="Y184" t="s">
        <v>807</v>
      </c>
      <c r="AA184" s="31"/>
      <c r="AB184">
        <v>14280</v>
      </c>
      <c r="AC184">
        <v>127673</v>
      </c>
      <c r="AD184">
        <v>168</v>
      </c>
      <c r="AE184" t="s">
        <v>31</v>
      </c>
      <c r="AF184" s="31">
        <v>45811</v>
      </c>
      <c r="AG184" s="61">
        <v>0.48096064814814821</v>
      </c>
      <c r="AI184" t="s">
        <v>795</v>
      </c>
      <c r="AJ184" s="31">
        <v>45979</v>
      </c>
      <c r="AK184" s="61">
        <v>0.39922453703703698</v>
      </c>
      <c r="AL184" t="s">
        <v>796</v>
      </c>
      <c r="AO184" t="s">
        <v>1773</v>
      </c>
      <c r="AP184" t="s">
        <v>31</v>
      </c>
      <c r="AQ184" t="s">
        <v>1773</v>
      </c>
      <c r="AS184" s="31"/>
      <c r="AY184">
        <v>1</v>
      </c>
    </row>
    <row r="185" spans="1:51" x14ac:dyDescent="0.3">
      <c r="A185" t="s">
        <v>44</v>
      </c>
      <c r="B185">
        <v>425</v>
      </c>
      <c r="D185">
        <v>2181</v>
      </c>
      <c r="G185" t="s">
        <v>1774</v>
      </c>
      <c r="H185">
        <v>3971592000187</v>
      </c>
      <c r="J185" t="s">
        <v>1775</v>
      </c>
      <c r="K185" t="s">
        <v>1775</v>
      </c>
      <c r="L185" t="s">
        <v>1776</v>
      </c>
      <c r="Q185" t="s">
        <v>778</v>
      </c>
      <c r="R185" t="s">
        <v>1777</v>
      </c>
      <c r="S185" t="s">
        <v>1027</v>
      </c>
      <c r="W185" t="s">
        <v>1718</v>
      </c>
      <c r="X185" t="s">
        <v>780</v>
      </c>
      <c r="Y185" t="s">
        <v>857</v>
      </c>
      <c r="AA185" s="31"/>
      <c r="AD185">
        <v>26</v>
      </c>
      <c r="AE185" t="s">
        <v>44</v>
      </c>
      <c r="AF185" s="31">
        <v>45813</v>
      </c>
      <c r="AG185" s="61">
        <v>0.45299768518518518</v>
      </c>
      <c r="AI185" t="s">
        <v>795</v>
      </c>
      <c r="AJ185" s="31">
        <v>45839</v>
      </c>
      <c r="AK185" s="61">
        <v>0.41417824074074072</v>
      </c>
      <c r="AL185" t="s">
        <v>796</v>
      </c>
      <c r="AM185" t="s">
        <v>1694</v>
      </c>
      <c r="AS185" s="31"/>
      <c r="AY185">
        <v>1</v>
      </c>
    </row>
    <row r="186" spans="1:51" x14ac:dyDescent="0.3">
      <c r="A186" t="s">
        <v>44</v>
      </c>
      <c r="B186">
        <v>426</v>
      </c>
      <c r="D186">
        <v>2186</v>
      </c>
      <c r="G186" t="s">
        <v>1778</v>
      </c>
      <c r="H186">
        <v>480542000290</v>
      </c>
      <c r="J186" t="s">
        <v>1779</v>
      </c>
      <c r="K186" t="s">
        <v>1779</v>
      </c>
      <c r="L186">
        <v>15997651713</v>
      </c>
      <c r="N186" t="s">
        <v>1781</v>
      </c>
      <c r="Q186" t="s">
        <v>778</v>
      </c>
      <c r="R186" t="s">
        <v>1782</v>
      </c>
      <c r="S186" t="s">
        <v>790</v>
      </c>
      <c r="X186" t="s">
        <v>780</v>
      </c>
      <c r="Y186" t="s">
        <v>781</v>
      </c>
      <c r="AA186" s="31"/>
      <c r="AD186">
        <v>26</v>
      </c>
      <c r="AE186" t="s">
        <v>44</v>
      </c>
      <c r="AF186" s="31">
        <v>45813</v>
      </c>
      <c r="AG186" s="61">
        <v>0.46081018518518518</v>
      </c>
      <c r="AI186" t="s">
        <v>795</v>
      </c>
      <c r="AJ186" s="31">
        <v>45839</v>
      </c>
      <c r="AK186" s="61">
        <v>0.40780092592592587</v>
      </c>
      <c r="AL186" t="s">
        <v>796</v>
      </c>
      <c r="AM186" t="s">
        <v>1694</v>
      </c>
      <c r="AS186" s="31"/>
      <c r="AY186">
        <v>1</v>
      </c>
    </row>
    <row r="187" spans="1:51" x14ac:dyDescent="0.3">
      <c r="A187" t="s">
        <v>44</v>
      </c>
      <c r="B187">
        <v>428</v>
      </c>
      <c r="D187">
        <v>2189</v>
      </c>
      <c r="G187" t="s">
        <v>1783</v>
      </c>
      <c r="H187">
        <v>10509268000107</v>
      </c>
      <c r="J187" t="s">
        <v>1784</v>
      </c>
      <c r="K187" t="s">
        <v>1784</v>
      </c>
      <c r="L187">
        <v>19997556622</v>
      </c>
      <c r="N187" t="s">
        <v>1786</v>
      </c>
      <c r="Q187" t="s">
        <v>778</v>
      </c>
      <c r="R187" t="s">
        <v>1787</v>
      </c>
      <c r="S187" t="s">
        <v>790</v>
      </c>
      <c r="W187" t="s">
        <v>1718</v>
      </c>
      <c r="X187" t="s">
        <v>780</v>
      </c>
      <c r="Y187" t="s">
        <v>857</v>
      </c>
      <c r="AA187" s="31"/>
      <c r="AB187">
        <v>73430</v>
      </c>
      <c r="AC187">
        <v>37382</v>
      </c>
      <c r="AD187">
        <v>24</v>
      </c>
      <c r="AE187" t="s">
        <v>44</v>
      </c>
      <c r="AF187" s="31">
        <v>45814</v>
      </c>
      <c r="AG187" s="61">
        <v>0.42849537037037039</v>
      </c>
      <c r="AI187" t="s">
        <v>795</v>
      </c>
      <c r="AJ187" s="31">
        <v>45838</v>
      </c>
      <c r="AK187" s="61">
        <v>0.62945601851851851</v>
      </c>
      <c r="AL187" t="s">
        <v>796</v>
      </c>
      <c r="AM187" t="s">
        <v>1788</v>
      </c>
      <c r="AO187" t="s">
        <v>1789</v>
      </c>
      <c r="AQ187" t="s">
        <v>1790</v>
      </c>
      <c r="AR187" t="s">
        <v>1769</v>
      </c>
      <c r="AS187" s="31"/>
      <c r="AY187">
        <v>1</v>
      </c>
    </row>
    <row r="188" spans="1:51" x14ac:dyDescent="0.3">
      <c r="A188" t="s">
        <v>44</v>
      </c>
      <c r="B188">
        <v>431</v>
      </c>
      <c r="D188">
        <v>2194</v>
      </c>
      <c r="G188" t="s">
        <v>386</v>
      </c>
      <c r="H188">
        <v>28646036000166</v>
      </c>
      <c r="J188" t="s">
        <v>1791</v>
      </c>
      <c r="K188" t="s">
        <v>1791</v>
      </c>
      <c r="L188">
        <v>11938010304</v>
      </c>
      <c r="N188" t="s">
        <v>1793</v>
      </c>
      <c r="Q188" t="s">
        <v>778</v>
      </c>
      <c r="R188" t="s">
        <v>1794</v>
      </c>
      <c r="S188" t="s">
        <v>790</v>
      </c>
      <c r="W188" t="s">
        <v>1718</v>
      </c>
      <c r="X188" t="s">
        <v>780</v>
      </c>
      <c r="Y188" t="s">
        <v>807</v>
      </c>
      <c r="AA188" s="31"/>
      <c r="AB188">
        <v>16960</v>
      </c>
      <c r="AC188">
        <v>70432</v>
      </c>
      <c r="AD188">
        <v>80</v>
      </c>
      <c r="AE188" t="s">
        <v>44</v>
      </c>
      <c r="AF188" s="31">
        <v>45817</v>
      </c>
      <c r="AG188" s="61">
        <v>0.47589120370370369</v>
      </c>
      <c r="AI188" t="s">
        <v>795</v>
      </c>
      <c r="AJ188" s="31">
        <v>45897</v>
      </c>
      <c r="AK188" s="61">
        <v>0.64936342592592589</v>
      </c>
      <c r="AL188" t="s">
        <v>796</v>
      </c>
      <c r="AM188" t="s">
        <v>797</v>
      </c>
      <c r="AO188" t="s">
        <v>4654</v>
      </c>
      <c r="AQ188" t="s">
        <v>1771</v>
      </c>
      <c r="AR188" t="s">
        <v>4654</v>
      </c>
      <c r="AS188" s="31"/>
      <c r="AY188">
        <v>1</v>
      </c>
    </row>
    <row r="189" spans="1:51" x14ac:dyDescent="0.3">
      <c r="A189" t="s">
        <v>44</v>
      </c>
      <c r="B189">
        <v>433</v>
      </c>
      <c r="D189">
        <v>2197</v>
      </c>
      <c r="G189" t="s">
        <v>1795</v>
      </c>
      <c r="J189" t="s">
        <v>1796</v>
      </c>
      <c r="K189" t="s">
        <v>1796</v>
      </c>
      <c r="L189">
        <v>81992522279</v>
      </c>
      <c r="N189" t="s">
        <v>1111</v>
      </c>
      <c r="Q189" t="s">
        <v>778</v>
      </c>
      <c r="X189" t="s">
        <v>780</v>
      </c>
      <c r="Y189" t="s">
        <v>857</v>
      </c>
      <c r="AA189" s="31"/>
      <c r="AB189">
        <v>16960</v>
      </c>
      <c r="AC189">
        <v>998</v>
      </c>
      <c r="AD189">
        <v>20</v>
      </c>
      <c r="AE189" t="s">
        <v>44</v>
      </c>
      <c r="AF189" s="31">
        <v>45819</v>
      </c>
      <c r="AG189" s="61">
        <v>0.3787962962962963</v>
      </c>
      <c r="AI189" t="s">
        <v>795</v>
      </c>
      <c r="AJ189" s="31">
        <v>45839</v>
      </c>
      <c r="AK189" s="61">
        <v>0.41629629629629628</v>
      </c>
      <c r="AL189" t="s">
        <v>796</v>
      </c>
      <c r="AM189" t="s">
        <v>1798</v>
      </c>
      <c r="AO189" t="s">
        <v>1799</v>
      </c>
      <c r="AQ189" t="s">
        <v>1799</v>
      </c>
      <c r="AS189" s="31"/>
      <c r="AY189">
        <v>1</v>
      </c>
    </row>
    <row r="190" spans="1:51" x14ac:dyDescent="0.3">
      <c r="A190" t="s">
        <v>22</v>
      </c>
      <c r="B190">
        <v>434</v>
      </c>
      <c r="D190">
        <v>2198</v>
      </c>
      <c r="G190" t="s">
        <v>1800</v>
      </c>
      <c r="J190" t="s">
        <v>1243</v>
      </c>
      <c r="K190" t="s">
        <v>1243</v>
      </c>
      <c r="L190">
        <v>11976806556</v>
      </c>
      <c r="N190" t="s">
        <v>1802</v>
      </c>
      <c r="Q190" t="s">
        <v>778</v>
      </c>
      <c r="T190" t="s">
        <v>933</v>
      </c>
      <c r="W190" t="s">
        <v>1718</v>
      </c>
      <c r="X190" t="s">
        <v>780</v>
      </c>
      <c r="Y190" t="s">
        <v>857</v>
      </c>
      <c r="Z190" t="s">
        <v>817</v>
      </c>
      <c r="AA190" s="31"/>
      <c r="AD190">
        <v>90</v>
      </c>
      <c r="AE190" t="s">
        <v>22</v>
      </c>
      <c r="AF190" s="31">
        <v>45820</v>
      </c>
      <c r="AG190" s="61">
        <v>0.6342592592592593</v>
      </c>
      <c r="AI190" t="s">
        <v>795</v>
      </c>
      <c r="AJ190" s="31">
        <v>45910</v>
      </c>
      <c r="AK190" s="61">
        <v>0.67572916666666671</v>
      </c>
      <c r="AL190" t="s">
        <v>796</v>
      </c>
      <c r="AP190" t="s">
        <v>22</v>
      </c>
      <c r="AS190" s="31"/>
      <c r="AY190">
        <v>1</v>
      </c>
    </row>
    <row r="191" spans="1:51" x14ac:dyDescent="0.3">
      <c r="A191" t="s">
        <v>22</v>
      </c>
      <c r="B191">
        <v>435</v>
      </c>
      <c r="D191">
        <v>2200</v>
      </c>
      <c r="G191" t="s">
        <v>1803</v>
      </c>
      <c r="J191" t="s">
        <v>1804</v>
      </c>
      <c r="K191" t="s">
        <v>1804</v>
      </c>
      <c r="L191">
        <v>16996352359</v>
      </c>
      <c r="N191" t="s">
        <v>1111</v>
      </c>
      <c r="Q191" t="s">
        <v>778</v>
      </c>
      <c r="T191" t="s">
        <v>933</v>
      </c>
      <c r="W191" t="s">
        <v>1419</v>
      </c>
      <c r="X191" t="s">
        <v>780</v>
      </c>
      <c r="Y191" t="s">
        <v>816</v>
      </c>
      <c r="AA191" s="31"/>
      <c r="AB191">
        <v>28800</v>
      </c>
      <c r="AC191">
        <v>201012</v>
      </c>
      <c r="AD191">
        <v>56</v>
      </c>
      <c r="AE191" t="s">
        <v>22</v>
      </c>
      <c r="AF191" s="31">
        <v>45820</v>
      </c>
      <c r="AG191" s="61">
        <v>0.68391203703703707</v>
      </c>
      <c r="AI191" t="s">
        <v>818</v>
      </c>
      <c r="AJ191" s="31">
        <v>45876</v>
      </c>
      <c r="AK191" s="61">
        <v>0.50437500000000002</v>
      </c>
      <c r="AP191" t="s">
        <v>22</v>
      </c>
      <c r="AS191" s="31"/>
      <c r="AY191">
        <v>1</v>
      </c>
    </row>
    <row r="192" spans="1:51" x14ac:dyDescent="0.3">
      <c r="A192" t="s">
        <v>22</v>
      </c>
      <c r="B192">
        <v>441</v>
      </c>
      <c r="D192">
        <v>2206</v>
      </c>
      <c r="G192" t="s">
        <v>1806</v>
      </c>
      <c r="H192">
        <v>8505162000355</v>
      </c>
      <c r="J192" t="s">
        <v>1807</v>
      </c>
      <c r="K192" t="s">
        <v>1807</v>
      </c>
      <c r="L192">
        <v>16997217227</v>
      </c>
      <c r="N192" t="s">
        <v>1809</v>
      </c>
      <c r="Q192" t="s">
        <v>778</v>
      </c>
      <c r="T192" t="s">
        <v>933</v>
      </c>
      <c r="W192" t="s">
        <v>1419</v>
      </c>
      <c r="X192" t="s">
        <v>780</v>
      </c>
      <c r="Y192" t="s">
        <v>793</v>
      </c>
      <c r="AA192" s="31"/>
      <c r="AD192">
        <v>55</v>
      </c>
      <c r="AE192" t="s">
        <v>22</v>
      </c>
      <c r="AF192" s="31">
        <v>45821</v>
      </c>
      <c r="AG192" s="61">
        <v>0.72303240740740737</v>
      </c>
      <c r="AI192" t="s">
        <v>795</v>
      </c>
      <c r="AJ192" s="31">
        <v>45876</v>
      </c>
      <c r="AK192" s="61">
        <v>0.59842592592592592</v>
      </c>
      <c r="AL192" t="s">
        <v>1119</v>
      </c>
      <c r="AO192" t="s">
        <v>1771</v>
      </c>
      <c r="AP192" t="s">
        <v>22</v>
      </c>
      <c r="AQ192" t="s">
        <v>1771</v>
      </c>
      <c r="AS192" s="31"/>
      <c r="AY192">
        <v>1</v>
      </c>
    </row>
    <row r="193" spans="1:51" x14ac:dyDescent="0.3">
      <c r="A193" t="s">
        <v>44</v>
      </c>
      <c r="B193">
        <v>447</v>
      </c>
      <c r="D193">
        <v>2213</v>
      </c>
      <c r="G193" t="s">
        <v>1810</v>
      </c>
      <c r="J193" t="s">
        <v>1811</v>
      </c>
      <c r="K193" t="s">
        <v>1811</v>
      </c>
      <c r="L193">
        <v>53999594657</v>
      </c>
      <c r="N193" t="s">
        <v>1813</v>
      </c>
      <c r="Q193" t="s">
        <v>778</v>
      </c>
      <c r="X193" t="s">
        <v>780</v>
      </c>
      <c r="Y193" t="s">
        <v>816</v>
      </c>
      <c r="AA193" s="31"/>
      <c r="AB193">
        <v>1782</v>
      </c>
      <c r="AC193">
        <v>3564</v>
      </c>
      <c r="AD193">
        <v>2</v>
      </c>
      <c r="AE193" t="s">
        <v>44</v>
      </c>
      <c r="AF193" s="31">
        <v>45824</v>
      </c>
      <c r="AG193" s="61">
        <v>0.6651273148148148</v>
      </c>
      <c r="AI193" t="s">
        <v>818</v>
      </c>
      <c r="AJ193" s="31">
        <v>45826</v>
      </c>
      <c r="AK193" s="61">
        <v>0.61760416666666662</v>
      </c>
      <c r="AO193" t="s">
        <v>1771</v>
      </c>
      <c r="AQ193" t="s">
        <v>1771</v>
      </c>
      <c r="AS193" s="31"/>
      <c r="AY193">
        <v>1</v>
      </c>
    </row>
    <row r="194" spans="1:51" x14ac:dyDescent="0.3">
      <c r="A194" t="s">
        <v>44</v>
      </c>
      <c r="B194">
        <v>451</v>
      </c>
      <c r="D194">
        <v>2217</v>
      </c>
      <c r="G194" t="s">
        <v>1814</v>
      </c>
      <c r="H194">
        <v>27898532000144</v>
      </c>
      <c r="J194" t="s">
        <v>1815</v>
      </c>
      <c r="K194" t="s">
        <v>1815</v>
      </c>
      <c r="L194">
        <v>14998117753</v>
      </c>
      <c r="N194" t="s">
        <v>1764</v>
      </c>
      <c r="Q194" t="s">
        <v>778</v>
      </c>
      <c r="R194" t="s">
        <v>1817</v>
      </c>
      <c r="S194" t="s">
        <v>790</v>
      </c>
      <c r="X194" t="s">
        <v>780</v>
      </c>
      <c r="Y194" t="s">
        <v>857</v>
      </c>
      <c r="AA194" s="31"/>
      <c r="AB194">
        <v>1600</v>
      </c>
      <c r="AC194">
        <v>26507</v>
      </c>
      <c r="AD194">
        <v>26</v>
      </c>
      <c r="AE194" t="s">
        <v>44</v>
      </c>
      <c r="AF194" s="31">
        <v>45826</v>
      </c>
      <c r="AG194" s="61">
        <v>0.60541666666666671</v>
      </c>
      <c r="AI194" t="s">
        <v>795</v>
      </c>
      <c r="AJ194" s="31">
        <v>45852</v>
      </c>
      <c r="AK194" s="61">
        <v>0.44032407407407409</v>
      </c>
      <c r="AL194" t="s">
        <v>796</v>
      </c>
      <c r="AM194" t="s">
        <v>1767</v>
      </c>
      <c r="AO194" t="s">
        <v>1769</v>
      </c>
      <c r="AQ194" t="s">
        <v>1771</v>
      </c>
      <c r="AS194" s="31"/>
      <c r="AY194">
        <v>1</v>
      </c>
    </row>
    <row r="195" spans="1:51" x14ac:dyDescent="0.3">
      <c r="A195" t="s">
        <v>44</v>
      </c>
      <c r="B195">
        <v>453</v>
      </c>
      <c r="D195">
        <v>2219</v>
      </c>
      <c r="G195" t="s">
        <v>1818</v>
      </c>
      <c r="J195" t="s">
        <v>1819</v>
      </c>
      <c r="K195" t="s">
        <v>1819</v>
      </c>
      <c r="L195">
        <v>11910695515</v>
      </c>
      <c r="N195" t="s">
        <v>1580</v>
      </c>
      <c r="Q195" t="s">
        <v>778</v>
      </c>
      <c r="W195" t="s">
        <v>1718</v>
      </c>
      <c r="X195" t="s">
        <v>780</v>
      </c>
      <c r="Y195" t="s">
        <v>807</v>
      </c>
      <c r="AA195" s="31"/>
      <c r="AB195">
        <v>29680</v>
      </c>
      <c r="AC195">
        <v>0</v>
      </c>
      <c r="AD195">
        <v>7</v>
      </c>
      <c r="AE195" t="s">
        <v>44</v>
      </c>
      <c r="AF195" s="31">
        <v>45831</v>
      </c>
      <c r="AG195" s="61">
        <v>0.38500000000000001</v>
      </c>
      <c r="AI195" t="s">
        <v>795</v>
      </c>
      <c r="AJ195" s="31">
        <v>45838</v>
      </c>
      <c r="AK195" s="61">
        <v>0.63365740740740739</v>
      </c>
      <c r="AL195" t="s">
        <v>934</v>
      </c>
      <c r="AM195" t="s">
        <v>1820</v>
      </c>
      <c r="AO195" t="s">
        <v>1789</v>
      </c>
      <c r="AQ195" t="s">
        <v>1789</v>
      </c>
      <c r="AS195" s="31"/>
      <c r="AY195">
        <v>1</v>
      </c>
    </row>
    <row r="196" spans="1:51" x14ac:dyDescent="0.3">
      <c r="A196" t="s">
        <v>44</v>
      </c>
      <c r="B196">
        <v>455</v>
      </c>
      <c r="D196">
        <v>2221</v>
      </c>
      <c r="G196" t="s">
        <v>1821</v>
      </c>
      <c r="H196">
        <v>1537246000160</v>
      </c>
      <c r="J196" t="s">
        <v>1822</v>
      </c>
      <c r="K196" t="s">
        <v>1822</v>
      </c>
      <c r="L196">
        <v>15997551770</v>
      </c>
      <c r="N196" t="s">
        <v>1824</v>
      </c>
      <c r="Q196" t="s">
        <v>778</v>
      </c>
      <c r="R196" t="s">
        <v>1825</v>
      </c>
      <c r="S196" t="s">
        <v>790</v>
      </c>
      <c r="X196" t="s">
        <v>780</v>
      </c>
      <c r="Y196" t="s">
        <v>781</v>
      </c>
      <c r="AA196" s="31"/>
      <c r="AD196">
        <v>7</v>
      </c>
      <c r="AE196" t="s">
        <v>44</v>
      </c>
      <c r="AF196" s="31">
        <v>45832</v>
      </c>
      <c r="AG196" s="61">
        <v>0.46826388888888892</v>
      </c>
      <c r="AI196" t="s">
        <v>795</v>
      </c>
      <c r="AJ196" s="31">
        <v>45839</v>
      </c>
      <c r="AK196" s="61">
        <v>0.40962962962962962</v>
      </c>
      <c r="AL196" t="s">
        <v>796</v>
      </c>
      <c r="AM196" t="s">
        <v>1694</v>
      </c>
      <c r="AS196" s="31"/>
      <c r="AY196">
        <v>1</v>
      </c>
    </row>
    <row r="197" spans="1:51" x14ac:dyDescent="0.3">
      <c r="A197" t="s">
        <v>44</v>
      </c>
      <c r="B197">
        <v>456</v>
      </c>
      <c r="D197">
        <v>2226</v>
      </c>
      <c r="G197" t="s">
        <v>1826</v>
      </c>
      <c r="H197">
        <v>1684187000152</v>
      </c>
      <c r="J197" t="s">
        <v>1827</v>
      </c>
      <c r="K197" t="s">
        <v>1827</v>
      </c>
      <c r="L197">
        <v>11947837975</v>
      </c>
      <c r="Q197" t="s">
        <v>778</v>
      </c>
      <c r="R197" t="s">
        <v>1094</v>
      </c>
      <c r="S197" t="s">
        <v>790</v>
      </c>
      <c r="X197" t="s">
        <v>780</v>
      </c>
      <c r="Y197" t="s">
        <v>781</v>
      </c>
      <c r="AA197" s="31"/>
      <c r="AD197">
        <v>7</v>
      </c>
      <c r="AE197" t="s">
        <v>44</v>
      </c>
      <c r="AF197" s="31">
        <v>45832</v>
      </c>
      <c r="AG197" s="61">
        <v>0.47282407407407412</v>
      </c>
      <c r="AI197" t="s">
        <v>795</v>
      </c>
      <c r="AJ197" s="31">
        <v>45839</v>
      </c>
      <c r="AK197" s="61">
        <v>0.4099652777777778</v>
      </c>
      <c r="AL197" t="s">
        <v>796</v>
      </c>
      <c r="AM197" t="s">
        <v>1694</v>
      </c>
      <c r="AS197" s="31"/>
      <c r="AY197">
        <v>1</v>
      </c>
    </row>
    <row r="198" spans="1:51" x14ac:dyDescent="0.3">
      <c r="A198" t="s">
        <v>44</v>
      </c>
      <c r="B198">
        <v>457</v>
      </c>
      <c r="D198">
        <v>2230</v>
      </c>
      <c r="G198" t="s">
        <v>1829</v>
      </c>
      <c r="H198">
        <v>28895260000191</v>
      </c>
      <c r="J198" t="s">
        <v>1830</v>
      </c>
      <c r="K198" t="s">
        <v>1830</v>
      </c>
      <c r="L198">
        <v>19999094519</v>
      </c>
      <c r="N198" t="s">
        <v>1832</v>
      </c>
      <c r="Q198" t="s">
        <v>778</v>
      </c>
      <c r="R198" t="s">
        <v>1833</v>
      </c>
      <c r="S198" t="s">
        <v>790</v>
      </c>
      <c r="X198" t="s">
        <v>780</v>
      </c>
      <c r="Y198" t="s">
        <v>781</v>
      </c>
      <c r="AA198" s="31"/>
      <c r="AD198">
        <v>7</v>
      </c>
      <c r="AE198" t="s">
        <v>44</v>
      </c>
      <c r="AF198" s="31">
        <v>45832</v>
      </c>
      <c r="AG198" s="61">
        <v>0.47787037037037039</v>
      </c>
      <c r="AI198" t="s">
        <v>795</v>
      </c>
      <c r="AJ198" s="31">
        <v>45839</v>
      </c>
      <c r="AK198" s="61">
        <v>0.41031250000000002</v>
      </c>
      <c r="AL198" t="s">
        <v>796</v>
      </c>
      <c r="AM198" t="s">
        <v>1694</v>
      </c>
      <c r="AS198" s="31"/>
      <c r="AY198">
        <v>1</v>
      </c>
    </row>
    <row r="199" spans="1:51" x14ac:dyDescent="0.3">
      <c r="A199" t="s">
        <v>44</v>
      </c>
      <c r="B199">
        <v>462</v>
      </c>
      <c r="D199">
        <v>2237</v>
      </c>
      <c r="G199" t="s">
        <v>1834</v>
      </c>
      <c r="H199">
        <v>61630786000115</v>
      </c>
      <c r="J199" t="s">
        <v>1835</v>
      </c>
      <c r="K199" t="s">
        <v>1835</v>
      </c>
      <c r="L199">
        <v>16993303692</v>
      </c>
      <c r="Q199" t="s">
        <v>778</v>
      </c>
      <c r="R199" t="s">
        <v>1837</v>
      </c>
      <c r="S199" t="s">
        <v>790</v>
      </c>
      <c r="X199" t="s">
        <v>780</v>
      </c>
      <c r="Y199" t="s">
        <v>857</v>
      </c>
      <c r="AA199" s="31"/>
      <c r="AB199">
        <v>80560</v>
      </c>
      <c r="AC199">
        <v>249008</v>
      </c>
      <c r="AD199">
        <v>1</v>
      </c>
      <c r="AE199" t="s">
        <v>44</v>
      </c>
      <c r="AF199" s="31">
        <v>45833</v>
      </c>
      <c r="AG199" s="61">
        <v>0.43809027777777781</v>
      </c>
      <c r="AI199" t="s">
        <v>795</v>
      </c>
      <c r="AJ199" s="31">
        <v>45834</v>
      </c>
      <c r="AK199" s="61">
        <v>0.44855324074074082</v>
      </c>
      <c r="AL199" t="s">
        <v>796</v>
      </c>
      <c r="AM199" t="s">
        <v>1838</v>
      </c>
      <c r="AO199" t="s">
        <v>1771</v>
      </c>
      <c r="AQ199" t="s">
        <v>1839</v>
      </c>
      <c r="AS199" s="31"/>
      <c r="AY199">
        <v>1</v>
      </c>
    </row>
    <row r="200" spans="1:51" x14ac:dyDescent="0.3">
      <c r="A200" t="s">
        <v>44</v>
      </c>
      <c r="B200">
        <v>463</v>
      </c>
      <c r="D200">
        <v>2239</v>
      </c>
      <c r="G200" t="s">
        <v>1840</v>
      </c>
      <c r="H200">
        <v>61630786000115</v>
      </c>
      <c r="J200" t="s">
        <v>1841</v>
      </c>
      <c r="K200" t="s">
        <v>1841</v>
      </c>
      <c r="L200">
        <v>16993303692</v>
      </c>
      <c r="Q200" t="s">
        <v>778</v>
      </c>
      <c r="R200" t="s">
        <v>1837</v>
      </c>
      <c r="S200" t="s">
        <v>790</v>
      </c>
      <c r="X200" t="s">
        <v>780</v>
      </c>
      <c r="Y200" t="s">
        <v>857</v>
      </c>
      <c r="AA200" s="31"/>
      <c r="AB200">
        <v>1600</v>
      </c>
      <c r="AC200">
        <v>278556</v>
      </c>
      <c r="AD200">
        <v>1</v>
      </c>
      <c r="AE200" t="s">
        <v>44</v>
      </c>
      <c r="AF200" s="31">
        <v>45833</v>
      </c>
      <c r="AG200" s="61">
        <v>0.44237268518518519</v>
      </c>
      <c r="AI200" t="s">
        <v>795</v>
      </c>
      <c r="AJ200" s="31">
        <v>45834</v>
      </c>
      <c r="AK200" s="61">
        <v>0.44890046296296299</v>
      </c>
      <c r="AL200" t="s">
        <v>796</v>
      </c>
      <c r="AM200" t="s">
        <v>1838</v>
      </c>
      <c r="AO200" t="s">
        <v>1771</v>
      </c>
      <c r="AQ200" t="s">
        <v>1839</v>
      </c>
      <c r="AS200" s="31"/>
      <c r="AY200">
        <v>1</v>
      </c>
    </row>
    <row r="201" spans="1:51" x14ac:dyDescent="0.3">
      <c r="A201" t="s">
        <v>44</v>
      </c>
      <c r="B201">
        <v>466</v>
      </c>
      <c r="D201">
        <v>2243</v>
      </c>
      <c r="G201" t="s">
        <v>1842</v>
      </c>
      <c r="J201" t="s">
        <v>1843</v>
      </c>
      <c r="K201" t="s">
        <v>1843</v>
      </c>
      <c r="L201">
        <v>3599959465</v>
      </c>
      <c r="N201" t="s">
        <v>1845</v>
      </c>
      <c r="Q201" t="s">
        <v>778</v>
      </c>
      <c r="X201" t="s">
        <v>780</v>
      </c>
      <c r="Y201" t="s">
        <v>816</v>
      </c>
      <c r="AA201" s="31"/>
      <c r="AB201">
        <v>0</v>
      </c>
      <c r="AC201">
        <v>54887</v>
      </c>
      <c r="AD201">
        <v>5</v>
      </c>
      <c r="AE201" t="s">
        <v>44</v>
      </c>
      <c r="AF201" s="31">
        <v>45833</v>
      </c>
      <c r="AG201" s="61">
        <v>0.60601851851851851</v>
      </c>
      <c r="AI201" t="s">
        <v>818</v>
      </c>
      <c r="AJ201" s="31">
        <v>45838</v>
      </c>
      <c r="AK201" s="61">
        <v>0.35708333333333331</v>
      </c>
      <c r="AO201" t="s">
        <v>1846</v>
      </c>
      <c r="AQ201" t="s">
        <v>1846</v>
      </c>
      <c r="AS201" s="31"/>
      <c r="AY201">
        <v>1</v>
      </c>
    </row>
    <row r="202" spans="1:51" x14ac:dyDescent="0.3">
      <c r="A202" t="s">
        <v>44</v>
      </c>
      <c r="B202">
        <v>467</v>
      </c>
      <c r="D202">
        <v>2244</v>
      </c>
      <c r="G202" t="s">
        <v>1847</v>
      </c>
      <c r="J202" t="s">
        <v>1848</v>
      </c>
      <c r="K202" t="s">
        <v>1848</v>
      </c>
      <c r="L202">
        <v>19997556622</v>
      </c>
      <c r="N202" t="s">
        <v>1786</v>
      </c>
      <c r="Q202" t="s">
        <v>778</v>
      </c>
      <c r="X202" t="s">
        <v>780</v>
      </c>
      <c r="Y202" t="s">
        <v>857</v>
      </c>
      <c r="AA202" s="31"/>
      <c r="AB202">
        <v>1600</v>
      </c>
      <c r="AC202">
        <v>309656</v>
      </c>
      <c r="AD202">
        <v>5</v>
      </c>
      <c r="AE202" t="s">
        <v>44</v>
      </c>
      <c r="AF202" s="31">
        <v>45833</v>
      </c>
      <c r="AG202" s="61">
        <v>0.66252314814814817</v>
      </c>
      <c r="AI202" t="s">
        <v>795</v>
      </c>
      <c r="AJ202" s="31">
        <v>45838</v>
      </c>
      <c r="AK202" s="61">
        <v>0.62982638888888887</v>
      </c>
      <c r="AL202" t="s">
        <v>796</v>
      </c>
      <c r="AM202" t="s">
        <v>1788</v>
      </c>
      <c r="AO202" t="s">
        <v>1789</v>
      </c>
      <c r="AQ202" t="s">
        <v>1769</v>
      </c>
      <c r="AS202" s="31"/>
      <c r="AY202">
        <v>1</v>
      </c>
    </row>
    <row r="203" spans="1:51" x14ac:dyDescent="0.3">
      <c r="A203" t="s">
        <v>44</v>
      </c>
      <c r="B203">
        <v>468</v>
      </c>
      <c r="D203">
        <v>2245</v>
      </c>
      <c r="G203" t="s">
        <v>1849</v>
      </c>
      <c r="H203">
        <v>9509581000166</v>
      </c>
      <c r="J203" t="s">
        <v>1850</v>
      </c>
      <c r="K203" t="s">
        <v>1850</v>
      </c>
      <c r="L203">
        <v>11999265872</v>
      </c>
      <c r="N203" t="s">
        <v>1852</v>
      </c>
      <c r="Q203" t="s">
        <v>778</v>
      </c>
      <c r="R203" t="s">
        <v>1094</v>
      </c>
      <c r="S203" t="s">
        <v>790</v>
      </c>
      <c r="X203" t="s">
        <v>780</v>
      </c>
      <c r="Y203" t="s">
        <v>793</v>
      </c>
      <c r="AA203" s="31"/>
      <c r="AB203">
        <v>10800</v>
      </c>
      <c r="AC203">
        <v>450</v>
      </c>
      <c r="AD203">
        <v>5</v>
      </c>
      <c r="AE203" t="s">
        <v>44</v>
      </c>
      <c r="AF203" s="31">
        <v>45833</v>
      </c>
      <c r="AG203" s="61">
        <v>0.6728587962962963</v>
      </c>
      <c r="AI203" t="s">
        <v>795</v>
      </c>
      <c r="AJ203" s="31">
        <v>45838</v>
      </c>
      <c r="AK203" s="61">
        <v>0.62880787037037034</v>
      </c>
      <c r="AL203" t="s">
        <v>796</v>
      </c>
      <c r="AM203" t="s">
        <v>1853</v>
      </c>
      <c r="AO203" t="s">
        <v>1854</v>
      </c>
      <c r="AQ203" t="s">
        <v>1790</v>
      </c>
      <c r="AS203" s="31"/>
      <c r="AY203">
        <v>1</v>
      </c>
    </row>
    <row r="204" spans="1:51" x14ac:dyDescent="0.3">
      <c r="A204" t="s">
        <v>44</v>
      </c>
      <c r="B204">
        <v>469</v>
      </c>
      <c r="D204">
        <v>2250</v>
      </c>
      <c r="G204" t="s">
        <v>1855</v>
      </c>
      <c r="J204" t="s">
        <v>1856</v>
      </c>
      <c r="K204" t="s">
        <v>1856</v>
      </c>
      <c r="L204">
        <v>47984366161</v>
      </c>
      <c r="N204" t="s">
        <v>1858</v>
      </c>
      <c r="Q204" t="s">
        <v>778</v>
      </c>
      <c r="X204" t="s">
        <v>780</v>
      </c>
      <c r="Y204" t="s">
        <v>816</v>
      </c>
      <c r="AA204" s="31"/>
      <c r="AB204">
        <v>607121</v>
      </c>
      <c r="AC204">
        <v>0</v>
      </c>
      <c r="AD204">
        <v>25</v>
      </c>
      <c r="AE204" t="s">
        <v>44</v>
      </c>
      <c r="AF204" s="31">
        <v>45834</v>
      </c>
      <c r="AG204" s="61">
        <v>0.49910879629629629</v>
      </c>
      <c r="AI204" t="s">
        <v>818</v>
      </c>
      <c r="AJ204" s="31">
        <v>45859</v>
      </c>
      <c r="AK204" s="61">
        <v>0.38678240740740738</v>
      </c>
      <c r="AO204" t="s">
        <v>1859</v>
      </c>
      <c r="AQ204" t="s">
        <v>1859</v>
      </c>
      <c r="AS204" s="31"/>
      <c r="AY204">
        <v>1</v>
      </c>
    </row>
    <row r="205" spans="1:51" x14ac:dyDescent="0.3">
      <c r="A205" t="s">
        <v>44</v>
      </c>
      <c r="B205">
        <v>470</v>
      </c>
      <c r="D205">
        <v>2272</v>
      </c>
      <c r="G205" t="s">
        <v>1860</v>
      </c>
      <c r="H205">
        <v>912882000161</v>
      </c>
      <c r="J205" t="s">
        <v>1861</v>
      </c>
      <c r="K205" t="s">
        <v>1861</v>
      </c>
      <c r="L205">
        <v>51980225006</v>
      </c>
      <c r="N205" t="s">
        <v>1863</v>
      </c>
      <c r="Q205" t="s">
        <v>778</v>
      </c>
      <c r="R205" t="s">
        <v>1864</v>
      </c>
      <c r="S205" t="s">
        <v>1027</v>
      </c>
      <c r="W205" t="s">
        <v>1718</v>
      </c>
      <c r="X205" t="s">
        <v>780</v>
      </c>
      <c r="Y205" t="s">
        <v>807</v>
      </c>
      <c r="AA205" s="31"/>
      <c r="AB205">
        <v>16960</v>
      </c>
      <c r="AC205">
        <v>14034</v>
      </c>
      <c r="AD205">
        <v>84</v>
      </c>
      <c r="AE205" t="s">
        <v>44</v>
      </c>
      <c r="AF205" s="31">
        <v>45838</v>
      </c>
      <c r="AG205" s="61">
        <v>0.49502314814814807</v>
      </c>
      <c r="AI205" t="s">
        <v>795</v>
      </c>
      <c r="AJ205" s="31">
        <v>45922</v>
      </c>
      <c r="AK205" s="61">
        <v>0.4777777777777778</v>
      </c>
      <c r="AL205" t="s">
        <v>796</v>
      </c>
      <c r="AM205" t="s">
        <v>1865</v>
      </c>
      <c r="AO205" t="s">
        <v>1866</v>
      </c>
      <c r="AQ205" t="s">
        <v>1866</v>
      </c>
      <c r="AS205" s="31"/>
      <c r="AY205">
        <v>1</v>
      </c>
    </row>
    <row r="206" spans="1:51" x14ac:dyDescent="0.3">
      <c r="A206" t="s">
        <v>31</v>
      </c>
      <c r="B206">
        <v>475</v>
      </c>
      <c r="D206">
        <v>2299</v>
      </c>
      <c r="G206" t="s">
        <v>1867</v>
      </c>
      <c r="H206">
        <v>3436772000169</v>
      </c>
      <c r="J206" t="s">
        <v>1868</v>
      </c>
      <c r="K206" t="s">
        <v>1868</v>
      </c>
      <c r="L206">
        <v>11983386298</v>
      </c>
      <c r="N206" t="s">
        <v>1870</v>
      </c>
      <c r="Q206" t="s">
        <v>778</v>
      </c>
      <c r="R206" t="s">
        <v>1094</v>
      </c>
      <c r="S206" t="s">
        <v>790</v>
      </c>
      <c r="X206" t="s">
        <v>780</v>
      </c>
      <c r="Y206" t="s">
        <v>793</v>
      </c>
      <c r="AA206" s="31"/>
      <c r="AD206">
        <v>60</v>
      </c>
      <c r="AE206" t="s">
        <v>31</v>
      </c>
      <c r="AF206" s="31">
        <v>45842</v>
      </c>
      <c r="AG206" s="61">
        <v>0.39122685185185191</v>
      </c>
      <c r="AI206" t="s">
        <v>795</v>
      </c>
      <c r="AJ206" s="31">
        <v>45902</v>
      </c>
      <c r="AK206" s="61">
        <v>0.41572916666666659</v>
      </c>
      <c r="AL206" t="s">
        <v>796</v>
      </c>
      <c r="AO206" t="s">
        <v>1871</v>
      </c>
      <c r="AQ206" t="s">
        <v>1872</v>
      </c>
      <c r="AS206" s="31"/>
      <c r="AY206">
        <v>1</v>
      </c>
    </row>
    <row r="207" spans="1:51" x14ac:dyDescent="0.3">
      <c r="A207" t="s">
        <v>44</v>
      </c>
      <c r="B207">
        <v>485</v>
      </c>
      <c r="D207">
        <v>2341</v>
      </c>
      <c r="G207" t="s">
        <v>1873</v>
      </c>
      <c r="H207">
        <v>20750928000109</v>
      </c>
      <c r="J207" t="s">
        <v>1874</v>
      </c>
      <c r="K207" t="s">
        <v>1874</v>
      </c>
      <c r="L207" t="s">
        <v>1875</v>
      </c>
      <c r="N207" t="s">
        <v>1876</v>
      </c>
      <c r="Q207" t="s">
        <v>778</v>
      </c>
      <c r="R207" t="s">
        <v>1877</v>
      </c>
      <c r="S207" t="s">
        <v>932</v>
      </c>
      <c r="W207" t="s">
        <v>1419</v>
      </c>
      <c r="X207" t="s">
        <v>780</v>
      </c>
      <c r="Y207" t="s">
        <v>816</v>
      </c>
      <c r="AA207" s="31"/>
      <c r="AB207">
        <v>6429976</v>
      </c>
      <c r="AC207">
        <v>399322</v>
      </c>
      <c r="AD207">
        <v>73</v>
      </c>
      <c r="AE207" t="s">
        <v>44</v>
      </c>
      <c r="AF207" s="31">
        <v>45852</v>
      </c>
      <c r="AG207" s="61">
        <v>0.42383101851851851</v>
      </c>
      <c r="AI207" t="s">
        <v>818</v>
      </c>
      <c r="AJ207" s="31">
        <v>45925</v>
      </c>
      <c r="AK207" s="61">
        <v>0.63105324074074076</v>
      </c>
      <c r="AO207" t="s">
        <v>1878</v>
      </c>
      <c r="AQ207" t="s">
        <v>1879</v>
      </c>
      <c r="AS207" s="31"/>
      <c r="AY207">
        <v>1</v>
      </c>
    </row>
    <row r="208" spans="1:51" x14ac:dyDescent="0.3">
      <c r="A208" t="s">
        <v>44</v>
      </c>
      <c r="B208">
        <v>486</v>
      </c>
      <c r="D208">
        <v>2343</v>
      </c>
      <c r="G208" t="s">
        <v>1880</v>
      </c>
      <c r="H208">
        <v>20750928000109</v>
      </c>
      <c r="J208" t="s">
        <v>1881</v>
      </c>
      <c r="K208" t="s">
        <v>1881</v>
      </c>
      <c r="L208" t="s">
        <v>1875</v>
      </c>
      <c r="N208" t="s">
        <v>1876</v>
      </c>
      <c r="Q208" t="s">
        <v>778</v>
      </c>
      <c r="R208" t="s">
        <v>1877</v>
      </c>
      <c r="S208" t="s">
        <v>932</v>
      </c>
      <c r="X208" t="s">
        <v>780</v>
      </c>
      <c r="Y208" t="s">
        <v>816</v>
      </c>
      <c r="AA208" s="31"/>
      <c r="AB208">
        <v>1600</v>
      </c>
      <c r="AC208">
        <v>2325</v>
      </c>
      <c r="AD208">
        <v>73</v>
      </c>
      <c r="AE208" t="s">
        <v>44</v>
      </c>
      <c r="AF208" s="31">
        <v>45852</v>
      </c>
      <c r="AG208" s="61">
        <v>0.4576736111111111</v>
      </c>
      <c r="AI208" t="s">
        <v>795</v>
      </c>
      <c r="AJ208" s="31">
        <v>45925</v>
      </c>
      <c r="AK208" s="61">
        <v>0.62450231481481477</v>
      </c>
      <c r="AL208" t="s">
        <v>858</v>
      </c>
      <c r="AM208" t="s">
        <v>1882</v>
      </c>
      <c r="AO208" t="s">
        <v>1878</v>
      </c>
      <c r="AQ208" t="s">
        <v>1879</v>
      </c>
      <c r="AS208" s="31"/>
      <c r="AY208">
        <v>1</v>
      </c>
    </row>
    <row r="209" spans="1:51" x14ac:dyDescent="0.3">
      <c r="A209" t="s">
        <v>44</v>
      </c>
      <c r="B209">
        <v>487</v>
      </c>
      <c r="D209">
        <v>2345</v>
      </c>
      <c r="G209" t="s">
        <v>1883</v>
      </c>
      <c r="J209" t="s">
        <v>1884</v>
      </c>
      <c r="K209" t="s">
        <v>1884</v>
      </c>
      <c r="L209">
        <v>17997793113</v>
      </c>
      <c r="N209" t="s">
        <v>1043</v>
      </c>
      <c r="Q209" t="s">
        <v>778</v>
      </c>
      <c r="X209" t="s">
        <v>780</v>
      </c>
      <c r="Y209" t="s">
        <v>816</v>
      </c>
      <c r="AA209" s="31"/>
      <c r="AB209">
        <v>0</v>
      </c>
      <c r="AC209">
        <v>14256</v>
      </c>
      <c r="AD209">
        <v>7</v>
      </c>
      <c r="AE209" t="s">
        <v>44</v>
      </c>
      <c r="AF209" s="31">
        <v>45852</v>
      </c>
      <c r="AG209" s="61">
        <v>0.61031250000000004</v>
      </c>
      <c r="AI209" t="s">
        <v>818</v>
      </c>
      <c r="AJ209" s="31">
        <v>45859</v>
      </c>
      <c r="AK209" s="61">
        <v>0.39141203703703698</v>
      </c>
      <c r="AO209" t="s">
        <v>1885</v>
      </c>
      <c r="AQ209" t="s">
        <v>1885</v>
      </c>
      <c r="AS209" s="31"/>
      <c r="AY209">
        <v>1</v>
      </c>
    </row>
    <row r="210" spans="1:51" x14ac:dyDescent="0.3">
      <c r="A210" t="s">
        <v>44</v>
      </c>
      <c r="B210">
        <v>488</v>
      </c>
      <c r="D210">
        <v>2346</v>
      </c>
      <c r="E210" t="s">
        <v>1886</v>
      </c>
      <c r="G210" t="s">
        <v>1887</v>
      </c>
      <c r="H210">
        <v>20750928000109</v>
      </c>
      <c r="J210" t="s">
        <v>1888</v>
      </c>
      <c r="K210" t="s">
        <v>1888</v>
      </c>
      <c r="L210">
        <v>4899606091</v>
      </c>
      <c r="N210" t="s">
        <v>1876</v>
      </c>
      <c r="Q210" t="s">
        <v>778</v>
      </c>
      <c r="W210" t="s">
        <v>1704</v>
      </c>
      <c r="X210" t="s">
        <v>780</v>
      </c>
      <c r="Y210" t="s">
        <v>816</v>
      </c>
      <c r="AA210" s="31">
        <v>46055</v>
      </c>
      <c r="AB210">
        <v>26200</v>
      </c>
      <c r="AC210">
        <v>3400</v>
      </c>
      <c r="AD210">
        <v>206</v>
      </c>
      <c r="AE210" t="s">
        <v>44</v>
      </c>
      <c r="AF210" s="31">
        <v>45853</v>
      </c>
      <c r="AG210" s="61">
        <v>0.72690972222222228</v>
      </c>
      <c r="AI210" t="s">
        <v>818</v>
      </c>
      <c r="AJ210" s="31">
        <v>46059</v>
      </c>
      <c r="AK210" s="61">
        <v>0.50700231481481484</v>
      </c>
      <c r="AO210" t="s">
        <v>1878</v>
      </c>
      <c r="AP210" t="s">
        <v>44</v>
      </c>
      <c r="AQ210" t="s">
        <v>1879</v>
      </c>
      <c r="AS210" s="31">
        <v>46001</v>
      </c>
      <c r="AY210">
        <v>1</v>
      </c>
    </row>
    <row r="211" spans="1:51" x14ac:dyDescent="0.3">
      <c r="A211" t="s">
        <v>44</v>
      </c>
      <c r="B211">
        <v>493</v>
      </c>
      <c r="D211">
        <v>2352</v>
      </c>
      <c r="G211" t="s">
        <v>1890</v>
      </c>
      <c r="H211">
        <v>39750889000160</v>
      </c>
      <c r="J211" t="s">
        <v>1891</v>
      </c>
      <c r="K211" t="s">
        <v>1891</v>
      </c>
      <c r="L211" t="s">
        <v>1892</v>
      </c>
      <c r="N211" t="s">
        <v>1580</v>
      </c>
      <c r="Q211" t="s">
        <v>778</v>
      </c>
      <c r="R211" t="s">
        <v>1794</v>
      </c>
      <c r="S211" t="s">
        <v>790</v>
      </c>
      <c r="X211" t="s">
        <v>780</v>
      </c>
      <c r="Y211" t="s">
        <v>816</v>
      </c>
      <c r="Z211" t="s">
        <v>995</v>
      </c>
      <c r="AA211" s="31"/>
      <c r="AB211">
        <v>4327344</v>
      </c>
      <c r="AC211">
        <v>37442</v>
      </c>
      <c r="AD211">
        <v>42</v>
      </c>
      <c r="AE211" t="s">
        <v>44</v>
      </c>
      <c r="AF211" s="31">
        <v>45855</v>
      </c>
      <c r="AG211" s="61">
        <v>0.5997569444444445</v>
      </c>
      <c r="AI211" t="s">
        <v>818</v>
      </c>
      <c r="AJ211" s="31">
        <v>45897</v>
      </c>
      <c r="AK211" s="61">
        <v>0.63119212962962967</v>
      </c>
      <c r="AO211" t="s">
        <v>1893</v>
      </c>
      <c r="AQ211" t="s">
        <v>1893</v>
      </c>
      <c r="AS211" s="31"/>
      <c r="AY211">
        <v>1</v>
      </c>
    </row>
    <row r="212" spans="1:51" x14ac:dyDescent="0.3">
      <c r="A212" t="s">
        <v>44</v>
      </c>
      <c r="B212">
        <v>494</v>
      </c>
      <c r="D212">
        <v>2354</v>
      </c>
      <c r="G212" t="s">
        <v>1894</v>
      </c>
      <c r="J212" t="s">
        <v>1895</v>
      </c>
      <c r="K212" t="s">
        <v>1895</v>
      </c>
      <c r="L212">
        <v>11910695515</v>
      </c>
      <c r="N212" t="s">
        <v>1580</v>
      </c>
      <c r="Q212" t="s">
        <v>778</v>
      </c>
      <c r="X212" t="s">
        <v>780</v>
      </c>
      <c r="Y212" t="s">
        <v>816</v>
      </c>
      <c r="Z212" t="s">
        <v>995</v>
      </c>
      <c r="AA212" s="31"/>
      <c r="AB212">
        <v>1167696</v>
      </c>
      <c r="AC212">
        <v>0</v>
      </c>
      <c r="AD212">
        <v>42</v>
      </c>
      <c r="AE212" t="s">
        <v>44</v>
      </c>
      <c r="AF212" s="31">
        <v>45855</v>
      </c>
      <c r="AG212" s="61">
        <v>0.60982638888888885</v>
      </c>
      <c r="AI212" t="s">
        <v>818</v>
      </c>
      <c r="AJ212" s="31">
        <v>45897</v>
      </c>
      <c r="AK212" s="61">
        <v>0.63295138888888891</v>
      </c>
      <c r="AO212" t="s">
        <v>1893</v>
      </c>
      <c r="AQ212" t="s">
        <v>1893</v>
      </c>
      <c r="AS212" s="31"/>
      <c r="AY212">
        <v>1</v>
      </c>
    </row>
    <row r="213" spans="1:51" x14ac:dyDescent="0.3">
      <c r="A213" t="s">
        <v>44</v>
      </c>
      <c r="B213">
        <v>495</v>
      </c>
      <c r="D213">
        <v>2356</v>
      </c>
      <c r="G213" t="s">
        <v>1896</v>
      </c>
      <c r="J213" t="s">
        <v>1897</v>
      </c>
      <c r="K213" t="s">
        <v>1897</v>
      </c>
      <c r="L213">
        <v>41984816685</v>
      </c>
      <c r="N213" t="s">
        <v>1899</v>
      </c>
      <c r="Q213" t="s">
        <v>778</v>
      </c>
      <c r="W213" t="s">
        <v>1718</v>
      </c>
      <c r="X213" t="s">
        <v>780</v>
      </c>
      <c r="Y213" t="s">
        <v>807</v>
      </c>
      <c r="AA213" s="31"/>
      <c r="AB213">
        <v>16960</v>
      </c>
      <c r="AC213">
        <v>10748</v>
      </c>
      <c r="AD213">
        <v>67</v>
      </c>
      <c r="AE213" t="s">
        <v>44</v>
      </c>
      <c r="AF213" s="31">
        <v>45855</v>
      </c>
      <c r="AG213" s="61">
        <v>0.66787037037037034</v>
      </c>
      <c r="AI213" t="s">
        <v>795</v>
      </c>
      <c r="AJ213" s="31">
        <v>45922</v>
      </c>
      <c r="AK213" s="61">
        <v>0.48292824074074081</v>
      </c>
      <c r="AL213" t="s">
        <v>858</v>
      </c>
      <c r="AM213" t="s">
        <v>1900</v>
      </c>
      <c r="AO213" t="s">
        <v>1885</v>
      </c>
      <c r="AQ213" t="s">
        <v>1885</v>
      </c>
      <c r="AR213" t="s">
        <v>1901</v>
      </c>
      <c r="AS213" s="31"/>
      <c r="AY213">
        <v>1</v>
      </c>
    </row>
    <row r="214" spans="1:51" x14ac:dyDescent="0.3">
      <c r="A214" t="s">
        <v>44</v>
      </c>
      <c r="B214">
        <v>496</v>
      </c>
      <c r="D214">
        <v>2361</v>
      </c>
      <c r="E214" t="s">
        <v>1902</v>
      </c>
      <c r="F214" t="s">
        <v>1903</v>
      </c>
      <c r="G214" t="s">
        <v>1904</v>
      </c>
      <c r="H214">
        <v>60444098000521</v>
      </c>
      <c r="J214" t="s">
        <v>1903</v>
      </c>
      <c r="K214" t="s">
        <v>1903</v>
      </c>
      <c r="L214" t="s">
        <v>1905</v>
      </c>
      <c r="N214" t="s">
        <v>1906</v>
      </c>
      <c r="Q214" t="s">
        <v>778</v>
      </c>
      <c r="R214" t="s">
        <v>1907</v>
      </c>
      <c r="S214" t="s">
        <v>790</v>
      </c>
      <c r="T214" t="s">
        <v>805</v>
      </c>
      <c r="W214" t="s">
        <v>1581</v>
      </c>
      <c r="X214" t="s">
        <v>780</v>
      </c>
      <c r="Y214" t="s">
        <v>816</v>
      </c>
      <c r="Z214" t="s">
        <v>1537</v>
      </c>
      <c r="AA214" s="31">
        <v>46052</v>
      </c>
      <c r="AB214">
        <v>16960</v>
      </c>
      <c r="AC214">
        <v>37395</v>
      </c>
      <c r="AD214">
        <v>166</v>
      </c>
      <c r="AE214" t="s">
        <v>44</v>
      </c>
      <c r="AF214" s="31">
        <v>45861</v>
      </c>
      <c r="AG214" s="61">
        <v>0.49577546296296299</v>
      </c>
      <c r="AI214" t="s">
        <v>818</v>
      </c>
      <c r="AJ214" s="31">
        <v>46027</v>
      </c>
      <c r="AK214" s="61">
        <v>0.61862268518518515</v>
      </c>
      <c r="AO214" t="s">
        <v>1885</v>
      </c>
      <c r="AP214" t="s">
        <v>44</v>
      </c>
      <c r="AQ214" t="s">
        <v>1908</v>
      </c>
      <c r="AR214" t="s">
        <v>1885</v>
      </c>
      <c r="AS214" s="31">
        <v>46003</v>
      </c>
      <c r="AY214">
        <v>1</v>
      </c>
    </row>
    <row r="215" spans="1:51" x14ac:dyDescent="0.3">
      <c r="A215" t="s">
        <v>44</v>
      </c>
      <c r="B215">
        <v>497</v>
      </c>
      <c r="D215">
        <v>2363</v>
      </c>
      <c r="F215" t="s">
        <v>1909</v>
      </c>
      <c r="G215" t="s">
        <v>1910</v>
      </c>
      <c r="H215">
        <v>8306975000154</v>
      </c>
      <c r="J215" t="s">
        <v>1909</v>
      </c>
      <c r="K215" t="s">
        <v>1909</v>
      </c>
      <c r="L215" t="s">
        <v>1911</v>
      </c>
      <c r="Q215" t="s">
        <v>778</v>
      </c>
      <c r="R215" t="s">
        <v>1912</v>
      </c>
      <c r="S215" t="s">
        <v>1027</v>
      </c>
      <c r="T215" t="s">
        <v>805</v>
      </c>
      <c r="X215" t="s">
        <v>780</v>
      </c>
      <c r="Y215" t="s">
        <v>816</v>
      </c>
      <c r="AA215" s="31"/>
      <c r="AB215">
        <v>16960</v>
      </c>
      <c r="AC215">
        <v>2455</v>
      </c>
      <c r="AD215">
        <v>64</v>
      </c>
      <c r="AE215" t="s">
        <v>44</v>
      </c>
      <c r="AF215" s="31">
        <v>45861</v>
      </c>
      <c r="AG215" s="61">
        <v>0.50347222222222221</v>
      </c>
      <c r="AI215" t="s">
        <v>818</v>
      </c>
      <c r="AJ215" s="31">
        <v>45925</v>
      </c>
      <c r="AK215" s="61">
        <v>0.62386574074074075</v>
      </c>
      <c r="AO215" t="s">
        <v>1913</v>
      </c>
      <c r="AQ215" t="s">
        <v>1908</v>
      </c>
      <c r="AR215" t="s">
        <v>1913</v>
      </c>
      <c r="AS215" s="31"/>
      <c r="AY215">
        <v>1</v>
      </c>
    </row>
    <row r="216" spans="1:51" x14ac:dyDescent="0.3">
      <c r="A216" t="s">
        <v>44</v>
      </c>
      <c r="B216">
        <v>503</v>
      </c>
      <c r="D216">
        <v>2433</v>
      </c>
      <c r="G216" t="s">
        <v>1914</v>
      </c>
      <c r="H216">
        <v>46083438000181</v>
      </c>
      <c r="J216" t="s">
        <v>1915</v>
      </c>
      <c r="K216" t="s">
        <v>1915</v>
      </c>
      <c r="L216" t="s">
        <v>1916</v>
      </c>
      <c r="N216" t="s">
        <v>1917</v>
      </c>
      <c r="Q216" t="s">
        <v>778</v>
      </c>
      <c r="T216" t="s">
        <v>805</v>
      </c>
      <c r="X216" t="s">
        <v>780</v>
      </c>
      <c r="Y216" t="s">
        <v>857</v>
      </c>
      <c r="AA216" s="31"/>
      <c r="AB216">
        <v>16960</v>
      </c>
      <c r="AC216">
        <v>998</v>
      </c>
      <c r="AD216">
        <v>29</v>
      </c>
      <c r="AE216" t="s">
        <v>44</v>
      </c>
      <c r="AF216" s="31">
        <v>45868</v>
      </c>
      <c r="AG216" s="61">
        <v>0.49329861111111112</v>
      </c>
      <c r="AI216" t="s">
        <v>795</v>
      </c>
      <c r="AJ216" s="31">
        <v>45897</v>
      </c>
      <c r="AK216" s="61">
        <v>0.69715277777777773</v>
      </c>
      <c r="AL216" t="s">
        <v>796</v>
      </c>
      <c r="AM216" t="s">
        <v>1918</v>
      </c>
      <c r="AO216" t="s">
        <v>1919</v>
      </c>
      <c r="AQ216" t="s">
        <v>1919</v>
      </c>
      <c r="AS216" s="31"/>
      <c r="AY216">
        <v>1</v>
      </c>
    </row>
    <row r="217" spans="1:51" x14ac:dyDescent="0.3">
      <c r="A217" t="s">
        <v>44</v>
      </c>
      <c r="B217">
        <v>504</v>
      </c>
      <c r="D217">
        <v>2434</v>
      </c>
      <c r="G217" t="s">
        <v>1920</v>
      </c>
      <c r="H217">
        <v>8306975000154</v>
      </c>
      <c r="J217" t="s">
        <v>1921</v>
      </c>
      <c r="K217" t="s">
        <v>1921</v>
      </c>
      <c r="L217">
        <v>5499823395</v>
      </c>
      <c r="Q217" t="s">
        <v>778</v>
      </c>
      <c r="R217" t="s">
        <v>1912</v>
      </c>
      <c r="S217" t="s">
        <v>1027</v>
      </c>
      <c r="W217" t="s">
        <v>1419</v>
      </c>
      <c r="X217" t="s">
        <v>780</v>
      </c>
      <c r="Y217" t="s">
        <v>807</v>
      </c>
      <c r="AA217" s="31"/>
      <c r="AB217">
        <v>87344</v>
      </c>
      <c r="AC217">
        <v>514788</v>
      </c>
      <c r="AD217">
        <v>41</v>
      </c>
      <c r="AE217" t="s">
        <v>44</v>
      </c>
      <c r="AF217" s="31">
        <v>45868</v>
      </c>
      <c r="AG217" s="61">
        <v>0.63407407407407412</v>
      </c>
      <c r="AI217" t="s">
        <v>795</v>
      </c>
      <c r="AJ217" s="31">
        <v>45909</v>
      </c>
      <c r="AK217" s="61">
        <v>0.64981481481481485</v>
      </c>
      <c r="AL217" t="s">
        <v>858</v>
      </c>
      <c r="AM217" t="s">
        <v>1923</v>
      </c>
      <c r="AO217" t="s">
        <v>1924</v>
      </c>
      <c r="AS217" s="31"/>
      <c r="AY217">
        <v>1</v>
      </c>
    </row>
    <row r="218" spans="1:51" x14ac:dyDescent="0.3">
      <c r="A218" t="s">
        <v>44</v>
      </c>
      <c r="B218">
        <v>505</v>
      </c>
      <c r="D218">
        <v>2436</v>
      </c>
      <c r="G218" t="s">
        <v>1925</v>
      </c>
      <c r="H218">
        <v>8306975000154</v>
      </c>
      <c r="J218" t="s">
        <v>1926</v>
      </c>
      <c r="K218" t="s">
        <v>1926</v>
      </c>
      <c r="L218">
        <v>5499823395</v>
      </c>
      <c r="Q218" t="s">
        <v>778</v>
      </c>
      <c r="R218" t="s">
        <v>1912</v>
      </c>
      <c r="S218" t="s">
        <v>1027</v>
      </c>
      <c r="X218" t="s">
        <v>780</v>
      </c>
      <c r="Y218" t="s">
        <v>857</v>
      </c>
      <c r="AA218" s="31"/>
      <c r="AB218">
        <v>1600</v>
      </c>
      <c r="AC218">
        <v>334556</v>
      </c>
      <c r="AD218">
        <v>30</v>
      </c>
      <c r="AE218" t="s">
        <v>44</v>
      </c>
      <c r="AF218" s="31">
        <v>45868</v>
      </c>
      <c r="AG218" s="61">
        <v>0.67164351851851856</v>
      </c>
      <c r="AI218" t="s">
        <v>795</v>
      </c>
      <c r="AJ218" s="31">
        <v>45898</v>
      </c>
      <c r="AK218" s="61">
        <v>0.65936342592592589</v>
      </c>
      <c r="AL218" t="s">
        <v>858</v>
      </c>
      <c r="AM218" t="s">
        <v>1927</v>
      </c>
      <c r="AO218" t="s">
        <v>1919</v>
      </c>
      <c r="AS218" s="31"/>
      <c r="AY218">
        <v>1</v>
      </c>
    </row>
    <row r="219" spans="1:51" x14ac:dyDescent="0.3">
      <c r="A219" t="s">
        <v>44</v>
      </c>
      <c r="B219">
        <v>506</v>
      </c>
      <c r="D219">
        <v>2439</v>
      </c>
      <c r="G219" t="s">
        <v>1928</v>
      </c>
      <c r="H219">
        <v>30924882000142</v>
      </c>
      <c r="J219" t="s">
        <v>1929</v>
      </c>
      <c r="K219" t="s">
        <v>1929</v>
      </c>
      <c r="N219" t="s">
        <v>1760</v>
      </c>
      <c r="Q219" t="s">
        <v>778</v>
      </c>
      <c r="T219" t="s">
        <v>805</v>
      </c>
      <c r="W219" t="s">
        <v>1704</v>
      </c>
      <c r="X219" t="s">
        <v>780</v>
      </c>
      <c r="Y219" t="s">
        <v>816</v>
      </c>
      <c r="AA219" s="31"/>
      <c r="AB219">
        <v>72240</v>
      </c>
      <c r="AC219">
        <v>2167539</v>
      </c>
      <c r="AD219">
        <v>56</v>
      </c>
      <c r="AE219" t="s">
        <v>44</v>
      </c>
      <c r="AF219" s="31">
        <v>45868</v>
      </c>
      <c r="AG219" s="61">
        <v>0.68521990740740746</v>
      </c>
      <c r="AI219" t="s">
        <v>795</v>
      </c>
      <c r="AJ219" s="31">
        <v>45924</v>
      </c>
      <c r="AK219" s="61">
        <v>0.3992013888888889</v>
      </c>
      <c r="AL219" t="s">
        <v>858</v>
      </c>
      <c r="AM219" t="s">
        <v>1930</v>
      </c>
      <c r="AO219" t="s">
        <v>1919</v>
      </c>
      <c r="AS219" s="31"/>
      <c r="AY219">
        <v>1</v>
      </c>
    </row>
    <row r="220" spans="1:51" x14ac:dyDescent="0.3">
      <c r="A220" t="s">
        <v>44</v>
      </c>
      <c r="B220">
        <v>507</v>
      </c>
      <c r="D220">
        <v>2440</v>
      </c>
      <c r="G220" t="s">
        <v>1931</v>
      </c>
      <c r="H220">
        <v>30924882000142</v>
      </c>
      <c r="J220" t="s">
        <v>1932</v>
      </c>
      <c r="K220" t="s">
        <v>1932</v>
      </c>
      <c r="L220">
        <v>11987154112</v>
      </c>
      <c r="N220" t="s">
        <v>1933</v>
      </c>
      <c r="Q220" t="s">
        <v>778</v>
      </c>
      <c r="R220" t="s">
        <v>1633</v>
      </c>
      <c r="S220" t="s">
        <v>848</v>
      </c>
      <c r="W220" t="s">
        <v>1581</v>
      </c>
      <c r="X220" t="s">
        <v>780</v>
      </c>
      <c r="Y220" t="s">
        <v>816</v>
      </c>
      <c r="AA220" s="31"/>
      <c r="AB220">
        <v>1620001</v>
      </c>
      <c r="AC220">
        <v>2900</v>
      </c>
      <c r="AD220">
        <v>56</v>
      </c>
      <c r="AE220" t="s">
        <v>44</v>
      </c>
      <c r="AF220" s="31">
        <v>45868</v>
      </c>
      <c r="AG220" s="61">
        <v>0.72228009259259263</v>
      </c>
      <c r="AI220" t="s">
        <v>795</v>
      </c>
      <c r="AJ220" s="31">
        <v>45924</v>
      </c>
      <c r="AK220" s="61">
        <v>0.38725694444444442</v>
      </c>
      <c r="AL220" t="s">
        <v>858</v>
      </c>
      <c r="AM220" t="s">
        <v>1934</v>
      </c>
      <c r="AO220" t="s">
        <v>1919</v>
      </c>
      <c r="AS220" s="31"/>
      <c r="AY220">
        <v>1</v>
      </c>
    </row>
    <row r="221" spans="1:51" x14ac:dyDescent="0.3">
      <c r="A221" t="s">
        <v>44</v>
      </c>
      <c r="B221">
        <v>508</v>
      </c>
      <c r="D221">
        <v>2442</v>
      </c>
      <c r="G221" t="s">
        <v>1935</v>
      </c>
      <c r="J221" t="s">
        <v>1811</v>
      </c>
      <c r="K221" t="s">
        <v>1811</v>
      </c>
      <c r="L221">
        <v>35993445286</v>
      </c>
      <c r="N221" t="s">
        <v>1813</v>
      </c>
      <c r="Q221" t="s">
        <v>778</v>
      </c>
      <c r="X221" t="s">
        <v>780</v>
      </c>
      <c r="Y221" t="s">
        <v>816</v>
      </c>
      <c r="AA221" s="31"/>
      <c r="AB221">
        <v>62169</v>
      </c>
      <c r="AC221">
        <v>0</v>
      </c>
      <c r="AD221">
        <v>53</v>
      </c>
      <c r="AE221" t="s">
        <v>44</v>
      </c>
      <c r="AF221" s="31">
        <v>45869</v>
      </c>
      <c r="AG221" s="61">
        <v>0.38049768518518517</v>
      </c>
      <c r="AI221" t="s">
        <v>818</v>
      </c>
      <c r="AJ221" s="31">
        <v>45922</v>
      </c>
      <c r="AK221" s="61">
        <v>0.44719907407407411</v>
      </c>
      <c r="AO221" t="s">
        <v>1937</v>
      </c>
      <c r="AQ221" t="s">
        <v>1937</v>
      </c>
      <c r="AS221" s="31"/>
      <c r="AY221">
        <v>1</v>
      </c>
    </row>
    <row r="222" spans="1:51" x14ac:dyDescent="0.3">
      <c r="A222" t="s">
        <v>44</v>
      </c>
      <c r="B222">
        <v>509</v>
      </c>
      <c r="D222">
        <v>2443</v>
      </c>
      <c r="F222" t="s">
        <v>1938</v>
      </c>
      <c r="G222" t="s">
        <v>1939</v>
      </c>
      <c r="H222">
        <v>6346005000157</v>
      </c>
      <c r="J222" t="s">
        <v>1938</v>
      </c>
      <c r="K222" t="s">
        <v>1938</v>
      </c>
      <c r="L222" t="s">
        <v>1940</v>
      </c>
      <c r="N222" t="s">
        <v>1941</v>
      </c>
      <c r="Q222" t="s">
        <v>778</v>
      </c>
      <c r="R222" t="s">
        <v>1942</v>
      </c>
      <c r="S222" t="s">
        <v>790</v>
      </c>
      <c r="T222" t="s">
        <v>805</v>
      </c>
      <c r="X222" t="s">
        <v>780</v>
      </c>
      <c r="Y222" t="s">
        <v>857</v>
      </c>
      <c r="AA222" s="31"/>
      <c r="AB222">
        <v>16960</v>
      </c>
      <c r="AC222">
        <v>67275</v>
      </c>
      <c r="AD222">
        <v>28</v>
      </c>
      <c r="AE222" t="s">
        <v>44</v>
      </c>
      <c r="AF222" s="31">
        <v>45869</v>
      </c>
      <c r="AG222" s="61">
        <v>0.49811342592592589</v>
      </c>
      <c r="AI222" t="s">
        <v>795</v>
      </c>
      <c r="AJ222" s="31">
        <v>45897</v>
      </c>
      <c r="AK222" s="61">
        <v>0.68432870370370369</v>
      </c>
      <c r="AL222" t="s">
        <v>867</v>
      </c>
      <c r="AM222" t="s">
        <v>1943</v>
      </c>
      <c r="AO222" t="s">
        <v>1944</v>
      </c>
      <c r="AQ222" t="s">
        <v>1944</v>
      </c>
      <c r="AR222" t="s">
        <v>1945</v>
      </c>
      <c r="AS222" s="31"/>
      <c r="AY222">
        <v>1</v>
      </c>
    </row>
    <row r="223" spans="1:51" x14ac:dyDescent="0.3">
      <c r="A223" t="s">
        <v>44</v>
      </c>
      <c r="B223">
        <v>510</v>
      </c>
      <c r="D223">
        <v>2446</v>
      </c>
      <c r="F223" t="s">
        <v>1946</v>
      </c>
      <c r="G223" t="s">
        <v>1947</v>
      </c>
      <c r="H223">
        <v>60315995000101</v>
      </c>
      <c r="J223" t="s">
        <v>1946</v>
      </c>
      <c r="K223" t="s">
        <v>1946</v>
      </c>
      <c r="L223" t="s">
        <v>1948</v>
      </c>
      <c r="N223" t="s">
        <v>1949</v>
      </c>
      <c r="Q223" t="s">
        <v>778</v>
      </c>
      <c r="R223" t="s">
        <v>1950</v>
      </c>
      <c r="S223" t="s">
        <v>790</v>
      </c>
      <c r="T223" t="s">
        <v>805</v>
      </c>
      <c r="X223" t="s">
        <v>780</v>
      </c>
      <c r="Y223" t="s">
        <v>857</v>
      </c>
      <c r="AA223" s="31"/>
      <c r="AB223">
        <v>94976</v>
      </c>
      <c r="AC223">
        <v>566152</v>
      </c>
      <c r="AD223">
        <v>29</v>
      </c>
      <c r="AE223" t="s">
        <v>44</v>
      </c>
      <c r="AF223" s="31">
        <v>45869</v>
      </c>
      <c r="AG223" s="61">
        <v>0.71494212962962966</v>
      </c>
      <c r="AI223" t="s">
        <v>795</v>
      </c>
      <c r="AJ223" s="31">
        <v>45898</v>
      </c>
      <c r="AK223" s="61">
        <v>0.46232638888888888</v>
      </c>
      <c r="AL223" t="s">
        <v>796</v>
      </c>
      <c r="AM223" t="s">
        <v>1951</v>
      </c>
      <c r="AO223" t="s">
        <v>1952</v>
      </c>
      <c r="AQ223" t="s">
        <v>1952</v>
      </c>
      <c r="AR223" t="s">
        <v>1953</v>
      </c>
      <c r="AS223" s="31"/>
      <c r="AY223">
        <v>1</v>
      </c>
    </row>
    <row r="224" spans="1:51" x14ac:dyDescent="0.3">
      <c r="A224" t="s">
        <v>22</v>
      </c>
      <c r="B224">
        <v>516</v>
      </c>
      <c r="D224">
        <v>2454</v>
      </c>
      <c r="G224" t="s">
        <v>1954</v>
      </c>
      <c r="H224">
        <v>72677693000162</v>
      </c>
      <c r="J224" t="s">
        <v>1955</v>
      </c>
      <c r="K224" t="s">
        <v>1955</v>
      </c>
      <c r="L224" t="s">
        <v>1956</v>
      </c>
      <c r="N224" t="s">
        <v>1957</v>
      </c>
      <c r="Q224" t="s">
        <v>778</v>
      </c>
      <c r="R224" t="s">
        <v>1958</v>
      </c>
      <c r="T224" t="s">
        <v>814</v>
      </c>
      <c r="W224" t="s">
        <v>1186</v>
      </c>
      <c r="X224" t="s">
        <v>780</v>
      </c>
      <c r="Y224" t="s">
        <v>807</v>
      </c>
      <c r="AA224" s="31"/>
      <c r="AD224">
        <v>53</v>
      </c>
      <c r="AE224" t="s">
        <v>22</v>
      </c>
      <c r="AF224" s="31">
        <v>45876</v>
      </c>
      <c r="AG224" s="61">
        <v>0.50568287037037041</v>
      </c>
      <c r="AI224" t="s">
        <v>795</v>
      </c>
      <c r="AJ224" s="31">
        <v>45929</v>
      </c>
      <c r="AK224" s="61">
        <v>0.69144675925925925</v>
      </c>
      <c r="AL224" t="s">
        <v>796</v>
      </c>
      <c r="AP224" t="s">
        <v>22</v>
      </c>
      <c r="AQ224" t="s">
        <v>1959</v>
      </c>
      <c r="AS224" s="31"/>
      <c r="AY224">
        <v>1</v>
      </c>
    </row>
    <row r="225" spans="1:51" x14ac:dyDescent="0.3">
      <c r="A225" t="s">
        <v>22</v>
      </c>
      <c r="B225">
        <v>517</v>
      </c>
      <c r="D225">
        <v>2453</v>
      </c>
      <c r="G225" t="s">
        <v>1960</v>
      </c>
      <c r="H225">
        <v>38470026000176</v>
      </c>
      <c r="J225" t="s">
        <v>1961</v>
      </c>
      <c r="K225" t="s">
        <v>1961</v>
      </c>
      <c r="L225" t="s">
        <v>1962</v>
      </c>
      <c r="N225" t="s">
        <v>1963</v>
      </c>
      <c r="Q225" t="s">
        <v>778</v>
      </c>
      <c r="R225" t="s">
        <v>923</v>
      </c>
      <c r="T225" t="s">
        <v>814</v>
      </c>
      <c r="X225" t="s">
        <v>780</v>
      </c>
      <c r="Y225" t="s">
        <v>897</v>
      </c>
      <c r="AA225" s="31"/>
      <c r="AD225">
        <v>53</v>
      </c>
      <c r="AE225" t="s">
        <v>22</v>
      </c>
      <c r="AF225" s="31">
        <v>45876</v>
      </c>
      <c r="AG225" s="61">
        <v>0.50621527777777775</v>
      </c>
      <c r="AI225" t="s">
        <v>795</v>
      </c>
      <c r="AJ225" s="31">
        <v>45929</v>
      </c>
      <c r="AK225" s="61">
        <v>0.69302083333333331</v>
      </c>
      <c r="AL225" t="s">
        <v>796</v>
      </c>
      <c r="AP225" t="s">
        <v>22</v>
      </c>
      <c r="AS225" s="31"/>
      <c r="AY225">
        <v>1</v>
      </c>
    </row>
    <row r="226" spans="1:51" x14ac:dyDescent="0.3">
      <c r="A226" t="s">
        <v>22</v>
      </c>
      <c r="B226">
        <v>518</v>
      </c>
      <c r="D226">
        <v>2456</v>
      </c>
      <c r="E226" t="s">
        <v>4705</v>
      </c>
      <c r="G226" t="s">
        <v>1965</v>
      </c>
      <c r="H226">
        <v>30340720000167</v>
      </c>
      <c r="J226" t="s">
        <v>1966</v>
      </c>
      <c r="K226" t="s">
        <v>1966</v>
      </c>
      <c r="L226">
        <v>4491813443</v>
      </c>
      <c r="N226" t="s">
        <v>1968</v>
      </c>
      <c r="Q226" t="s">
        <v>778</v>
      </c>
      <c r="T226" t="s">
        <v>791</v>
      </c>
      <c r="W226" t="s">
        <v>1581</v>
      </c>
      <c r="X226" t="s">
        <v>780</v>
      </c>
      <c r="Y226" t="s">
        <v>816</v>
      </c>
      <c r="AA226" s="31">
        <v>46112</v>
      </c>
      <c r="AB226">
        <v>27340</v>
      </c>
      <c r="AC226">
        <v>32992</v>
      </c>
      <c r="AD226">
        <v>246</v>
      </c>
      <c r="AE226" t="s">
        <v>22</v>
      </c>
      <c r="AF226" s="31">
        <v>45876</v>
      </c>
      <c r="AG226" s="61">
        <v>0.58170138888888889</v>
      </c>
      <c r="AI226" t="s">
        <v>795</v>
      </c>
      <c r="AJ226" s="31">
        <v>46122</v>
      </c>
      <c r="AK226" s="61">
        <v>0.70623842592592589</v>
      </c>
      <c r="AL226" t="s">
        <v>796</v>
      </c>
      <c r="AO226" t="s">
        <v>4706</v>
      </c>
      <c r="AP226" t="s">
        <v>22</v>
      </c>
      <c r="AQ226" t="s">
        <v>4603</v>
      </c>
      <c r="AS226" s="31">
        <v>46122</v>
      </c>
      <c r="AT226">
        <v>90</v>
      </c>
      <c r="AU226">
        <v>80</v>
      </c>
      <c r="AV226" t="s">
        <v>4707</v>
      </c>
      <c r="AW226" t="s">
        <v>1971</v>
      </c>
      <c r="AX226" t="s">
        <v>1972</v>
      </c>
      <c r="AY226">
        <v>1</v>
      </c>
    </row>
    <row r="227" spans="1:51" x14ac:dyDescent="0.3">
      <c r="A227" t="s">
        <v>22</v>
      </c>
      <c r="B227">
        <v>519</v>
      </c>
      <c r="D227">
        <v>2457</v>
      </c>
      <c r="G227" t="s">
        <v>1973</v>
      </c>
      <c r="J227" t="s">
        <v>1974</v>
      </c>
      <c r="K227" t="s">
        <v>1974</v>
      </c>
      <c r="L227">
        <v>11997633759</v>
      </c>
      <c r="N227" t="s">
        <v>1976</v>
      </c>
      <c r="Q227" t="s">
        <v>778</v>
      </c>
      <c r="X227" t="s">
        <v>780</v>
      </c>
      <c r="Y227" t="s">
        <v>807</v>
      </c>
      <c r="AA227" s="31"/>
      <c r="AD227">
        <v>34</v>
      </c>
      <c r="AE227" t="s">
        <v>22</v>
      </c>
      <c r="AF227" s="31">
        <v>45876</v>
      </c>
      <c r="AG227" s="61">
        <v>0.58745370370370376</v>
      </c>
      <c r="AI227" t="s">
        <v>795</v>
      </c>
      <c r="AJ227" s="31">
        <v>45910</v>
      </c>
      <c r="AK227" s="61">
        <v>0.67646990740740742</v>
      </c>
      <c r="AL227" t="s">
        <v>867</v>
      </c>
      <c r="AO227" t="s">
        <v>1944</v>
      </c>
      <c r="AP227" t="s">
        <v>22</v>
      </c>
      <c r="AQ227" t="s">
        <v>1959</v>
      </c>
      <c r="AS227" s="31"/>
      <c r="AY227">
        <v>1</v>
      </c>
    </row>
    <row r="228" spans="1:51" x14ac:dyDescent="0.3">
      <c r="A228" t="s">
        <v>22</v>
      </c>
      <c r="B228">
        <v>521</v>
      </c>
      <c r="D228">
        <v>2459</v>
      </c>
      <c r="G228" t="s">
        <v>1977</v>
      </c>
      <c r="H228">
        <v>7380599000428</v>
      </c>
      <c r="J228" t="s">
        <v>1978</v>
      </c>
      <c r="K228" t="s">
        <v>1978</v>
      </c>
      <c r="L228">
        <v>11982685555</v>
      </c>
      <c r="N228" t="s">
        <v>1980</v>
      </c>
      <c r="Q228" t="s">
        <v>778</v>
      </c>
      <c r="X228" t="s">
        <v>780</v>
      </c>
      <c r="Y228" t="s">
        <v>816</v>
      </c>
      <c r="AA228" s="31"/>
      <c r="AB228">
        <v>55500</v>
      </c>
      <c r="AC228">
        <v>53662</v>
      </c>
      <c r="AD228">
        <v>17</v>
      </c>
      <c r="AE228" t="s">
        <v>22</v>
      </c>
      <c r="AF228" s="31">
        <v>45877</v>
      </c>
      <c r="AG228" s="61">
        <v>0.49023148148148149</v>
      </c>
      <c r="AI228" t="s">
        <v>818</v>
      </c>
      <c r="AJ228" s="31">
        <v>45894</v>
      </c>
      <c r="AK228" s="61">
        <v>0.60188657407407409</v>
      </c>
      <c r="AO228" t="s">
        <v>1981</v>
      </c>
      <c r="AP228" t="s">
        <v>22</v>
      </c>
      <c r="AQ228" t="s">
        <v>1981</v>
      </c>
      <c r="AS228" s="31"/>
      <c r="AY228">
        <v>1</v>
      </c>
    </row>
    <row r="229" spans="1:51" x14ac:dyDescent="0.3">
      <c r="A229" t="s">
        <v>31</v>
      </c>
      <c r="B229">
        <v>531</v>
      </c>
      <c r="D229">
        <v>2475</v>
      </c>
      <c r="G229" t="s">
        <v>1982</v>
      </c>
      <c r="H229">
        <v>19733550000148</v>
      </c>
      <c r="J229" t="s">
        <v>1983</v>
      </c>
      <c r="K229" t="s">
        <v>1983</v>
      </c>
      <c r="L229" t="s">
        <v>1984</v>
      </c>
      <c r="N229" t="s">
        <v>1985</v>
      </c>
      <c r="Q229" t="s">
        <v>778</v>
      </c>
      <c r="R229" t="s">
        <v>1986</v>
      </c>
      <c r="S229" t="s">
        <v>790</v>
      </c>
      <c r="X229" t="s">
        <v>780</v>
      </c>
      <c r="Y229" t="s">
        <v>807</v>
      </c>
      <c r="AA229" s="31"/>
      <c r="AB229">
        <v>84420</v>
      </c>
      <c r="AC229">
        <v>4137</v>
      </c>
      <c r="AD229">
        <v>34</v>
      </c>
      <c r="AE229" t="s">
        <v>31</v>
      </c>
      <c r="AF229" s="31">
        <v>45889</v>
      </c>
      <c r="AG229" s="61">
        <v>0.38679398148148147</v>
      </c>
      <c r="AI229" t="s">
        <v>795</v>
      </c>
      <c r="AJ229" s="31">
        <v>45923</v>
      </c>
      <c r="AK229" s="61">
        <v>0.46545138888888887</v>
      </c>
      <c r="AL229" t="s">
        <v>867</v>
      </c>
      <c r="AO229" t="s">
        <v>1987</v>
      </c>
      <c r="AQ229" t="s">
        <v>1913</v>
      </c>
      <c r="AS229" s="31"/>
      <c r="AY229">
        <v>1</v>
      </c>
    </row>
    <row r="230" spans="1:51" x14ac:dyDescent="0.3">
      <c r="A230" t="s">
        <v>44</v>
      </c>
      <c r="B230">
        <v>532</v>
      </c>
      <c r="D230">
        <v>2478</v>
      </c>
      <c r="F230" t="s">
        <v>1988</v>
      </c>
      <c r="G230" t="s">
        <v>1989</v>
      </c>
      <c r="H230">
        <v>12902777000120</v>
      </c>
      <c r="J230" t="s">
        <v>1988</v>
      </c>
      <c r="K230" t="s">
        <v>1988</v>
      </c>
      <c r="L230" t="s">
        <v>1990</v>
      </c>
      <c r="N230" t="s">
        <v>1991</v>
      </c>
      <c r="Q230" t="s">
        <v>778</v>
      </c>
      <c r="R230" t="s">
        <v>1950</v>
      </c>
      <c r="S230" t="s">
        <v>790</v>
      </c>
      <c r="T230" t="s">
        <v>805</v>
      </c>
      <c r="X230" t="s">
        <v>780</v>
      </c>
      <c r="Y230" t="s">
        <v>857</v>
      </c>
      <c r="AA230" s="31"/>
      <c r="AB230">
        <v>16960</v>
      </c>
      <c r="AC230">
        <v>4910</v>
      </c>
      <c r="AD230">
        <v>69</v>
      </c>
      <c r="AE230" t="s">
        <v>44</v>
      </c>
      <c r="AF230" s="31">
        <v>45889</v>
      </c>
      <c r="AG230" s="61">
        <v>0.41239583333333341</v>
      </c>
      <c r="AI230" t="s">
        <v>795</v>
      </c>
      <c r="AJ230" s="31">
        <v>45958</v>
      </c>
      <c r="AK230" s="61">
        <v>0.43328703703703703</v>
      </c>
      <c r="AL230" t="s">
        <v>796</v>
      </c>
      <c r="AM230" t="s">
        <v>1992</v>
      </c>
      <c r="AO230" t="s">
        <v>1913</v>
      </c>
      <c r="AQ230" t="s">
        <v>1993</v>
      </c>
      <c r="AS230" s="31"/>
      <c r="AY230">
        <v>1</v>
      </c>
    </row>
    <row r="231" spans="1:51" x14ac:dyDescent="0.3">
      <c r="A231" t="s">
        <v>44</v>
      </c>
      <c r="B231">
        <v>534</v>
      </c>
      <c r="D231">
        <v>2481</v>
      </c>
      <c r="F231" t="s">
        <v>1994</v>
      </c>
      <c r="G231" t="s">
        <v>1995</v>
      </c>
      <c r="H231">
        <v>12589391000291</v>
      </c>
      <c r="J231" t="s">
        <v>1994</v>
      </c>
      <c r="K231" t="s">
        <v>1994</v>
      </c>
      <c r="L231" t="s">
        <v>1996</v>
      </c>
      <c r="N231" t="s">
        <v>1997</v>
      </c>
      <c r="Q231" t="s">
        <v>778</v>
      </c>
      <c r="R231" t="s">
        <v>1998</v>
      </c>
      <c r="S231" t="s">
        <v>790</v>
      </c>
      <c r="T231" t="s">
        <v>805</v>
      </c>
      <c r="W231" t="s">
        <v>1999</v>
      </c>
      <c r="X231" t="s">
        <v>780</v>
      </c>
      <c r="Y231" t="s">
        <v>857</v>
      </c>
      <c r="AA231" s="31"/>
      <c r="AB231">
        <v>16960</v>
      </c>
      <c r="AC231">
        <v>56568</v>
      </c>
      <c r="AD231">
        <v>20</v>
      </c>
      <c r="AE231" t="s">
        <v>44</v>
      </c>
      <c r="AF231" s="31">
        <v>45889</v>
      </c>
      <c r="AG231" s="61">
        <v>0.41663194444444451</v>
      </c>
      <c r="AI231" t="s">
        <v>795</v>
      </c>
      <c r="AJ231" s="31">
        <v>45909</v>
      </c>
      <c r="AK231" s="61">
        <v>0.6489583333333333</v>
      </c>
      <c r="AL231" t="s">
        <v>858</v>
      </c>
      <c r="AM231" t="s">
        <v>2000</v>
      </c>
      <c r="AO231" t="s">
        <v>2001</v>
      </c>
      <c r="AQ231" t="s">
        <v>2002</v>
      </c>
      <c r="AS231" s="31"/>
      <c r="AY231">
        <v>1</v>
      </c>
    </row>
    <row r="232" spans="1:51" x14ac:dyDescent="0.3">
      <c r="A232" t="s">
        <v>44</v>
      </c>
      <c r="B232">
        <v>537</v>
      </c>
      <c r="D232">
        <v>2486</v>
      </c>
      <c r="E232" t="s">
        <v>2003</v>
      </c>
      <c r="G232" t="s">
        <v>2004</v>
      </c>
      <c r="H232">
        <v>4049280000183</v>
      </c>
      <c r="J232" t="s">
        <v>2005</v>
      </c>
      <c r="K232" t="s">
        <v>2005</v>
      </c>
      <c r="L232">
        <v>11973107041</v>
      </c>
      <c r="N232" t="s">
        <v>2007</v>
      </c>
      <c r="Q232" t="s">
        <v>778</v>
      </c>
      <c r="R232" t="s">
        <v>1596</v>
      </c>
      <c r="S232" t="s">
        <v>790</v>
      </c>
      <c r="W232" t="s">
        <v>1704</v>
      </c>
      <c r="X232" t="s">
        <v>780</v>
      </c>
      <c r="Y232" t="s">
        <v>816</v>
      </c>
      <c r="AA232" s="31">
        <v>46038</v>
      </c>
      <c r="AB232">
        <v>51300</v>
      </c>
      <c r="AC232">
        <v>17345</v>
      </c>
      <c r="AD232">
        <v>160</v>
      </c>
      <c r="AE232" t="s">
        <v>44</v>
      </c>
      <c r="AF232" s="31">
        <v>45889</v>
      </c>
      <c r="AG232" s="61">
        <v>0.44634259259259262</v>
      </c>
      <c r="AI232" t="s">
        <v>818</v>
      </c>
      <c r="AJ232" s="31">
        <v>46049</v>
      </c>
      <c r="AK232" s="61">
        <v>0.70980324074074075</v>
      </c>
      <c r="AN232" t="s">
        <v>2008</v>
      </c>
      <c r="AO232" t="s">
        <v>2008</v>
      </c>
      <c r="AP232" t="s">
        <v>44</v>
      </c>
      <c r="AQ232" t="s">
        <v>2009</v>
      </c>
      <c r="AS232" s="31">
        <v>46028</v>
      </c>
      <c r="AY232">
        <v>1</v>
      </c>
    </row>
    <row r="233" spans="1:51" x14ac:dyDescent="0.3">
      <c r="A233" t="s">
        <v>44</v>
      </c>
      <c r="B233">
        <v>539</v>
      </c>
      <c r="D233">
        <v>2490</v>
      </c>
      <c r="F233" t="s">
        <v>2010</v>
      </c>
      <c r="G233" t="s">
        <v>2011</v>
      </c>
      <c r="H233">
        <v>39679781000128</v>
      </c>
      <c r="J233" t="s">
        <v>2010</v>
      </c>
      <c r="K233" t="s">
        <v>2010</v>
      </c>
      <c r="L233" t="s">
        <v>2012</v>
      </c>
      <c r="N233" t="s">
        <v>2013</v>
      </c>
      <c r="Q233" t="s">
        <v>778</v>
      </c>
      <c r="R233" t="s">
        <v>1094</v>
      </c>
      <c r="S233" t="s">
        <v>790</v>
      </c>
      <c r="T233" t="s">
        <v>805</v>
      </c>
      <c r="X233" t="s">
        <v>780</v>
      </c>
      <c r="Y233" t="s">
        <v>857</v>
      </c>
      <c r="AA233" s="31"/>
      <c r="AB233">
        <v>67840</v>
      </c>
      <c r="AC233">
        <v>13781</v>
      </c>
      <c r="AD233">
        <v>69</v>
      </c>
      <c r="AE233" t="s">
        <v>44</v>
      </c>
      <c r="AF233" s="31">
        <v>45889</v>
      </c>
      <c r="AG233" s="61">
        <v>0.46962962962962962</v>
      </c>
      <c r="AI233" t="s">
        <v>795</v>
      </c>
      <c r="AJ233" s="31">
        <v>45958</v>
      </c>
      <c r="AK233" s="61">
        <v>0.43357638888888889</v>
      </c>
      <c r="AL233" t="s">
        <v>858</v>
      </c>
      <c r="AM233" t="s">
        <v>967</v>
      </c>
      <c r="AO233" t="s">
        <v>2002</v>
      </c>
      <c r="AS233" s="31"/>
      <c r="AY233">
        <v>1</v>
      </c>
    </row>
    <row r="234" spans="1:51" x14ac:dyDescent="0.3">
      <c r="A234" t="s">
        <v>44</v>
      </c>
      <c r="B234">
        <v>540</v>
      </c>
      <c r="D234">
        <v>2493</v>
      </c>
      <c r="F234" t="s">
        <v>2014</v>
      </c>
      <c r="G234" t="s">
        <v>2015</v>
      </c>
      <c r="H234">
        <v>43066372000204</v>
      </c>
      <c r="J234" t="s">
        <v>2014</v>
      </c>
      <c r="K234" t="s">
        <v>2014</v>
      </c>
      <c r="L234" t="s">
        <v>2016</v>
      </c>
      <c r="N234" t="s">
        <v>2017</v>
      </c>
      <c r="Q234" t="s">
        <v>778</v>
      </c>
      <c r="R234" t="s">
        <v>2018</v>
      </c>
      <c r="S234" t="s">
        <v>790</v>
      </c>
      <c r="T234" t="s">
        <v>805</v>
      </c>
      <c r="X234" t="s">
        <v>780</v>
      </c>
      <c r="Y234" t="s">
        <v>857</v>
      </c>
      <c r="AA234" s="31"/>
      <c r="AB234">
        <v>16960</v>
      </c>
      <c r="AC234">
        <v>37712</v>
      </c>
      <c r="AD234">
        <v>71</v>
      </c>
      <c r="AE234" t="s">
        <v>44</v>
      </c>
      <c r="AF234" s="31">
        <v>45889</v>
      </c>
      <c r="AG234" s="61">
        <v>0.4788310185185185</v>
      </c>
      <c r="AI234" t="s">
        <v>795</v>
      </c>
      <c r="AJ234" s="31">
        <v>45960</v>
      </c>
      <c r="AK234" s="61">
        <v>0.42280092592592589</v>
      </c>
      <c r="AL234" t="s">
        <v>796</v>
      </c>
      <c r="AM234" t="s">
        <v>2019</v>
      </c>
      <c r="AO234" t="s">
        <v>2020</v>
      </c>
      <c r="AQ234" t="s">
        <v>2021</v>
      </c>
      <c r="AS234" s="31"/>
      <c r="AY234">
        <v>1</v>
      </c>
    </row>
    <row r="235" spans="1:51" x14ac:dyDescent="0.3">
      <c r="A235" t="s">
        <v>44</v>
      </c>
      <c r="B235">
        <v>542</v>
      </c>
      <c r="D235">
        <v>2496</v>
      </c>
      <c r="G235" t="s">
        <v>2022</v>
      </c>
      <c r="H235">
        <v>1715468000125</v>
      </c>
      <c r="J235" t="s">
        <v>2023</v>
      </c>
      <c r="K235" t="s">
        <v>2023</v>
      </c>
      <c r="L235">
        <v>35984074473</v>
      </c>
      <c r="N235" t="s">
        <v>2025</v>
      </c>
      <c r="Q235" t="s">
        <v>778</v>
      </c>
      <c r="R235" t="s">
        <v>2026</v>
      </c>
      <c r="S235" t="s">
        <v>1105</v>
      </c>
      <c r="W235" t="s">
        <v>1718</v>
      </c>
      <c r="X235" t="s">
        <v>780</v>
      </c>
      <c r="Y235" t="s">
        <v>793</v>
      </c>
      <c r="AA235" s="31"/>
      <c r="AB235">
        <v>212</v>
      </c>
      <c r="AC235">
        <v>69045</v>
      </c>
      <c r="AD235">
        <v>41</v>
      </c>
      <c r="AE235" t="s">
        <v>44</v>
      </c>
      <c r="AF235" s="31">
        <v>45890</v>
      </c>
      <c r="AG235" s="61">
        <v>0.39834490740740741</v>
      </c>
      <c r="AI235" t="s">
        <v>795</v>
      </c>
      <c r="AJ235" s="31">
        <v>45931</v>
      </c>
      <c r="AK235" s="61">
        <v>0.66620370370370374</v>
      </c>
      <c r="AL235" t="s">
        <v>974</v>
      </c>
      <c r="AM235" t="s">
        <v>2027</v>
      </c>
      <c r="AO235" t="s">
        <v>2002</v>
      </c>
      <c r="AQ235" t="s">
        <v>2002</v>
      </c>
      <c r="AR235" t="s">
        <v>2028</v>
      </c>
      <c r="AS235" s="31"/>
      <c r="AY235">
        <v>1</v>
      </c>
    </row>
    <row r="236" spans="1:51" x14ac:dyDescent="0.3">
      <c r="A236" t="s">
        <v>22</v>
      </c>
      <c r="B236">
        <v>545</v>
      </c>
      <c r="D236">
        <v>2464</v>
      </c>
      <c r="G236" t="s">
        <v>2029</v>
      </c>
      <c r="J236" t="s">
        <v>914</v>
      </c>
      <c r="K236" t="s">
        <v>914</v>
      </c>
      <c r="L236" t="s">
        <v>2030</v>
      </c>
      <c r="N236" t="s">
        <v>2031</v>
      </c>
      <c r="Q236" t="s">
        <v>778</v>
      </c>
      <c r="R236" t="s">
        <v>923</v>
      </c>
      <c r="T236" t="s">
        <v>814</v>
      </c>
      <c r="X236" t="s">
        <v>780</v>
      </c>
      <c r="Y236" t="s">
        <v>793</v>
      </c>
      <c r="AA236" s="31"/>
      <c r="AB236">
        <v>47500</v>
      </c>
      <c r="AC236">
        <v>28571</v>
      </c>
      <c r="AD236">
        <v>3</v>
      </c>
      <c r="AE236" t="s">
        <v>22</v>
      </c>
      <c r="AF236" s="31">
        <v>45891</v>
      </c>
      <c r="AG236" s="61">
        <v>0.68766203703703699</v>
      </c>
      <c r="AI236" t="s">
        <v>795</v>
      </c>
      <c r="AJ236" s="31">
        <v>45894</v>
      </c>
      <c r="AK236" s="61">
        <v>0.61422453703703705</v>
      </c>
      <c r="AL236" t="s">
        <v>867</v>
      </c>
      <c r="AO236" t="s">
        <v>1944</v>
      </c>
      <c r="AP236" t="s">
        <v>22</v>
      </c>
      <c r="AQ236" t="s">
        <v>1913</v>
      </c>
      <c r="AS236" s="31"/>
      <c r="AY236">
        <v>1</v>
      </c>
    </row>
    <row r="237" spans="1:51" x14ac:dyDescent="0.3">
      <c r="A237" t="s">
        <v>22</v>
      </c>
      <c r="B237">
        <v>546</v>
      </c>
      <c r="D237">
        <v>2463</v>
      </c>
      <c r="G237" t="s">
        <v>2032</v>
      </c>
      <c r="H237">
        <v>27616615000101</v>
      </c>
      <c r="J237" t="s">
        <v>2033</v>
      </c>
      <c r="K237" t="s">
        <v>2033</v>
      </c>
      <c r="L237" t="s">
        <v>2034</v>
      </c>
      <c r="N237" t="s">
        <v>2035</v>
      </c>
      <c r="Q237" t="s">
        <v>778</v>
      </c>
      <c r="R237" t="s">
        <v>2036</v>
      </c>
      <c r="T237" t="s">
        <v>814</v>
      </c>
      <c r="W237" t="s">
        <v>1198</v>
      </c>
      <c r="X237" t="s">
        <v>780</v>
      </c>
      <c r="Y237" t="s">
        <v>807</v>
      </c>
      <c r="AA237" s="31"/>
      <c r="AB237">
        <v>56000</v>
      </c>
      <c r="AC237">
        <v>340834</v>
      </c>
      <c r="AD237">
        <v>38</v>
      </c>
      <c r="AE237" t="s">
        <v>22</v>
      </c>
      <c r="AF237" s="31">
        <v>45891</v>
      </c>
      <c r="AG237" s="61">
        <v>0.68803240740740745</v>
      </c>
      <c r="AI237" t="s">
        <v>795</v>
      </c>
      <c r="AJ237" s="31">
        <v>45929</v>
      </c>
      <c r="AK237" s="61">
        <v>0.69619212962962962</v>
      </c>
      <c r="AL237" t="s">
        <v>796</v>
      </c>
      <c r="AO237" t="s">
        <v>2037</v>
      </c>
      <c r="AP237" t="s">
        <v>22</v>
      </c>
      <c r="AQ237" t="s">
        <v>2037</v>
      </c>
      <c r="AS237" s="31"/>
      <c r="AY237">
        <v>1</v>
      </c>
    </row>
    <row r="238" spans="1:51" x14ac:dyDescent="0.3">
      <c r="A238" t="s">
        <v>22</v>
      </c>
      <c r="B238">
        <v>550</v>
      </c>
      <c r="D238">
        <v>2506</v>
      </c>
      <c r="G238" t="s">
        <v>2038</v>
      </c>
      <c r="H238">
        <v>7225431000103</v>
      </c>
      <c r="J238" t="s">
        <v>2039</v>
      </c>
      <c r="K238" t="s">
        <v>2039</v>
      </c>
      <c r="L238">
        <v>49999523158</v>
      </c>
      <c r="N238" t="s">
        <v>2041</v>
      </c>
      <c r="Q238" t="s">
        <v>778</v>
      </c>
      <c r="X238" t="s">
        <v>780</v>
      </c>
      <c r="Y238" t="s">
        <v>807</v>
      </c>
      <c r="AA238" s="31"/>
      <c r="AB238">
        <v>519984</v>
      </c>
      <c r="AC238">
        <v>15378</v>
      </c>
      <c r="AD238">
        <v>0</v>
      </c>
      <c r="AE238" t="s">
        <v>22</v>
      </c>
      <c r="AF238" s="31">
        <v>45894</v>
      </c>
      <c r="AG238" s="61">
        <v>0.60456018518518517</v>
      </c>
      <c r="AI238" t="s">
        <v>795</v>
      </c>
      <c r="AJ238" s="31">
        <v>45894</v>
      </c>
      <c r="AK238" s="61">
        <v>0.60668981481481477</v>
      </c>
      <c r="AL238" t="s">
        <v>867</v>
      </c>
      <c r="AO238" t="s">
        <v>2042</v>
      </c>
      <c r="AP238" t="s">
        <v>22</v>
      </c>
      <c r="AQ238" t="s">
        <v>2042</v>
      </c>
      <c r="AS238" s="31"/>
      <c r="AY238">
        <v>1</v>
      </c>
    </row>
    <row r="239" spans="1:51" x14ac:dyDescent="0.3">
      <c r="A239" t="s">
        <v>22</v>
      </c>
      <c r="B239">
        <v>552</v>
      </c>
      <c r="D239">
        <v>2508</v>
      </c>
      <c r="E239" t="s">
        <v>2043</v>
      </c>
      <c r="G239" t="s">
        <v>2044</v>
      </c>
      <c r="H239">
        <v>17739326000138</v>
      </c>
      <c r="J239" t="s">
        <v>2045</v>
      </c>
      <c r="K239" t="s">
        <v>2045</v>
      </c>
      <c r="L239">
        <v>1633347333</v>
      </c>
      <c r="N239" t="s">
        <v>2047</v>
      </c>
      <c r="Q239" t="s">
        <v>778</v>
      </c>
      <c r="W239" t="s">
        <v>1718</v>
      </c>
      <c r="X239" t="s">
        <v>780</v>
      </c>
      <c r="Y239" t="s">
        <v>807</v>
      </c>
      <c r="AA239" s="31">
        <v>46044</v>
      </c>
      <c r="AB239">
        <v>15359994</v>
      </c>
      <c r="AC239">
        <v>924744</v>
      </c>
      <c r="AD239">
        <v>151</v>
      </c>
      <c r="AE239" t="s">
        <v>22</v>
      </c>
      <c r="AF239" s="31">
        <v>45894</v>
      </c>
      <c r="AG239" s="61">
        <v>0.61782407407407403</v>
      </c>
      <c r="AI239" t="s">
        <v>795</v>
      </c>
      <c r="AJ239" s="31">
        <v>46045</v>
      </c>
      <c r="AK239" s="61">
        <v>0.46665509259259258</v>
      </c>
      <c r="AL239" t="s">
        <v>858</v>
      </c>
      <c r="AO239" t="s">
        <v>2048</v>
      </c>
      <c r="AP239" t="s">
        <v>22</v>
      </c>
      <c r="AQ239" t="s">
        <v>2048</v>
      </c>
      <c r="AS239" s="31">
        <v>46044</v>
      </c>
      <c r="AY239">
        <v>1</v>
      </c>
    </row>
    <row r="240" spans="1:51" x14ac:dyDescent="0.3">
      <c r="A240" t="s">
        <v>22</v>
      </c>
      <c r="B240">
        <v>553</v>
      </c>
      <c r="D240">
        <v>2509</v>
      </c>
      <c r="G240" t="s">
        <v>2049</v>
      </c>
      <c r="J240" t="s">
        <v>2050</v>
      </c>
      <c r="K240" t="s">
        <v>2050</v>
      </c>
      <c r="L240">
        <v>11950946784</v>
      </c>
      <c r="N240" t="s">
        <v>1111</v>
      </c>
      <c r="Q240" t="s">
        <v>778</v>
      </c>
      <c r="X240" t="s">
        <v>780</v>
      </c>
      <c r="Y240" t="s">
        <v>816</v>
      </c>
      <c r="AA240" s="31"/>
      <c r="AB240">
        <v>9600</v>
      </c>
      <c r="AC240">
        <v>412064</v>
      </c>
      <c r="AD240">
        <v>84</v>
      </c>
      <c r="AE240" t="s">
        <v>22</v>
      </c>
      <c r="AF240" s="31">
        <v>45894</v>
      </c>
      <c r="AG240" s="61">
        <v>0.62391203703703701</v>
      </c>
      <c r="AI240" t="s">
        <v>818</v>
      </c>
      <c r="AJ240" s="31">
        <v>45978</v>
      </c>
      <c r="AK240" s="61">
        <v>0.64375000000000004</v>
      </c>
      <c r="AO240" t="s">
        <v>2048</v>
      </c>
      <c r="AP240" t="s">
        <v>22</v>
      </c>
      <c r="AQ240" t="s">
        <v>2048</v>
      </c>
      <c r="AS240" s="31"/>
      <c r="AY240">
        <v>1</v>
      </c>
    </row>
    <row r="241" spans="1:51" x14ac:dyDescent="0.3">
      <c r="A241" t="s">
        <v>44</v>
      </c>
      <c r="B241">
        <v>557</v>
      </c>
      <c r="D241">
        <v>2516</v>
      </c>
      <c r="G241" t="s">
        <v>2052</v>
      </c>
      <c r="H241">
        <v>59716480000134</v>
      </c>
      <c r="J241" t="s">
        <v>2053</v>
      </c>
      <c r="K241" t="s">
        <v>2053</v>
      </c>
      <c r="L241">
        <v>1146311986</v>
      </c>
      <c r="N241" t="s">
        <v>2055</v>
      </c>
      <c r="Q241" t="s">
        <v>778</v>
      </c>
      <c r="R241" t="s">
        <v>2056</v>
      </c>
      <c r="S241" t="s">
        <v>790</v>
      </c>
      <c r="X241" t="s">
        <v>780</v>
      </c>
      <c r="Y241" t="s">
        <v>793</v>
      </c>
      <c r="AA241" s="31"/>
      <c r="AD241">
        <v>0</v>
      </c>
      <c r="AE241" t="s">
        <v>44</v>
      </c>
      <c r="AF241" s="31">
        <v>45897</v>
      </c>
      <c r="AG241" s="61">
        <v>0.70465277777777779</v>
      </c>
      <c r="AI241" t="s">
        <v>795</v>
      </c>
      <c r="AJ241" s="31">
        <v>45897</v>
      </c>
      <c r="AK241" s="61">
        <v>0.70849537037037036</v>
      </c>
      <c r="AL241" t="s">
        <v>867</v>
      </c>
      <c r="AM241" t="s">
        <v>2057</v>
      </c>
      <c r="AO241" t="s">
        <v>2058</v>
      </c>
      <c r="AQ241" t="s">
        <v>2058</v>
      </c>
      <c r="AS241" s="31"/>
      <c r="AY241">
        <v>1</v>
      </c>
    </row>
    <row r="242" spans="1:51" x14ac:dyDescent="0.3">
      <c r="A242" t="s">
        <v>44</v>
      </c>
      <c r="B242">
        <v>558</v>
      </c>
      <c r="D242">
        <v>2518</v>
      </c>
      <c r="G242" t="s">
        <v>2059</v>
      </c>
      <c r="H242">
        <v>60315995000101</v>
      </c>
      <c r="J242" t="s">
        <v>2060</v>
      </c>
      <c r="K242" t="s">
        <v>2060</v>
      </c>
      <c r="L242">
        <v>11996823494</v>
      </c>
      <c r="N242" t="s">
        <v>2062</v>
      </c>
      <c r="Q242" t="s">
        <v>778</v>
      </c>
      <c r="R242" t="s">
        <v>1950</v>
      </c>
      <c r="S242" t="s">
        <v>790</v>
      </c>
      <c r="X242" t="s">
        <v>780</v>
      </c>
      <c r="Y242" t="s">
        <v>857</v>
      </c>
      <c r="AA242" s="31"/>
      <c r="AB242">
        <v>1600</v>
      </c>
      <c r="AC242">
        <v>323356</v>
      </c>
      <c r="AD242">
        <v>0</v>
      </c>
      <c r="AE242" t="s">
        <v>44</v>
      </c>
      <c r="AF242" s="31">
        <v>45898</v>
      </c>
      <c r="AG242" s="61">
        <v>0.44675925925925919</v>
      </c>
      <c r="AI242" t="s">
        <v>795</v>
      </c>
      <c r="AJ242" s="31">
        <v>45898</v>
      </c>
      <c r="AK242" s="61">
        <v>0.4629050925925926</v>
      </c>
      <c r="AL242" t="s">
        <v>796</v>
      </c>
      <c r="AM242" t="s">
        <v>1951</v>
      </c>
      <c r="AO242" t="s">
        <v>1953</v>
      </c>
      <c r="AQ242" t="s">
        <v>1952</v>
      </c>
      <c r="AS242" s="31"/>
      <c r="AY242">
        <v>1</v>
      </c>
    </row>
    <row r="243" spans="1:51" x14ac:dyDescent="0.3">
      <c r="A243" t="s">
        <v>44</v>
      </c>
      <c r="B243">
        <v>559</v>
      </c>
      <c r="C243">
        <v>155</v>
      </c>
      <c r="G243" t="s">
        <v>2063</v>
      </c>
      <c r="H243">
        <v>13609763000186</v>
      </c>
      <c r="I243" t="s">
        <v>870</v>
      </c>
      <c r="N243" t="s">
        <v>872</v>
      </c>
      <c r="Q243" t="s">
        <v>778</v>
      </c>
      <c r="R243" t="s">
        <v>873</v>
      </c>
      <c r="S243" t="s">
        <v>874</v>
      </c>
      <c r="X243" t="s">
        <v>780</v>
      </c>
      <c r="Y243" t="s">
        <v>857</v>
      </c>
      <c r="AA243" s="31"/>
      <c r="AB243">
        <v>16960</v>
      </c>
      <c r="AC243">
        <v>14256</v>
      </c>
      <c r="AD243">
        <v>32</v>
      </c>
      <c r="AE243" t="s">
        <v>44</v>
      </c>
      <c r="AF243" s="31">
        <v>45898</v>
      </c>
      <c r="AG243" s="61">
        <v>0.66320601851851857</v>
      </c>
      <c r="AI243" t="s">
        <v>795</v>
      </c>
      <c r="AJ243" s="31">
        <v>45930</v>
      </c>
      <c r="AK243" s="61">
        <v>0.68521990740740746</v>
      </c>
      <c r="AL243" t="s">
        <v>796</v>
      </c>
      <c r="AM243" t="s">
        <v>2064</v>
      </c>
      <c r="AO243" t="s">
        <v>2065</v>
      </c>
      <c r="AS243" s="31"/>
      <c r="AY243">
        <v>1</v>
      </c>
    </row>
    <row r="244" spans="1:51" x14ac:dyDescent="0.3">
      <c r="A244" t="s">
        <v>44</v>
      </c>
      <c r="B244">
        <v>561</v>
      </c>
      <c r="D244">
        <v>2523</v>
      </c>
      <c r="G244" t="s">
        <v>2066</v>
      </c>
      <c r="H244">
        <v>4049280000183</v>
      </c>
      <c r="J244" t="s">
        <v>2067</v>
      </c>
      <c r="K244" t="s">
        <v>2067</v>
      </c>
      <c r="L244">
        <v>11973107041</v>
      </c>
      <c r="N244" t="s">
        <v>2007</v>
      </c>
      <c r="Q244" t="s">
        <v>778</v>
      </c>
      <c r="R244" t="s">
        <v>1596</v>
      </c>
      <c r="S244" t="s">
        <v>790</v>
      </c>
      <c r="X244" t="s">
        <v>780</v>
      </c>
      <c r="Y244" t="s">
        <v>816</v>
      </c>
      <c r="AA244" s="31"/>
      <c r="AB244">
        <v>1600</v>
      </c>
      <c r="AC244">
        <v>390556</v>
      </c>
      <c r="AD244">
        <v>61</v>
      </c>
      <c r="AE244" t="s">
        <v>44</v>
      </c>
      <c r="AF244" s="31">
        <v>45898</v>
      </c>
      <c r="AG244" s="61">
        <v>0.69483796296296296</v>
      </c>
      <c r="AI244" t="s">
        <v>795</v>
      </c>
      <c r="AJ244" s="31">
        <v>45959</v>
      </c>
      <c r="AK244" s="61">
        <v>0.44239583333333332</v>
      </c>
      <c r="AL244" t="s">
        <v>858</v>
      </c>
      <c r="AM244" t="s">
        <v>2068</v>
      </c>
      <c r="AN244" t="s">
        <v>2008</v>
      </c>
      <c r="AO244" t="s">
        <v>2008</v>
      </c>
      <c r="AQ244" t="s">
        <v>2009</v>
      </c>
      <c r="AS244" s="31"/>
      <c r="AY244">
        <v>1</v>
      </c>
    </row>
    <row r="245" spans="1:51" x14ac:dyDescent="0.3">
      <c r="A245" t="s">
        <v>44</v>
      </c>
      <c r="B245">
        <v>562</v>
      </c>
      <c r="D245">
        <v>2526</v>
      </c>
      <c r="G245" t="s">
        <v>2069</v>
      </c>
      <c r="H245">
        <v>1715468000125</v>
      </c>
      <c r="J245" t="s">
        <v>2070</v>
      </c>
      <c r="K245" t="s">
        <v>2070</v>
      </c>
      <c r="L245">
        <v>35984074473</v>
      </c>
      <c r="N245" t="s">
        <v>2025</v>
      </c>
      <c r="Q245" t="s">
        <v>778</v>
      </c>
      <c r="R245" t="s">
        <v>2026</v>
      </c>
      <c r="S245" t="s">
        <v>1105</v>
      </c>
      <c r="X245" t="s">
        <v>780</v>
      </c>
      <c r="Y245" t="s">
        <v>857</v>
      </c>
      <c r="AA245" s="31"/>
      <c r="AB245">
        <v>1600</v>
      </c>
      <c r="AC245">
        <v>480156</v>
      </c>
      <c r="AD245">
        <v>33</v>
      </c>
      <c r="AE245" t="s">
        <v>44</v>
      </c>
      <c r="AF245" s="31">
        <v>45898</v>
      </c>
      <c r="AG245" s="61">
        <v>0.70328703703703699</v>
      </c>
      <c r="AI245" t="s">
        <v>795</v>
      </c>
      <c r="AJ245" s="31">
        <v>45931</v>
      </c>
      <c r="AK245" s="61">
        <v>0.66589120370370369</v>
      </c>
      <c r="AL245" t="s">
        <v>974</v>
      </c>
      <c r="AM245" t="s">
        <v>2027</v>
      </c>
      <c r="AO245" t="s">
        <v>2002</v>
      </c>
      <c r="AS245" s="31"/>
      <c r="AY245">
        <v>1</v>
      </c>
    </row>
    <row r="246" spans="1:51" x14ac:dyDescent="0.3">
      <c r="A246" t="s">
        <v>44</v>
      </c>
      <c r="B246">
        <v>563</v>
      </c>
      <c r="D246">
        <v>2530</v>
      </c>
      <c r="G246" t="s">
        <v>2071</v>
      </c>
      <c r="H246">
        <v>1715468000125</v>
      </c>
      <c r="J246" t="s">
        <v>2072</v>
      </c>
      <c r="K246" t="s">
        <v>2072</v>
      </c>
      <c r="L246">
        <v>35984074473</v>
      </c>
      <c r="N246" t="s">
        <v>2025</v>
      </c>
      <c r="Q246" t="s">
        <v>778</v>
      </c>
      <c r="R246" t="s">
        <v>2026</v>
      </c>
      <c r="S246" t="s">
        <v>1105</v>
      </c>
      <c r="X246" t="s">
        <v>780</v>
      </c>
      <c r="Y246" t="s">
        <v>857</v>
      </c>
      <c r="AA246" s="31"/>
      <c r="AB246">
        <v>93280</v>
      </c>
      <c r="AC246">
        <v>1163416</v>
      </c>
      <c r="AD246">
        <v>33</v>
      </c>
      <c r="AE246" t="s">
        <v>44</v>
      </c>
      <c r="AF246" s="31">
        <v>45898</v>
      </c>
      <c r="AG246" s="61">
        <v>0.70486111111111116</v>
      </c>
      <c r="AI246" t="s">
        <v>795</v>
      </c>
      <c r="AJ246" s="31">
        <v>45931</v>
      </c>
      <c r="AK246" s="61">
        <v>0.66553240740740738</v>
      </c>
      <c r="AL246" t="s">
        <v>974</v>
      </c>
      <c r="AM246" t="s">
        <v>2027</v>
      </c>
      <c r="AO246" t="s">
        <v>2002</v>
      </c>
      <c r="AS246" s="31"/>
      <c r="AY246">
        <v>1</v>
      </c>
    </row>
    <row r="247" spans="1:51" x14ac:dyDescent="0.3">
      <c r="A247" t="s">
        <v>44</v>
      </c>
      <c r="B247">
        <v>564</v>
      </c>
      <c r="D247">
        <v>2534</v>
      </c>
      <c r="G247" t="s">
        <v>2073</v>
      </c>
      <c r="J247" t="s">
        <v>2074</v>
      </c>
      <c r="K247" t="s">
        <v>2074</v>
      </c>
      <c r="L247">
        <v>1532833659</v>
      </c>
      <c r="N247" t="s">
        <v>1997</v>
      </c>
      <c r="Q247" t="s">
        <v>778</v>
      </c>
      <c r="X247" t="s">
        <v>780</v>
      </c>
      <c r="Y247" t="s">
        <v>857</v>
      </c>
      <c r="AA247" s="31"/>
      <c r="AB247">
        <v>16200</v>
      </c>
      <c r="AC247">
        <v>2160</v>
      </c>
      <c r="AD247">
        <v>11</v>
      </c>
      <c r="AE247" t="s">
        <v>44</v>
      </c>
      <c r="AF247" s="31">
        <v>45898</v>
      </c>
      <c r="AG247" s="61">
        <v>0.73826388888888894</v>
      </c>
      <c r="AI247" t="s">
        <v>795</v>
      </c>
      <c r="AJ247" s="31">
        <v>45909</v>
      </c>
      <c r="AK247" s="61">
        <v>0.6477546296296296</v>
      </c>
      <c r="AL247" t="s">
        <v>858</v>
      </c>
      <c r="AM247" t="s">
        <v>2000</v>
      </c>
      <c r="AO247" t="s">
        <v>2001</v>
      </c>
      <c r="AS247" s="31"/>
      <c r="AY247">
        <v>1</v>
      </c>
    </row>
    <row r="248" spans="1:51" x14ac:dyDescent="0.3">
      <c r="A248" t="s">
        <v>31</v>
      </c>
      <c r="B248">
        <v>566</v>
      </c>
      <c r="D248">
        <v>2538</v>
      </c>
      <c r="F248" t="s">
        <v>2076</v>
      </c>
      <c r="G248" t="s">
        <v>2077</v>
      </c>
      <c r="H248">
        <v>46964028000140</v>
      </c>
      <c r="J248" t="s">
        <v>2076</v>
      </c>
      <c r="K248" t="s">
        <v>2076</v>
      </c>
      <c r="L248" t="s">
        <v>2078</v>
      </c>
      <c r="N248" t="s">
        <v>2079</v>
      </c>
      <c r="Q248" t="s">
        <v>778</v>
      </c>
      <c r="R248" t="s">
        <v>2080</v>
      </c>
      <c r="S248" t="s">
        <v>956</v>
      </c>
      <c r="T248" t="s">
        <v>805</v>
      </c>
      <c r="X248" t="s">
        <v>780</v>
      </c>
      <c r="Y248" t="s">
        <v>857</v>
      </c>
      <c r="AA248" s="31"/>
      <c r="AD248">
        <v>28</v>
      </c>
      <c r="AE248" t="s">
        <v>31</v>
      </c>
      <c r="AF248" s="31">
        <v>45902</v>
      </c>
      <c r="AG248" s="61">
        <v>0.39876157407407409</v>
      </c>
      <c r="AI248" t="s">
        <v>795</v>
      </c>
      <c r="AJ248" s="31">
        <v>45930</v>
      </c>
      <c r="AK248" s="61">
        <v>0.40609953703703711</v>
      </c>
      <c r="AL248" t="s">
        <v>867</v>
      </c>
      <c r="AS248" s="31"/>
      <c r="AY248">
        <v>1</v>
      </c>
    </row>
    <row r="249" spans="1:51" x14ac:dyDescent="0.3">
      <c r="A249" t="s">
        <v>31</v>
      </c>
      <c r="B249">
        <v>567</v>
      </c>
      <c r="D249">
        <v>2541</v>
      </c>
      <c r="F249" t="s">
        <v>2081</v>
      </c>
      <c r="G249" t="s">
        <v>2082</v>
      </c>
      <c r="H249">
        <v>13039863000203</v>
      </c>
      <c r="J249" t="s">
        <v>2081</v>
      </c>
      <c r="K249" t="s">
        <v>2081</v>
      </c>
      <c r="L249" t="s">
        <v>2083</v>
      </c>
      <c r="N249" t="s">
        <v>2084</v>
      </c>
      <c r="Q249" t="s">
        <v>778</v>
      </c>
      <c r="R249" t="s">
        <v>1094</v>
      </c>
      <c r="S249" t="s">
        <v>790</v>
      </c>
      <c r="T249" t="s">
        <v>805</v>
      </c>
      <c r="W249" t="s">
        <v>2085</v>
      </c>
      <c r="X249" t="s">
        <v>780</v>
      </c>
      <c r="Y249" t="s">
        <v>781</v>
      </c>
      <c r="AA249" s="31"/>
      <c r="AD249">
        <v>98</v>
      </c>
      <c r="AE249" t="s">
        <v>31</v>
      </c>
      <c r="AF249" s="31">
        <v>45902</v>
      </c>
      <c r="AG249" s="61">
        <v>0.45640046296296288</v>
      </c>
      <c r="AI249" t="s">
        <v>795</v>
      </c>
      <c r="AJ249" s="31">
        <v>46000</v>
      </c>
      <c r="AK249" s="61">
        <v>0.49209490740740741</v>
      </c>
      <c r="AL249" t="s">
        <v>796</v>
      </c>
      <c r="AS249" s="31"/>
      <c r="AY249">
        <v>1</v>
      </c>
    </row>
    <row r="250" spans="1:51" x14ac:dyDescent="0.3">
      <c r="A250" t="s">
        <v>22</v>
      </c>
      <c r="B250">
        <v>575</v>
      </c>
      <c r="D250">
        <v>2547</v>
      </c>
      <c r="G250" t="s">
        <v>2086</v>
      </c>
      <c r="J250" t="s">
        <v>2087</v>
      </c>
      <c r="K250" t="s">
        <v>2087</v>
      </c>
      <c r="L250" t="s">
        <v>2088</v>
      </c>
      <c r="N250" t="s">
        <v>2089</v>
      </c>
      <c r="Q250" t="s">
        <v>778</v>
      </c>
      <c r="R250" t="s">
        <v>923</v>
      </c>
      <c r="T250" t="s">
        <v>814</v>
      </c>
      <c r="W250" t="s">
        <v>1198</v>
      </c>
      <c r="X250" t="s">
        <v>780</v>
      </c>
      <c r="Y250" t="s">
        <v>793</v>
      </c>
      <c r="AA250" s="31"/>
      <c r="AD250">
        <v>19</v>
      </c>
      <c r="AE250" t="s">
        <v>22</v>
      </c>
      <c r="AF250" s="31">
        <v>45910</v>
      </c>
      <c r="AG250" s="61">
        <v>0.65240740740740744</v>
      </c>
      <c r="AI250" t="s">
        <v>795</v>
      </c>
      <c r="AJ250" s="31">
        <v>45929</v>
      </c>
      <c r="AK250" s="61">
        <v>0.69554398148148144</v>
      </c>
      <c r="AL250" t="s">
        <v>1226</v>
      </c>
      <c r="AO250" t="s">
        <v>2037</v>
      </c>
      <c r="AP250" t="s">
        <v>22</v>
      </c>
      <c r="AQ250" t="s">
        <v>2037</v>
      </c>
      <c r="AS250" s="31"/>
      <c r="AY250">
        <v>1</v>
      </c>
    </row>
    <row r="251" spans="1:51" x14ac:dyDescent="0.3">
      <c r="A251" t="s">
        <v>44</v>
      </c>
      <c r="B251">
        <v>576</v>
      </c>
      <c r="D251">
        <v>2551</v>
      </c>
      <c r="F251" t="s">
        <v>2090</v>
      </c>
      <c r="G251" t="s">
        <v>2091</v>
      </c>
      <c r="H251">
        <v>36621794000158</v>
      </c>
      <c r="J251" t="s">
        <v>2090</v>
      </c>
      <c r="K251" t="s">
        <v>2090</v>
      </c>
      <c r="L251" t="s">
        <v>2092</v>
      </c>
      <c r="N251" t="s">
        <v>2093</v>
      </c>
      <c r="Q251" t="s">
        <v>778</v>
      </c>
      <c r="R251" t="s">
        <v>2094</v>
      </c>
      <c r="S251" t="s">
        <v>790</v>
      </c>
      <c r="T251" t="s">
        <v>805</v>
      </c>
      <c r="X251" t="s">
        <v>780</v>
      </c>
      <c r="Y251" t="s">
        <v>857</v>
      </c>
      <c r="AA251" s="31"/>
      <c r="AB251">
        <v>10176</v>
      </c>
      <c r="AC251">
        <v>2060</v>
      </c>
      <c r="AD251">
        <v>23</v>
      </c>
      <c r="AE251" t="s">
        <v>44</v>
      </c>
      <c r="AF251" s="31">
        <v>45910</v>
      </c>
      <c r="AG251" s="61">
        <v>0.66196759259259264</v>
      </c>
      <c r="AI251" t="s">
        <v>795</v>
      </c>
      <c r="AJ251" s="31">
        <v>45933</v>
      </c>
      <c r="AK251" s="61">
        <v>0.41651620370370368</v>
      </c>
      <c r="AL251" t="s">
        <v>934</v>
      </c>
      <c r="AM251" t="s">
        <v>2095</v>
      </c>
      <c r="AO251" t="s">
        <v>2096</v>
      </c>
      <c r="AQ251" t="s">
        <v>2097</v>
      </c>
      <c r="AS251" s="31"/>
      <c r="AY251">
        <v>1</v>
      </c>
    </row>
    <row r="252" spans="1:51" x14ac:dyDescent="0.3">
      <c r="A252" t="s">
        <v>22</v>
      </c>
      <c r="B252">
        <v>577</v>
      </c>
      <c r="D252">
        <v>2502</v>
      </c>
      <c r="G252" t="s">
        <v>2098</v>
      </c>
      <c r="J252" t="s">
        <v>2099</v>
      </c>
      <c r="K252" t="s">
        <v>2099</v>
      </c>
      <c r="L252" t="s">
        <v>2100</v>
      </c>
      <c r="N252" t="s">
        <v>2101</v>
      </c>
      <c r="Q252" t="s">
        <v>778</v>
      </c>
      <c r="R252" t="s">
        <v>943</v>
      </c>
      <c r="T252" t="s">
        <v>814</v>
      </c>
      <c r="W252" t="s">
        <v>1198</v>
      </c>
      <c r="X252" t="s">
        <v>780</v>
      </c>
      <c r="Y252" t="s">
        <v>807</v>
      </c>
      <c r="AA252" s="31"/>
      <c r="AD252">
        <v>0</v>
      </c>
      <c r="AE252" t="s">
        <v>22</v>
      </c>
      <c r="AF252" s="31">
        <v>45910</v>
      </c>
      <c r="AG252" s="61">
        <v>0.66309027777777774</v>
      </c>
      <c r="AI252" t="s">
        <v>795</v>
      </c>
      <c r="AJ252" s="31">
        <v>45910</v>
      </c>
      <c r="AK252" s="61">
        <v>0.66420138888888891</v>
      </c>
      <c r="AL252" t="s">
        <v>867</v>
      </c>
      <c r="AO252" t="s">
        <v>2102</v>
      </c>
      <c r="AP252" t="s">
        <v>22</v>
      </c>
      <c r="AQ252" t="s">
        <v>2102</v>
      </c>
      <c r="AS252" s="31"/>
      <c r="AY252">
        <v>1</v>
      </c>
    </row>
    <row r="253" spans="1:51" x14ac:dyDescent="0.3">
      <c r="A253" t="s">
        <v>22</v>
      </c>
      <c r="B253">
        <v>578</v>
      </c>
      <c r="D253">
        <v>2515</v>
      </c>
      <c r="G253" t="s">
        <v>2103</v>
      </c>
      <c r="J253" t="s">
        <v>2104</v>
      </c>
      <c r="K253" t="s">
        <v>2104</v>
      </c>
      <c r="L253" t="s">
        <v>2105</v>
      </c>
      <c r="N253" t="s">
        <v>2106</v>
      </c>
      <c r="Q253" t="s">
        <v>778</v>
      </c>
      <c r="R253" t="s">
        <v>923</v>
      </c>
      <c r="T253" t="s">
        <v>814</v>
      </c>
      <c r="W253" t="s">
        <v>1186</v>
      </c>
      <c r="X253" t="s">
        <v>780</v>
      </c>
      <c r="Y253" t="s">
        <v>793</v>
      </c>
      <c r="AA253" s="31"/>
      <c r="AD253">
        <v>0</v>
      </c>
      <c r="AE253" t="s">
        <v>22</v>
      </c>
      <c r="AF253" s="31">
        <v>45911</v>
      </c>
      <c r="AG253" s="61">
        <v>0.35787037037037039</v>
      </c>
      <c r="AI253" t="s">
        <v>795</v>
      </c>
      <c r="AJ253" s="31">
        <v>45911</v>
      </c>
      <c r="AK253" s="61">
        <v>0.35978009259259258</v>
      </c>
      <c r="AL253" t="s">
        <v>867</v>
      </c>
      <c r="AO253" t="s">
        <v>2107</v>
      </c>
      <c r="AQ253" t="s">
        <v>2107</v>
      </c>
      <c r="AS253" s="31"/>
      <c r="AY253">
        <v>1</v>
      </c>
    </row>
    <row r="254" spans="1:51" x14ac:dyDescent="0.3">
      <c r="A254" t="s">
        <v>44</v>
      </c>
      <c r="B254">
        <v>582</v>
      </c>
      <c r="D254">
        <v>2555</v>
      </c>
      <c r="E254" t="s">
        <v>2108</v>
      </c>
      <c r="G254" t="s">
        <v>2109</v>
      </c>
      <c r="H254">
        <v>32921219000110</v>
      </c>
      <c r="J254" t="s">
        <v>2110</v>
      </c>
      <c r="K254" t="s">
        <v>2110</v>
      </c>
      <c r="L254">
        <v>1190695515</v>
      </c>
      <c r="N254" t="s">
        <v>1580</v>
      </c>
      <c r="Q254" t="s">
        <v>778</v>
      </c>
      <c r="W254" t="s">
        <v>1581</v>
      </c>
      <c r="X254" t="s">
        <v>780</v>
      </c>
      <c r="Y254" t="s">
        <v>816</v>
      </c>
      <c r="AA254" s="31">
        <v>46055</v>
      </c>
      <c r="AB254">
        <v>1600</v>
      </c>
      <c r="AC254">
        <v>256856</v>
      </c>
      <c r="AD254">
        <v>216</v>
      </c>
      <c r="AE254" t="s">
        <v>44</v>
      </c>
      <c r="AF254" s="31">
        <v>45911</v>
      </c>
      <c r="AG254" s="61">
        <v>0.54175925925925927</v>
      </c>
      <c r="AI254" t="s">
        <v>782</v>
      </c>
      <c r="AJ254" s="31"/>
      <c r="AK254" s="61"/>
      <c r="AO254" t="s">
        <v>2112</v>
      </c>
      <c r="AP254" t="s">
        <v>44</v>
      </c>
      <c r="AQ254" t="s">
        <v>2112</v>
      </c>
      <c r="AS254" s="31">
        <v>46003</v>
      </c>
      <c r="AT254">
        <v>80</v>
      </c>
      <c r="AY254">
        <v>1</v>
      </c>
    </row>
    <row r="255" spans="1:51" x14ac:dyDescent="0.3">
      <c r="A255" t="s">
        <v>22</v>
      </c>
      <c r="B255">
        <v>583</v>
      </c>
      <c r="D255">
        <v>578</v>
      </c>
      <c r="E255" t="s">
        <v>2113</v>
      </c>
      <c r="F255" t="s">
        <v>2114</v>
      </c>
      <c r="G255" t="s">
        <v>383</v>
      </c>
      <c r="H255">
        <v>7664689000289</v>
      </c>
      <c r="J255" t="s">
        <v>2114</v>
      </c>
      <c r="K255" t="s">
        <v>2114</v>
      </c>
      <c r="L255" t="s">
        <v>2115</v>
      </c>
      <c r="N255" t="s">
        <v>2116</v>
      </c>
      <c r="Q255" t="s">
        <v>778</v>
      </c>
      <c r="R255" t="s">
        <v>2117</v>
      </c>
      <c r="S255" t="s">
        <v>1105</v>
      </c>
      <c r="T255" t="s">
        <v>805</v>
      </c>
      <c r="W255" t="s">
        <v>2118</v>
      </c>
      <c r="X255" t="s">
        <v>780</v>
      </c>
      <c r="Y255" t="s">
        <v>807</v>
      </c>
      <c r="AA255" s="31">
        <v>46142</v>
      </c>
      <c r="AB255">
        <v>100800</v>
      </c>
      <c r="AC255">
        <v>5484</v>
      </c>
      <c r="AD255">
        <v>119</v>
      </c>
      <c r="AE255" t="s">
        <v>22</v>
      </c>
      <c r="AF255" s="31">
        <v>45911</v>
      </c>
      <c r="AG255" s="61">
        <v>0.66440972222222228</v>
      </c>
      <c r="AI255" t="s">
        <v>782</v>
      </c>
      <c r="AJ255" s="31">
        <v>46030</v>
      </c>
      <c r="AK255" s="61">
        <v>0.64569444444444446</v>
      </c>
      <c r="AM255">
        <v>0</v>
      </c>
      <c r="AO255" t="s">
        <v>384</v>
      </c>
      <c r="AP255" t="s">
        <v>22</v>
      </c>
      <c r="AQ255" t="s">
        <v>384</v>
      </c>
      <c r="AS255" s="31">
        <v>46112</v>
      </c>
      <c r="AT255">
        <v>30</v>
      </c>
      <c r="AU255">
        <v>504</v>
      </c>
      <c r="AV255" t="s">
        <v>2121</v>
      </c>
      <c r="AW255" t="s">
        <v>2122</v>
      </c>
      <c r="AX255" t="s">
        <v>2123</v>
      </c>
      <c r="AY255">
        <v>1</v>
      </c>
    </row>
    <row r="256" spans="1:51" x14ac:dyDescent="0.3">
      <c r="A256" t="s">
        <v>44</v>
      </c>
      <c r="B256">
        <v>585</v>
      </c>
      <c r="D256">
        <v>2557</v>
      </c>
      <c r="G256" t="s">
        <v>2124</v>
      </c>
      <c r="J256" t="s">
        <v>2125</v>
      </c>
      <c r="K256" t="s">
        <v>2125</v>
      </c>
      <c r="L256">
        <v>44999841977</v>
      </c>
      <c r="N256" t="s">
        <v>2127</v>
      </c>
      <c r="Q256" t="s">
        <v>778</v>
      </c>
      <c r="X256" t="s">
        <v>780</v>
      </c>
      <c r="Y256" t="s">
        <v>793</v>
      </c>
      <c r="AA256" s="31"/>
      <c r="AB256">
        <v>58088</v>
      </c>
      <c r="AC256">
        <v>645602</v>
      </c>
      <c r="AD256">
        <v>13</v>
      </c>
      <c r="AE256" t="s">
        <v>44</v>
      </c>
      <c r="AF256" s="31">
        <v>45912</v>
      </c>
      <c r="AG256" s="61">
        <v>0.61721064814814819</v>
      </c>
      <c r="AI256" t="s">
        <v>795</v>
      </c>
      <c r="AJ256" s="31">
        <v>45925</v>
      </c>
      <c r="AK256" s="61">
        <v>0.67640046296296297</v>
      </c>
      <c r="AL256" t="s">
        <v>934</v>
      </c>
      <c r="AM256" t="s">
        <v>2128</v>
      </c>
      <c r="AO256" t="s">
        <v>2129</v>
      </c>
      <c r="AQ256" t="s">
        <v>2129</v>
      </c>
      <c r="AS256" s="31"/>
      <c r="AY256">
        <v>1</v>
      </c>
    </row>
    <row r="257" spans="1:51" x14ac:dyDescent="0.3">
      <c r="A257" t="s">
        <v>31</v>
      </c>
      <c r="B257">
        <v>587</v>
      </c>
      <c r="D257">
        <v>2559</v>
      </c>
      <c r="G257" t="s">
        <v>2130</v>
      </c>
      <c r="J257" t="s">
        <v>2131</v>
      </c>
      <c r="K257" t="s">
        <v>2131</v>
      </c>
      <c r="L257">
        <v>19987126669</v>
      </c>
      <c r="N257" t="s">
        <v>1111</v>
      </c>
      <c r="Q257" t="s">
        <v>778</v>
      </c>
      <c r="X257" t="s">
        <v>780</v>
      </c>
      <c r="Y257" t="s">
        <v>816</v>
      </c>
      <c r="AA257" s="31"/>
      <c r="AB257">
        <v>64200</v>
      </c>
      <c r="AC257">
        <v>254344</v>
      </c>
      <c r="AD257">
        <v>78</v>
      </c>
      <c r="AE257" t="s">
        <v>31</v>
      </c>
      <c r="AF257" s="31">
        <v>45915</v>
      </c>
      <c r="AG257" s="61">
        <v>0.4500925925925926</v>
      </c>
      <c r="AI257" t="s">
        <v>818</v>
      </c>
      <c r="AJ257" s="31">
        <v>45993</v>
      </c>
      <c r="AK257" s="61">
        <v>0.47207175925925932</v>
      </c>
      <c r="AO257" t="s">
        <v>2133</v>
      </c>
      <c r="AQ257" t="s">
        <v>2134</v>
      </c>
      <c r="AR257" t="s">
        <v>2135</v>
      </c>
      <c r="AS257" s="31"/>
      <c r="AY257">
        <v>1</v>
      </c>
    </row>
    <row r="258" spans="1:51" x14ac:dyDescent="0.3">
      <c r="A258" t="s">
        <v>44</v>
      </c>
      <c r="B258">
        <v>589</v>
      </c>
      <c r="D258">
        <v>2561</v>
      </c>
      <c r="G258" t="s">
        <v>2136</v>
      </c>
      <c r="H258">
        <v>7548592000120</v>
      </c>
      <c r="J258" t="s">
        <v>2137</v>
      </c>
      <c r="K258" t="s">
        <v>2137</v>
      </c>
      <c r="L258" t="s">
        <v>2138</v>
      </c>
      <c r="N258" t="s">
        <v>2139</v>
      </c>
      <c r="Q258" t="s">
        <v>778</v>
      </c>
      <c r="R258" t="s">
        <v>2080</v>
      </c>
      <c r="S258" t="s">
        <v>956</v>
      </c>
      <c r="T258" t="s">
        <v>814</v>
      </c>
      <c r="W258" t="s">
        <v>1186</v>
      </c>
      <c r="X258" t="s">
        <v>780</v>
      </c>
      <c r="Y258" t="s">
        <v>793</v>
      </c>
      <c r="AA258" s="31"/>
      <c r="AB258">
        <v>103032</v>
      </c>
      <c r="AC258">
        <v>696032</v>
      </c>
      <c r="AD258">
        <v>30</v>
      </c>
      <c r="AE258" t="s">
        <v>22</v>
      </c>
      <c r="AF258" s="31">
        <v>45916</v>
      </c>
      <c r="AG258" s="61">
        <v>0.40375</v>
      </c>
      <c r="AI258" t="s">
        <v>795</v>
      </c>
      <c r="AJ258" s="31">
        <v>45946</v>
      </c>
      <c r="AK258" s="61">
        <v>0.5009837962962963</v>
      </c>
      <c r="AL258" t="s">
        <v>796</v>
      </c>
      <c r="AM258" t="s">
        <v>2140</v>
      </c>
      <c r="AO258" t="s">
        <v>2141</v>
      </c>
      <c r="AP258" t="s">
        <v>44</v>
      </c>
      <c r="AQ258" t="s">
        <v>2142</v>
      </c>
      <c r="AR258" t="s">
        <v>2141</v>
      </c>
      <c r="AS258" s="31"/>
      <c r="AY258">
        <v>1</v>
      </c>
    </row>
    <row r="259" spans="1:51" x14ac:dyDescent="0.3">
      <c r="A259" t="s">
        <v>44</v>
      </c>
      <c r="B259">
        <v>590</v>
      </c>
      <c r="D259">
        <v>2561</v>
      </c>
      <c r="G259" t="s">
        <v>2143</v>
      </c>
      <c r="H259">
        <v>7548592000120</v>
      </c>
      <c r="J259" t="s">
        <v>2137</v>
      </c>
      <c r="K259" t="s">
        <v>2137</v>
      </c>
      <c r="L259" t="s">
        <v>2138</v>
      </c>
      <c r="N259" t="s">
        <v>2139</v>
      </c>
      <c r="Q259" t="s">
        <v>778</v>
      </c>
      <c r="R259" t="s">
        <v>2080</v>
      </c>
      <c r="S259" t="s">
        <v>956</v>
      </c>
      <c r="T259" t="s">
        <v>814</v>
      </c>
      <c r="W259" t="s">
        <v>1186</v>
      </c>
      <c r="X259" t="s">
        <v>780</v>
      </c>
      <c r="Y259" t="s">
        <v>781</v>
      </c>
      <c r="AA259" s="31"/>
      <c r="AD259">
        <v>0</v>
      </c>
      <c r="AE259" t="s">
        <v>44</v>
      </c>
      <c r="AF259" s="31">
        <v>45916</v>
      </c>
      <c r="AG259" s="61">
        <v>0.4065509259259259</v>
      </c>
      <c r="AI259" t="s">
        <v>795</v>
      </c>
      <c r="AJ259" s="31">
        <v>45916</v>
      </c>
      <c r="AK259" s="61">
        <v>0.41540509259259262</v>
      </c>
      <c r="AL259" t="s">
        <v>1226</v>
      </c>
      <c r="AM259" t="s">
        <v>2144</v>
      </c>
      <c r="AS259" s="31"/>
      <c r="AY259">
        <v>1</v>
      </c>
    </row>
    <row r="260" spans="1:51" x14ac:dyDescent="0.3">
      <c r="A260" t="s">
        <v>44</v>
      </c>
      <c r="B260">
        <v>597</v>
      </c>
      <c r="D260">
        <v>2571</v>
      </c>
      <c r="F260" t="s">
        <v>2145</v>
      </c>
      <c r="G260" t="s">
        <v>2146</v>
      </c>
      <c r="H260">
        <v>49872306000127</v>
      </c>
      <c r="J260" t="s">
        <v>2145</v>
      </c>
      <c r="K260" t="s">
        <v>2145</v>
      </c>
      <c r="L260" t="s">
        <v>2147</v>
      </c>
      <c r="N260" t="s">
        <v>2148</v>
      </c>
      <c r="Q260" t="s">
        <v>778</v>
      </c>
      <c r="R260" t="s">
        <v>2149</v>
      </c>
      <c r="S260" t="s">
        <v>790</v>
      </c>
      <c r="T260" t="s">
        <v>805</v>
      </c>
      <c r="X260" t="s">
        <v>780</v>
      </c>
      <c r="Y260" t="s">
        <v>793</v>
      </c>
      <c r="AA260" s="31"/>
      <c r="AB260">
        <v>7021439</v>
      </c>
      <c r="AC260">
        <v>37362</v>
      </c>
      <c r="AD260">
        <v>14</v>
      </c>
      <c r="AE260" t="s">
        <v>44</v>
      </c>
      <c r="AF260" s="31">
        <v>45919</v>
      </c>
      <c r="AG260" s="61">
        <v>0.65909722222222222</v>
      </c>
      <c r="AI260" t="s">
        <v>795</v>
      </c>
      <c r="AJ260" s="31">
        <v>45933</v>
      </c>
      <c r="AK260" s="61">
        <v>0.40391203703703699</v>
      </c>
      <c r="AL260" t="s">
        <v>858</v>
      </c>
      <c r="AM260" t="s">
        <v>2150</v>
      </c>
      <c r="AO260" t="s">
        <v>2096</v>
      </c>
      <c r="AQ260" t="s">
        <v>2096</v>
      </c>
      <c r="AS260" s="31"/>
      <c r="AY260">
        <v>1</v>
      </c>
    </row>
    <row r="261" spans="1:51" x14ac:dyDescent="0.3">
      <c r="A261" t="s">
        <v>22</v>
      </c>
      <c r="B261">
        <v>600</v>
      </c>
      <c r="D261">
        <v>2477</v>
      </c>
      <c r="G261" t="s">
        <v>2151</v>
      </c>
      <c r="J261" t="s">
        <v>802</v>
      </c>
      <c r="K261" t="s">
        <v>802</v>
      </c>
      <c r="L261" t="s">
        <v>2152</v>
      </c>
      <c r="N261" t="s">
        <v>2153</v>
      </c>
      <c r="Q261" t="s">
        <v>778</v>
      </c>
      <c r="R261" t="s">
        <v>923</v>
      </c>
      <c r="T261" t="s">
        <v>814</v>
      </c>
      <c r="W261" t="s">
        <v>1186</v>
      </c>
      <c r="X261" t="s">
        <v>780</v>
      </c>
      <c r="Y261" t="s">
        <v>807</v>
      </c>
      <c r="AA261" s="31"/>
      <c r="AD261">
        <v>43</v>
      </c>
      <c r="AE261" t="s">
        <v>22</v>
      </c>
      <c r="AF261" s="31">
        <v>45923</v>
      </c>
      <c r="AG261" s="61">
        <v>0.7016782407407407</v>
      </c>
      <c r="AI261" t="s">
        <v>795</v>
      </c>
      <c r="AJ261" s="31">
        <v>45966</v>
      </c>
      <c r="AK261" s="61">
        <v>0.41437499999999999</v>
      </c>
      <c r="AL261" t="s">
        <v>1226</v>
      </c>
      <c r="AO261" t="s">
        <v>2037</v>
      </c>
      <c r="AP261" t="s">
        <v>22</v>
      </c>
      <c r="AQ261" t="s">
        <v>2154</v>
      </c>
      <c r="AS261" s="31"/>
      <c r="AY261">
        <v>1</v>
      </c>
    </row>
    <row r="262" spans="1:51" x14ac:dyDescent="0.3">
      <c r="A262" t="s">
        <v>44</v>
      </c>
      <c r="B262">
        <v>601</v>
      </c>
      <c r="D262">
        <v>2579</v>
      </c>
      <c r="G262" t="s">
        <v>2155</v>
      </c>
      <c r="J262" t="s">
        <v>2156</v>
      </c>
      <c r="K262" t="s">
        <v>2156</v>
      </c>
      <c r="L262">
        <v>44999841977</v>
      </c>
      <c r="N262" t="s">
        <v>2127</v>
      </c>
      <c r="Q262" t="s">
        <v>778</v>
      </c>
      <c r="X262" t="s">
        <v>780</v>
      </c>
      <c r="Y262" t="s">
        <v>793</v>
      </c>
      <c r="AA262" s="31"/>
      <c r="AB262">
        <v>1600</v>
      </c>
      <c r="AC262">
        <v>2396</v>
      </c>
      <c r="AD262">
        <v>1</v>
      </c>
      <c r="AE262" t="s">
        <v>44</v>
      </c>
      <c r="AF262" s="31">
        <v>45924</v>
      </c>
      <c r="AG262" s="61">
        <v>0.40835648148148151</v>
      </c>
      <c r="AI262" t="s">
        <v>795</v>
      </c>
      <c r="AJ262" s="31">
        <v>45925</v>
      </c>
      <c r="AK262" s="61">
        <v>0.67701388888888892</v>
      </c>
      <c r="AL262" t="s">
        <v>934</v>
      </c>
      <c r="AM262" t="s">
        <v>2157</v>
      </c>
      <c r="AO262" t="s">
        <v>2129</v>
      </c>
      <c r="AQ262" t="s">
        <v>2129</v>
      </c>
      <c r="AS262" s="31"/>
      <c r="AY262">
        <v>1</v>
      </c>
    </row>
    <row r="263" spans="1:51" x14ac:dyDescent="0.3">
      <c r="A263" t="s">
        <v>44</v>
      </c>
      <c r="B263">
        <v>602</v>
      </c>
      <c r="D263">
        <v>2582</v>
      </c>
      <c r="F263" t="s">
        <v>2158</v>
      </c>
      <c r="G263" t="s">
        <v>2159</v>
      </c>
      <c r="H263">
        <v>11392803000155</v>
      </c>
      <c r="J263" t="s">
        <v>2158</v>
      </c>
      <c r="K263" t="s">
        <v>2158</v>
      </c>
      <c r="L263" t="s">
        <v>2160</v>
      </c>
      <c r="N263" t="s">
        <v>2161</v>
      </c>
      <c r="Q263" t="s">
        <v>778</v>
      </c>
      <c r="R263" t="s">
        <v>2162</v>
      </c>
      <c r="S263" t="s">
        <v>932</v>
      </c>
      <c r="T263" t="s">
        <v>805</v>
      </c>
      <c r="X263" t="s">
        <v>780</v>
      </c>
      <c r="Y263" t="s">
        <v>793</v>
      </c>
      <c r="AA263" s="31"/>
      <c r="AD263">
        <v>42</v>
      </c>
      <c r="AE263" t="s">
        <v>44</v>
      </c>
      <c r="AF263" s="31">
        <v>45924</v>
      </c>
      <c r="AG263" s="61">
        <v>0.59084490740740736</v>
      </c>
      <c r="AI263" t="s">
        <v>795</v>
      </c>
      <c r="AJ263" s="31">
        <v>45966</v>
      </c>
      <c r="AK263" s="61">
        <v>0.39526620370370369</v>
      </c>
      <c r="AL263" t="s">
        <v>796</v>
      </c>
      <c r="AM263" t="s">
        <v>2163</v>
      </c>
      <c r="AQ263" t="s">
        <v>2037</v>
      </c>
      <c r="AS263" s="31"/>
      <c r="AY263">
        <v>1</v>
      </c>
    </row>
    <row r="264" spans="1:51" x14ac:dyDescent="0.3">
      <c r="A264" t="s">
        <v>44</v>
      </c>
      <c r="B264">
        <v>603</v>
      </c>
      <c r="D264">
        <v>2581</v>
      </c>
      <c r="G264" t="s">
        <v>2164</v>
      </c>
      <c r="H264">
        <v>8019257000105</v>
      </c>
      <c r="J264" t="s">
        <v>2165</v>
      </c>
      <c r="K264" t="s">
        <v>2165</v>
      </c>
      <c r="N264" t="s">
        <v>2166</v>
      </c>
      <c r="Q264" t="s">
        <v>778</v>
      </c>
      <c r="R264" t="s">
        <v>2167</v>
      </c>
      <c r="T264" t="s">
        <v>933</v>
      </c>
      <c r="X264" t="s">
        <v>780</v>
      </c>
      <c r="Y264" t="s">
        <v>781</v>
      </c>
      <c r="AA264" s="31"/>
      <c r="AD264">
        <v>13</v>
      </c>
      <c r="AE264" t="s">
        <v>22</v>
      </c>
      <c r="AF264" s="31">
        <v>45924</v>
      </c>
      <c r="AG264" s="61">
        <v>0.66754629629629625</v>
      </c>
      <c r="AI264" t="s">
        <v>795</v>
      </c>
      <c r="AJ264" s="31">
        <v>45937</v>
      </c>
      <c r="AK264" s="61">
        <v>0.61364583333333333</v>
      </c>
      <c r="AL264" t="s">
        <v>858</v>
      </c>
      <c r="AM264" t="s">
        <v>2168</v>
      </c>
      <c r="AP264" t="s">
        <v>44</v>
      </c>
      <c r="AQ264" t="s">
        <v>2169</v>
      </c>
      <c r="AS264" s="31"/>
      <c r="AY264">
        <v>1</v>
      </c>
    </row>
    <row r="265" spans="1:51" x14ac:dyDescent="0.3">
      <c r="A265" t="s">
        <v>44</v>
      </c>
      <c r="B265">
        <v>604</v>
      </c>
      <c r="D265">
        <v>2580</v>
      </c>
      <c r="E265" t="s">
        <v>2170</v>
      </c>
      <c r="G265" t="s">
        <v>2171</v>
      </c>
      <c r="J265" t="s">
        <v>2165</v>
      </c>
      <c r="K265" t="s">
        <v>2165</v>
      </c>
      <c r="L265" t="s">
        <v>2172</v>
      </c>
      <c r="N265" t="s">
        <v>2173</v>
      </c>
      <c r="Q265" t="s">
        <v>778</v>
      </c>
      <c r="T265" t="s">
        <v>933</v>
      </c>
      <c r="X265" t="s">
        <v>780</v>
      </c>
      <c r="Y265" t="s">
        <v>781</v>
      </c>
      <c r="AA265" s="31"/>
      <c r="AD265">
        <v>13</v>
      </c>
      <c r="AE265" t="s">
        <v>22</v>
      </c>
      <c r="AF265" s="31">
        <v>45924</v>
      </c>
      <c r="AG265" s="61">
        <v>0.66814814814814816</v>
      </c>
      <c r="AI265" t="s">
        <v>795</v>
      </c>
      <c r="AJ265" s="31">
        <v>45937</v>
      </c>
      <c r="AK265" s="61">
        <v>0.40031250000000002</v>
      </c>
      <c r="AL265" t="s">
        <v>858</v>
      </c>
      <c r="AM265" t="s">
        <v>2174</v>
      </c>
      <c r="AP265" t="s">
        <v>44</v>
      </c>
      <c r="AQ265" t="s">
        <v>2169</v>
      </c>
      <c r="AS265" s="31"/>
      <c r="AY265">
        <v>1</v>
      </c>
    </row>
    <row r="266" spans="1:51" x14ac:dyDescent="0.3">
      <c r="A266" t="s">
        <v>44</v>
      </c>
      <c r="B266">
        <v>607</v>
      </c>
      <c r="D266">
        <v>2590</v>
      </c>
      <c r="G266" t="s">
        <v>2175</v>
      </c>
      <c r="H266">
        <v>1099426000107</v>
      </c>
      <c r="J266" t="s">
        <v>2176</v>
      </c>
      <c r="K266" t="s">
        <v>2176</v>
      </c>
      <c r="L266">
        <v>21996087296</v>
      </c>
      <c r="N266" t="s">
        <v>2178</v>
      </c>
      <c r="Q266" t="s">
        <v>778</v>
      </c>
      <c r="X266" t="s">
        <v>780</v>
      </c>
      <c r="Y266" t="s">
        <v>807</v>
      </c>
      <c r="AA266" s="31"/>
      <c r="AB266">
        <v>1600</v>
      </c>
      <c r="AC266">
        <v>3360</v>
      </c>
      <c r="AD266">
        <v>62</v>
      </c>
      <c r="AE266" t="s">
        <v>44</v>
      </c>
      <c r="AF266" s="31">
        <v>45925</v>
      </c>
      <c r="AG266" s="61">
        <v>0.66249999999999998</v>
      </c>
      <c r="AI266" t="s">
        <v>795</v>
      </c>
      <c r="AJ266" s="31">
        <v>45987</v>
      </c>
      <c r="AK266" s="61">
        <v>0.59446759259259263</v>
      </c>
      <c r="AL266" t="s">
        <v>796</v>
      </c>
      <c r="AM266" t="s">
        <v>2179</v>
      </c>
      <c r="AO266" t="s">
        <v>2180</v>
      </c>
      <c r="AQ266" t="s">
        <v>2180</v>
      </c>
      <c r="AS266" s="31"/>
      <c r="AY266">
        <v>1</v>
      </c>
    </row>
    <row r="267" spans="1:51" x14ac:dyDescent="0.3">
      <c r="A267" t="s">
        <v>44</v>
      </c>
      <c r="B267">
        <v>608</v>
      </c>
      <c r="D267">
        <v>2591</v>
      </c>
      <c r="G267" t="s">
        <v>2181</v>
      </c>
      <c r="H267">
        <v>6302372000159</v>
      </c>
      <c r="J267" t="s">
        <v>2182</v>
      </c>
      <c r="K267" t="s">
        <v>2182</v>
      </c>
      <c r="L267">
        <v>31992324071</v>
      </c>
      <c r="N267" t="s">
        <v>2184</v>
      </c>
      <c r="Q267" t="s">
        <v>778</v>
      </c>
      <c r="X267" t="s">
        <v>780</v>
      </c>
      <c r="Y267" t="s">
        <v>816</v>
      </c>
      <c r="AA267" s="31"/>
      <c r="AB267">
        <v>260148</v>
      </c>
      <c r="AC267">
        <v>0</v>
      </c>
      <c r="AD267">
        <v>0</v>
      </c>
      <c r="AE267" t="s">
        <v>44</v>
      </c>
      <c r="AF267" s="31">
        <v>45925</v>
      </c>
      <c r="AG267" s="61">
        <v>0.66907407407407404</v>
      </c>
      <c r="AI267" t="s">
        <v>818</v>
      </c>
      <c r="AJ267" s="31">
        <v>45925</v>
      </c>
      <c r="AK267" s="61">
        <v>0.67554398148148154</v>
      </c>
      <c r="AO267" t="s">
        <v>2102</v>
      </c>
      <c r="AQ267" t="s">
        <v>2102</v>
      </c>
      <c r="AS267" s="31"/>
      <c r="AY267">
        <v>1</v>
      </c>
    </row>
    <row r="268" spans="1:51" x14ac:dyDescent="0.3">
      <c r="A268" t="s">
        <v>44</v>
      </c>
      <c r="B268">
        <v>609</v>
      </c>
      <c r="D268">
        <v>2592</v>
      </c>
      <c r="G268" t="s">
        <v>2185</v>
      </c>
      <c r="H268">
        <v>7548592000120</v>
      </c>
      <c r="J268" t="s">
        <v>2186</v>
      </c>
      <c r="K268" t="s">
        <v>2186</v>
      </c>
      <c r="L268">
        <v>67992503056</v>
      </c>
      <c r="N268" t="s">
        <v>2139</v>
      </c>
      <c r="Q268" t="s">
        <v>778</v>
      </c>
      <c r="R268" t="s">
        <v>2080</v>
      </c>
      <c r="S268" t="s">
        <v>956</v>
      </c>
      <c r="X268" t="s">
        <v>780</v>
      </c>
      <c r="Y268" t="s">
        <v>793</v>
      </c>
      <c r="AA268" s="31"/>
      <c r="AB268">
        <v>16200</v>
      </c>
      <c r="AC268">
        <v>2160</v>
      </c>
      <c r="AD268">
        <v>21</v>
      </c>
      <c r="AE268" t="s">
        <v>44</v>
      </c>
      <c r="AF268" s="31">
        <v>45925</v>
      </c>
      <c r="AG268" s="61">
        <v>0.6938657407407407</v>
      </c>
      <c r="AI268" t="s">
        <v>795</v>
      </c>
      <c r="AJ268" s="31">
        <v>45946</v>
      </c>
      <c r="AK268" s="61">
        <v>0.5020486111111111</v>
      </c>
      <c r="AL268" t="s">
        <v>796</v>
      </c>
      <c r="AM268" t="s">
        <v>2188</v>
      </c>
      <c r="AO268" t="s">
        <v>2141</v>
      </c>
      <c r="AQ268" t="s">
        <v>2141</v>
      </c>
      <c r="AS268" s="31"/>
      <c r="AY268">
        <v>1</v>
      </c>
    </row>
    <row r="269" spans="1:51" x14ac:dyDescent="0.3">
      <c r="A269" t="s">
        <v>44</v>
      </c>
      <c r="B269">
        <v>610</v>
      </c>
      <c r="D269">
        <v>2595</v>
      </c>
      <c r="G269" t="s">
        <v>2189</v>
      </c>
      <c r="H269">
        <v>7548592000120</v>
      </c>
      <c r="J269" t="s">
        <v>2190</v>
      </c>
      <c r="K269" t="s">
        <v>2190</v>
      </c>
      <c r="L269">
        <v>67992503056</v>
      </c>
      <c r="N269" t="s">
        <v>2139</v>
      </c>
      <c r="Q269" t="s">
        <v>778</v>
      </c>
      <c r="R269" t="s">
        <v>2080</v>
      </c>
      <c r="S269" t="s">
        <v>956</v>
      </c>
      <c r="X269" t="s">
        <v>780</v>
      </c>
      <c r="Y269" t="s">
        <v>793</v>
      </c>
      <c r="AA269" s="31"/>
      <c r="AB269">
        <v>1600</v>
      </c>
      <c r="AC269">
        <v>405552</v>
      </c>
      <c r="AD269">
        <v>21</v>
      </c>
      <c r="AE269" t="s">
        <v>44</v>
      </c>
      <c r="AF269" s="31">
        <v>45925</v>
      </c>
      <c r="AG269" s="61">
        <v>0.69575231481481481</v>
      </c>
      <c r="AI269" t="s">
        <v>795</v>
      </c>
      <c r="AJ269" s="31">
        <v>45946</v>
      </c>
      <c r="AK269" s="61">
        <v>0.50145833333333334</v>
      </c>
      <c r="AL269" t="s">
        <v>796</v>
      </c>
      <c r="AM269" t="s">
        <v>2188</v>
      </c>
      <c r="AO269" t="s">
        <v>2141</v>
      </c>
      <c r="AQ269" t="s">
        <v>2141</v>
      </c>
      <c r="AS269" s="31"/>
      <c r="AY269">
        <v>1</v>
      </c>
    </row>
    <row r="270" spans="1:51" x14ac:dyDescent="0.3">
      <c r="A270" t="s">
        <v>31</v>
      </c>
      <c r="B270">
        <v>611</v>
      </c>
      <c r="D270">
        <v>2598</v>
      </c>
      <c r="G270" t="s">
        <v>2191</v>
      </c>
      <c r="H270">
        <v>11861121000306</v>
      </c>
      <c r="J270" t="s">
        <v>2192</v>
      </c>
      <c r="K270" t="s">
        <v>2192</v>
      </c>
      <c r="L270" t="s">
        <v>2193</v>
      </c>
      <c r="N270" t="s">
        <v>2194</v>
      </c>
      <c r="Q270" t="s">
        <v>778</v>
      </c>
      <c r="R270" t="s">
        <v>923</v>
      </c>
      <c r="T270" t="s">
        <v>814</v>
      </c>
      <c r="W270" t="s">
        <v>1186</v>
      </c>
      <c r="X270" t="s">
        <v>780</v>
      </c>
      <c r="Y270" t="s">
        <v>793</v>
      </c>
      <c r="AA270" s="31"/>
      <c r="AD270">
        <v>28</v>
      </c>
      <c r="AE270" t="s">
        <v>22</v>
      </c>
      <c r="AF270" s="31">
        <v>45926</v>
      </c>
      <c r="AG270" s="61">
        <v>0.42531249999999998</v>
      </c>
      <c r="AI270" t="s">
        <v>795</v>
      </c>
      <c r="AJ270" s="31">
        <v>45954</v>
      </c>
      <c r="AK270" s="61">
        <v>0.50206018518518514</v>
      </c>
      <c r="AL270" t="s">
        <v>867</v>
      </c>
      <c r="AP270" t="s">
        <v>31</v>
      </c>
      <c r="AQ270" t="s">
        <v>2195</v>
      </c>
      <c r="AS270" s="31"/>
      <c r="AY270">
        <v>1</v>
      </c>
    </row>
    <row r="271" spans="1:51" x14ac:dyDescent="0.3">
      <c r="A271" t="s">
        <v>44</v>
      </c>
      <c r="B271">
        <v>613</v>
      </c>
      <c r="D271">
        <v>2600</v>
      </c>
      <c r="E271" t="s">
        <v>4708</v>
      </c>
      <c r="G271" t="s">
        <v>2197</v>
      </c>
      <c r="H271">
        <v>221294000181</v>
      </c>
      <c r="J271" t="s">
        <v>2198</v>
      </c>
      <c r="K271" t="s">
        <v>2198</v>
      </c>
      <c r="L271">
        <v>11997580006</v>
      </c>
      <c r="N271" t="s">
        <v>2200</v>
      </c>
      <c r="Q271" t="s">
        <v>778</v>
      </c>
      <c r="R271" t="s">
        <v>2201</v>
      </c>
      <c r="S271" t="s">
        <v>790</v>
      </c>
      <c r="W271" t="s">
        <v>1419</v>
      </c>
      <c r="X271" t="s">
        <v>780</v>
      </c>
      <c r="Y271" t="s">
        <v>807</v>
      </c>
      <c r="AA271" s="31">
        <v>46112</v>
      </c>
      <c r="AB271">
        <v>81786</v>
      </c>
      <c r="AC271">
        <v>79654</v>
      </c>
      <c r="AD271">
        <v>198</v>
      </c>
      <c r="AE271" t="s">
        <v>44</v>
      </c>
      <c r="AF271" s="31">
        <v>45929</v>
      </c>
      <c r="AG271" s="61">
        <v>0.48745370370370372</v>
      </c>
      <c r="AI271" t="s">
        <v>782</v>
      </c>
      <c r="AJ271" s="31"/>
      <c r="AK271" s="61"/>
      <c r="AN271" t="s">
        <v>2202</v>
      </c>
      <c r="AO271" t="s">
        <v>2203</v>
      </c>
      <c r="AP271" t="s">
        <v>44</v>
      </c>
      <c r="AQ271" t="s">
        <v>2037</v>
      </c>
      <c r="AS271" s="31">
        <v>46077</v>
      </c>
      <c r="AT271">
        <v>50</v>
      </c>
      <c r="AY271">
        <v>1</v>
      </c>
    </row>
    <row r="272" spans="1:51" x14ac:dyDescent="0.3">
      <c r="A272" t="s">
        <v>22</v>
      </c>
      <c r="B272">
        <v>614</v>
      </c>
      <c r="D272">
        <v>2603</v>
      </c>
      <c r="E272" t="s">
        <v>2204</v>
      </c>
      <c r="G272" t="s">
        <v>2205</v>
      </c>
      <c r="H272">
        <v>9517464000144</v>
      </c>
      <c r="J272" t="s">
        <v>2206</v>
      </c>
      <c r="K272" t="s">
        <v>2206</v>
      </c>
      <c r="N272" t="s">
        <v>2207</v>
      </c>
      <c r="Q272" t="s">
        <v>778</v>
      </c>
      <c r="W272" t="s">
        <v>2118</v>
      </c>
      <c r="X272" t="s">
        <v>780</v>
      </c>
      <c r="Y272" t="s">
        <v>807</v>
      </c>
      <c r="AA272" s="31">
        <v>46112</v>
      </c>
      <c r="AB272">
        <v>254760</v>
      </c>
      <c r="AC272">
        <v>1578632</v>
      </c>
      <c r="AD272">
        <v>131</v>
      </c>
      <c r="AE272" t="s">
        <v>22</v>
      </c>
      <c r="AF272" s="31">
        <v>45929</v>
      </c>
      <c r="AG272" s="61">
        <v>0.72163194444444445</v>
      </c>
      <c r="AI272" t="s">
        <v>795</v>
      </c>
      <c r="AJ272" s="31">
        <v>46060</v>
      </c>
      <c r="AK272" s="61">
        <v>0.36658564814814809</v>
      </c>
      <c r="AL272" t="s">
        <v>858</v>
      </c>
      <c r="AM272" t="s">
        <v>2208</v>
      </c>
      <c r="AO272" t="s">
        <v>2209</v>
      </c>
      <c r="AP272" t="s">
        <v>22</v>
      </c>
      <c r="AQ272" t="s">
        <v>2209</v>
      </c>
      <c r="AS272" s="31">
        <v>46060</v>
      </c>
      <c r="AT272">
        <v>30</v>
      </c>
      <c r="AY272">
        <v>1</v>
      </c>
    </row>
    <row r="273" spans="1:51" x14ac:dyDescent="0.3">
      <c r="A273" t="s">
        <v>22</v>
      </c>
      <c r="B273">
        <v>615</v>
      </c>
      <c r="D273">
        <v>2604</v>
      </c>
      <c r="G273" t="s">
        <v>2210</v>
      </c>
      <c r="H273">
        <v>73114894000114</v>
      </c>
      <c r="J273" t="s">
        <v>2211</v>
      </c>
      <c r="K273" t="s">
        <v>2211</v>
      </c>
      <c r="N273" t="s">
        <v>2212</v>
      </c>
      <c r="Q273" t="s">
        <v>778</v>
      </c>
      <c r="X273" t="s">
        <v>780</v>
      </c>
      <c r="Y273" t="s">
        <v>807</v>
      </c>
      <c r="AA273" s="31"/>
      <c r="AD273">
        <v>0</v>
      </c>
      <c r="AE273" t="s">
        <v>22</v>
      </c>
      <c r="AF273" s="31">
        <v>45929</v>
      </c>
      <c r="AG273" s="61">
        <v>0.72408564814814813</v>
      </c>
      <c r="AI273" t="s">
        <v>795</v>
      </c>
      <c r="AJ273" s="31">
        <v>45929</v>
      </c>
      <c r="AK273" s="61">
        <v>0.72424768518518523</v>
      </c>
      <c r="AL273" t="s">
        <v>867</v>
      </c>
      <c r="AO273" t="s">
        <v>2213</v>
      </c>
      <c r="AP273" t="s">
        <v>22</v>
      </c>
      <c r="AQ273" t="s">
        <v>2213</v>
      </c>
      <c r="AS273" s="31"/>
      <c r="AY273">
        <v>1</v>
      </c>
    </row>
    <row r="274" spans="1:51" x14ac:dyDescent="0.3">
      <c r="A274" t="s">
        <v>22</v>
      </c>
      <c r="B274">
        <v>616</v>
      </c>
      <c r="D274">
        <v>2605</v>
      </c>
      <c r="G274" t="s">
        <v>2214</v>
      </c>
      <c r="H274">
        <v>18628799000120</v>
      </c>
      <c r="J274" t="s">
        <v>2215</v>
      </c>
      <c r="K274" t="s">
        <v>2215</v>
      </c>
      <c r="L274" t="s">
        <v>2216</v>
      </c>
      <c r="N274" t="s">
        <v>2217</v>
      </c>
      <c r="Q274" t="s">
        <v>778</v>
      </c>
      <c r="R274" t="s">
        <v>1094</v>
      </c>
      <c r="S274" t="s">
        <v>790</v>
      </c>
      <c r="X274" t="s">
        <v>780</v>
      </c>
      <c r="Y274" t="s">
        <v>807</v>
      </c>
      <c r="AA274" s="31"/>
      <c r="AD274">
        <v>37</v>
      </c>
      <c r="AE274" t="s">
        <v>22</v>
      </c>
      <c r="AF274" s="31">
        <v>45929</v>
      </c>
      <c r="AG274" s="61">
        <v>0.72835648148148147</v>
      </c>
      <c r="AI274" t="s">
        <v>795</v>
      </c>
      <c r="AJ274" s="31">
        <v>45966</v>
      </c>
      <c r="AK274" s="61">
        <v>0.41305555555555562</v>
      </c>
      <c r="AL274" t="s">
        <v>1226</v>
      </c>
      <c r="AO274" t="s">
        <v>2142</v>
      </c>
      <c r="AP274" t="s">
        <v>22</v>
      </c>
      <c r="AQ274" t="s">
        <v>2209</v>
      </c>
      <c r="AS274" s="31"/>
      <c r="AY274">
        <v>1</v>
      </c>
    </row>
    <row r="275" spans="1:51" x14ac:dyDescent="0.3">
      <c r="A275" t="s">
        <v>44</v>
      </c>
      <c r="B275">
        <v>618</v>
      </c>
      <c r="D275">
        <v>2609</v>
      </c>
      <c r="G275" t="s">
        <v>2218</v>
      </c>
      <c r="H275">
        <v>49872306000127</v>
      </c>
      <c r="J275" t="s">
        <v>2219</v>
      </c>
      <c r="K275" t="s">
        <v>2219</v>
      </c>
      <c r="L275">
        <v>1432131100</v>
      </c>
      <c r="N275" t="s">
        <v>2148</v>
      </c>
      <c r="Q275" t="s">
        <v>778</v>
      </c>
      <c r="R275" t="s">
        <v>2149</v>
      </c>
      <c r="S275" t="s">
        <v>790</v>
      </c>
      <c r="X275" t="s">
        <v>780</v>
      </c>
      <c r="Y275" t="s">
        <v>793</v>
      </c>
      <c r="AA275" s="31"/>
      <c r="AB275">
        <v>1600</v>
      </c>
      <c r="AC275">
        <v>2468</v>
      </c>
      <c r="AD275">
        <v>3</v>
      </c>
      <c r="AE275" t="s">
        <v>44</v>
      </c>
      <c r="AF275" s="31">
        <v>45930</v>
      </c>
      <c r="AG275" s="61">
        <v>0.60990740740740745</v>
      </c>
      <c r="AI275" t="s">
        <v>795</v>
      </c>
      <c r="AJ275" s="31">
        <v>45933</v>
      </c>
      <c r="AK275" s="61">
        <v>0.40452546296296299</v>
      </c>
      <c r="AL275" t="s">
        <v>858</v>
      </c>
      <c r="AM275" t="s">
        <v>2150</v>
      </c>
      <c r="AO275" t="s">
        <v>2096</v>
      </c>
      <c r="AQ275" t="s">
        <v>2096</v>
      </c>
      <c r="AS275" s="31"/>
      <c r="AY275">
        <v>1</v>
      </c>
    </row>
    <row r="276" spans="1:51" x14ac:dyDescent="0.3">
      <c r="A276" t="s">
        <v>44</v>
      </c>
      <c r="B276">
        <v>619</v>
      </c>
      <c r="D276">
        <v>2614</v>
      </c>
      <c r="G276" t="s">
        <v>2221</v>
      </c>
      <c r="H276">
        <v>1099426000107</v>
      </c>
      <c r="J276" t="s">
        <v>2222</v>
      </c>
      <c r="K276" t="s">
        <v>2222</v>
      </c>
      <c r="L276">
        <v>21996087296</v>
      </c>
      <c r="N276" t="s">
        <v>2178</v>
      </c>
      <c r="Q276" t="s">
        <v>778</v>
      </c>
      <c r="X276" t="s">
        <v>780</v>
      </c>
      <c r="Y276" t="s">
        <v>816</v>
      </c>
      <c r="AA276" s="31"/>
      <c r="AB276">
        <v>2527318</v>
      </c>
      <c r="AC276">
        <v>0</v>
      </c>
      <c r="AD276">
        <v>29</v>
      </c>
      <c r="AE276" t="s">
        <v>44</v>
      </c>
      <c r="AF276" s="31">
        <v>45930</v>
      </c>
      <c r="AG276" s="61">
        <v>0.66567129629629629</v>
      </c>
      <c r="AI276" t="s">
        <v>818</v>
      </c>
      <c r="AJ276" s="31">
        <v>45959</v>
      </c>
      <c r="AK276" s="61">
        <v>0.45207175925925919</v>
      </c>
      <c r="AO276" t="s">
        <v>2223</v>
      </c>
      <c r="AS276" s="31"/>
      <c r="AY276">
        <v>1</v>
      </c>
    </row>
    <row r="277" spans="1:51" x14ac:dyDescent="0.3">
      <c r="A277" t="s">
        <v>22</v>
      </c>
      <c r="B277">
        <v>620</v>
      </c>
      <c r="D277">
        <v>2615</v>
      </c>
      <c r="G277" t="s">
        <v>2224</v>
      </c>
      <c r="H277">
        <v>5856090000130</v>
      </c>
      <c r="J277" t="s">
        <v>2225</v>
      </c>
      <c r="K277" t="s">
        <v>2225</v>
      </c>
      <c r="N277" t="s">
        <v>2226</v>
      </c>
      <c r="Q277" t="s">
        <v>778</v>
      </c>
      <c r="X277" t="s">
        <v>780</v>
      </c>
      <c r="Y277" t="s">
        <v>807</v>
      </c>
      <c r="AA277" s="31"/>
      <c r="AD277">
        <v>36</v>
      </c>
      <c r="AE277" t="s">
        <v>22</v>
      </c>
      <c r="AF277" s="31">
        <v>45930</v>
      </c>
      <c r="AG277" s="61">
        <v>0.6699074074074074</v>
      </c>
      <c r="AI277" t="s">
        <v>795</v>
      </c>
      <c r="AJ277" s="31">
        <v>45966</v>
      </c>
      <c r="AK277" s="61">
        <v>0.41229166666666672</v>
      </c>
      <c r="AL277" t="s">
        <v>867</v>
      </c>
      <c r="AO277" t="s">
        <v>2227</v>
      </c>
      <c r="AP277" t="s">
        <v>22</v>
      </c>
      <c r="AQ277" t="s">
        <v>2227</v>
      </c>
      <c r="AS277" s="31"/>
      <c r="AY277">
        <v>1</v>
      </c>
    </row>
    <row r="278" spans="1:51" x14ac:dyDescent="0.3">
      <c r="A278" t="s">
        <v>44</v>
      </c>
      <c r="B278">
        <v>621</v>
      </c>
      <c r="D278">
        <v>2616</v>
      </c>
      <c r="G278" t="s">
        <v>2228</v>
      </c>
      <c r="J278" t="s">
        <v>2229</v>
      </c>
      <c r="K278" t="s">
        <v>2229</v>
      </c>
      <c r="L278">
        <v>35999594857</v>
      </c>
      <c r="N278" t="s">
        <v>2231</v>
      </c>
      <c r="Q278" t="s">
        <v>778</v>
      </c>
      <c r="X278" t="s">
        <v>780</v>
      </c>
      <c r="Y278" t="s">
        <v>816</v>
      </c>
      <c r="AA278" s="31"/>
      <c r="AB278">
        <v>5406</v>
      </c>
      <c r="AC278">
        <v>0</v>
      </c>
      <c r="AD278">
        <v>0</v>
      </c>
      <c r="AE278" t="s">
        <v>44</v>
      </c>
      <c r="AF278" s="31">
        <v>45930</v>
      </c>
      <c r="AG278" s="61">
        <v>0.68820601851851848</v>
      </c>
      <c r="AI278" t="s">
        <v>818</v>
      </c>
      <c r="AJ278" s="31">
        <v>45930</v>
      </c>
      <c r="AK278" s="61">
        <v>0.68903935185185183</v>
      </c>
      <c r="AO278" t="s">
        <v>2141</v>
      </c>
      <c r="AS278" s="31"/>
      <c r="AY278">
        <v>1</v>
      </c>
    </row>
    <row r="279" spans="1:51" x14ac:dyDescent="0.3">
      <c r="A279" t="s">
        <v>44</v>
      </c>
      <c r="B279">
        <v>622</v>
      </c>
      <c r="D279">
        <v>2617</v>
      </c>
      <c r="G279" t="s">
        <v>2232</v>
      </c>
      <c r="J279" t="s">
        <v>2233</v>
      </c>
      <c r="K279" t="s">
        <v>2233</v>
      </c>
      <c r="L279">
        <v>1142923358</v>
      </c>
      <c r="N279" t="s">
        <v>2093</v>
      </c>
      <c r="Q279" t="s">
        <v>778</v>
      </c>
      <c r="X279" t="s">
        <v>780</v>
      </c>
      <c r="Y279" t="s">
        <v>857</v>
      </c>
      <c r="AA279" s="31"/>
      <c r="AB279">
        <v>1600</v>
      </c>
      <c r="AC279">
        <v>2468</v>
      </c>
      <c r="AD279">
        <v>3</v>
      </c>
      <c r="AE279" t="s">
        <v>44</v>
      </c>
      <c r="AF279" s="31">
        <v>45930</v>
      </c>
      <c r="AG279" s="61">
        <v>0.69144675925925925</v>
      </c>
      <c r="AI279" t="s">
        <v>795</v>
      </c>
      <c r="AJ279" s="31">
        <v>45933</v>
      </c>
      <c r="AK279" s="61">
        <v>0.41620370370370369</v>
      </c>
      <c r="AL279" t="s">
        <v>934</v>
      </c>
      <c r="AM279" t="s">
        <v>2095</v>
      </c>
      <c r="AO279" t="s">
        <v>2096</v>
      </c>
      <c r="AQ279" t="s">
        <v>2097</v>
      </c>
      <c r="AS279" s="31"/>
      <c r="AY279">
        <v>1</v>
      </c>
    </row>
    <row r="280" spans="1:51" x14ac:dyDescent="0.3">
      <c r="A280" t="s">
        <v>44</v>
      </c>
      <c r="B280">
        <v>623</v>
      </c>
      <c r="D280">
        <v>2618</v>
      </c>
      <c r="G280" t="s">
        <v>2235</v>
      </c>
      <c r="J280" t="s">
        <v>2236</v>
      </c>
      <c r="K280" t="s">
        <v>2236</v>
      </c>
      <c r="L280">
        <v>1142923358</v>
      </c>
      <c r="N280" t="s">
        <v>2093</v>
      </c>
      <c r="Q280" t="s">
        <v>778</v>
      </c>
      <c r="X280" t="s">
        <v>780</v>
      </c>
      <c r="Y280" t="s">
        <v>857</v>
      </c>
      <c r="AA280" s="31"/>
      <c r="AB280">
        <v>59360</v>
      </c>
      <c r="AC280">
        <v>27562</v>
      </c>
      <c r="AD280">
        <v>3</v>
      </c>
      <c r="AE280" t="s">
        <v>44</v>
      </c>
      <c r="AF280" s="31">
        <v>45930</v>
      </c>
      <c r="AG280" s="61">
        <v>0.69359953703703703</v>
      </c>
      <c r="AI280" t="s">
        <v>795</v>
      </c>
      <c r="AJ280" s="31">
        <v>45933</v>
      </c>
      <c r="AK280" s="61">
        <v>0.41586805555555562</v>
      </c>
      <c r="AL280" t="s">
        <v>934</v>
      </c>
      <c r="AM280" t="s">
        <v>2095</v>
      </c>
      <c r="AO280" t="s">
        <v>2096</v>
      </c>
      <c r="AQ280" t="s">
        <v>2097</v>
      </c>
      <c r="AS280" s="31"/>
      <c r="AY280">
        <v>1</v>
      </c>
    </row>
    <row r="281" spans="1:51" x14ac:dyDescent="0.3">
      <c r="A281" t="s">
        <v>22</v>
      </c>
      <c r="B281">
        <v>624</v>
      </c>
      <c r="D281">
        <v>2619</v>
      </c>
      <c r="G281" t="s">
        <v>2237</v>
      </c>
      <c r="J281" t="s">
        <v>2238</v>
      </c>
      <c r="K281" t="s">
        <v>2238</v>
      </c>
      <c r="L281">
        <v>96170057610</v>
      </c>
      <c r="N281" t="s">
        <v>1111</v>
      </c>
      <c r="Q281" t="s">
        <v>778</v>
      </c>
      <c r="X281" t="s">
        <v>780</v>
      </c>
      <c r="Y281" t="s">
        <v>807</v>
      </c>
      <c r="AA281" s="31"/>
      <c r="AD281">
        <v>36</v>
      </c>
      <c r="AE281" t="s">
        <v>22</v>
      </c>
      <c r="AF281" s="31">
        <v>45930</v>
      </c>
      <c r="AG281" s="61">
        <v>0.7330902777777778</v>
      </c>
      <c r="AI281" t="s">
        <v>795</v>
      </c>
      <c r="AJ281" s="31">
        <v>45966</v>
      </c>
      <c r="AK281" s="61">
        <v>0.41091435185185188</v>
      </c>
      <c r="AL281" t="s">
        <v>796</v>
      </c>
      <c r="AO281" t="s">
        <v>2227</v>
      </c>
      <c r="AP281" t="s">
        <v>22</v>
      </c>
      <c r="AQ281" t="s">
        <v>2227</v>
      </c>
      <c r="AS281" s="31"/>
      <c r="AY281">
        <v>1</v>
      </c>
    </row>
    <row r="282" spans="1:51" x14ac:dyDescent="0.3">
      <c r="A282" t="s">
        <v>44</v>
      </c>
      <c r="B282">
        <v>628</v>
      </c>
      <c r="D282">
        <v>2622</v>
      </c>
      <c r="G282" t="s">
        <v>2240</v>
      </c>
      <c r="J282" t="s">
        <v>2241</v>
      </c>
      <c r="K282" t="s">
        <v>2241</v>
      </c>
      <c r="L282" t="s">
        <v>2242</v>
      </c>
      <c r="N282" t="s">
        <v>2243</v>
      </c>
      <c r="Q282" t="s">
        <v>778</v>
      </c>
      <c r="R282" t="s">
        <v>2244</v>
      </c>
      <c r="T282" t="s">
        <v>814</v>
      </c>
      <c r="W282" t="s">
        <v>1186</v>
      </c>
      <c r="X282" t="s">
        <v>780</v>
      </c>
      <c r="Y282" t="s">
        <v>897</v>
      </c>
      <c r="AA282" s="31"/>
      <c r="AD282">
        <v>4</v>
      </c>
      <c r="AE282" t="s">
        <v>22</v>
      </c>
      <c r="AF282" s="31">
        <v>45933</v>
      </c>
      <c r="AG282" s="61">
        <v>0.46578703703703711</v>
      </c>
      <c r="AI282" t="s">
        <v>795</v>
      </c>
      <c r="AJ282" s="31">
        <v>45937</v>
      </c>
      <c r="AK282" s="61">
        <v>0.39880787037037041</v>
      </c>
      <c r="AL282" t="s">
        <v>1358</v>
      </c>
      <c r="AM282" t="s">
        <v>2245</v>
      </c>
      <c r="AP282" t="s">
        <v>44</v>
      </c>
      <c r="AS282" s="31"/>
      <c r="AY282">
        <v>1</v>
      </c>
    </row>
    <row r="283" spans="1:51" x14ac:dyDescent="0.3">
      <c r="A283" t="s">
        <v>44</v>
      </c>
      <c r="B283">
        <v>634</v>
      </c>
      <c r="D283">
        <v>2631</v>
      </c>
      <c r="F283" t="s">
        <v>2246</v>
      </c>
      <c r="G283" t="s">
        <v>2247</v>
      </c>
      <c r="H283">
        <v>43400571000126</v>
      </c>
      <c r="J283" t="s">
        <v>2246</v>
      </c>
      <c r="K283" t="s">
        <v>2246</v>
      </c>
      <c r="L283" t="s">
        <v>2248</v>
      </c>
      <c r="N283" t="s">
        <v>2249</v>
      </c>
      <c r="Q283" t="s">
        <v>778</v>
      </c>
      <c r="R283" t="s">
        <v>2250</v>
      </c>
      <c r="S283" t="s">
        <v>790</v>
      </c>
      <c r="T283" t="s">
        <v>805</v>
      </c>
      <c r="X283" t="s">
        <v>780</v>
      </c>
      <c r="Y283" t="s">
        <v>793</v>
      </c>
      <c r="AA283" s="31"/>
      <c r="AB283">
        <v>7021439</v>
      </c>
      <c r="AC283">
        <v>417338</v>
      </c>
      <c r="AD283">
        <v>20</v>
      </c>
      <c r="AE283" t="s">
        <v>44</v>
      </c>
      <c r="AF283" s="31">
        <v>45939</v>
      </c>
      <c r="AG283" s="61">
        <v>0.65773148148148153</v>
      </c>
      <c r="AI283" t="s">
        <v>795</v>
      </c>
      <c r="AJ283" s="31">
        <v>45959</v>
      </c>
      <c r="AK283" s="61">
        <v>0.4332523148148148</v>
      </c>
      <c r="AL283" t="s">
        <v>796</v>
      </c>
      <c r="AM283" t="s">
        <v>797</v>
      </c>
      <c r="AO283" t="s">
        <v>2251</v>
      </c>
      <c r="AQ283" t="s">
        <v>2251</v>
      </c>
      <c r="AS283" s="31"/>
      <c r="AY283">
        <v>1</v>
      </c>
    </row>
    <row r="284" spans="1:51" x14ac:dyDescent="0.3">
      <c r="A284" t="s">
        <v>44</v>
      </c>
      <c r="B284">
        <v>638</v>
      </c>
      <c r="D284">
        <v>2640</v>
      </c>
      <c r="G284" t="s">
        <v>2252</v>
      </c>
      <c r="J284" t="s">
        <v>2253</v>
      </c>
      <c r="K284" t="s">
        <v>2253</v>
      </c>
      <c r="L284">
        <v>17996266970</v>
      </c>
      <c r="N284" t="s">
        <v>1111</v>
      </c>
      <c r="Q284" t="s">
        <v>778</v>
      </c>
      <c r="X284" t="s">
        <v>780</v>
      </c>
      <c r="Y284" t="s">
        <v>807</v>
      </c>
      <c r="AA284" s="31"/>
      <c r="AD284">
        <v>62</v>
      </c>
      <c r="AE284" t="s">
        <v>44</v>
      </c>
      <c r="AF284" s="31">
        <v>45940</v>
      </c>
      <c r="AG284" s="61">
        <v>0.64271990740740736</v>
      </c>
      <c r="AI284" t="s">
        <v>795</v>
      </c>
      <c r="AJ284" s="31">
        <v>46002</v>
      </c>
      <c r="AK284" s="61">
        <v>0.64072916666666668</v>
      </c>
      <c r="AL284" t="s">
        <v>796</v>
      </c>
      <c r="AQ284" t="s">
        <v>2251</v>
      </c>
      <c r="AS284" s="31"/>
      <c r="AY284">
        <v>1</v>
      </c>
    </row>
    <row r="285" spans="1:51" x14ac:dyDescent="0.3">
      <c r="A285" t="s">
        <v>22</v>
      </c>
      <c r="B285">
        <v>639</v>
      </c>
      <c r="D285">
        <v>2644</v>
      </c>
      <c r="G285" t="s">
        <v>2255</v>
      </c>
      <c r="J285" t="s">
        <v>2256</v>
      </c>
      <c r="K285" t="s">
        <v>2256</v>
      </c>
      <c r="L285">
        <v>75988472625</v>
      </c>
      <c r="N285" t="s">
        <v>1111</v>
      </c>
      <c r="Q285" t="s">
        <v>778</v>
      </c>
      <c r="X285" t="s">
        <v>780</v>
      </c>
      <c r="Y285" t="s">
        <v>807</v>
      </c>
      <c r="AA285" s="31"/>
      <c r="AD285">
        <v>33</v>
      </c>
      <c r="AE285" t="s">
        <v>22</v>
      </c>
      <c r="AF285" s="31">
        <v>45945</v>
      </c>
      <c r="AG285" s="61">
        <v>0.73146990740740736</v>
      </c>
      <c r="AI285" t="s">
        <v>795</v>
      </c>
      <c r="AJ285" s="31">
        <v>45978</v>
      </c>
      <c r="AK285" s="61">
        <v>0.64398148148148149</v>
      </c>
      <c r="AL285" t="s">
        <v>934</v>
      </c>
      <c r="AO285" t="s">
        <v>2258</v>
      </c>
      <c r="AP285" t="s">
        <v>22</v>
      </c>
      <c r="AQ285" t="s">
        <v>2258</v>
      </c>
      <c r="AS285" s="31"/>
      <c r="AY285">
        <v>1</v>
      </c>
    </row>
    <row r="286" spans="1:51" x14ac:dyDescent="0.3">
      <c r="A286" t="s">
        <v>44</v>
      </c>
      <c r="B286">
        <v>640</v>
      </c>
      <c r="D286">
        <v>2646</v>
      </c>
      <c r="G286" t="s">
        <v>2259</v>
      </c>
      <c r="J286" t="s">
        <v>2260</v>
      </c>
      <c r="K286" t="s">
        <v>2260</v>
      </c>
      <c r="L286">
        <v>11947600755</v>
      </c>
      <c r="N286" t="s">
        <v>2262</v>
      </c>
      <c r="Q286" t="s">
        <v>778</v>
      </c>
      <c r="X286" t="s">
        <v>780</v>
      </c>
      <c r="Y286" t="s">
        <v>816</v>
      </c>
      <c r="AA286" s="31"/>
      <c r="AB286">
        <v>1380825</v>
      </c>
      <c r="AC286">
        <v>0</v>
      </c>
      <c r="AD286">
        <v>0</v>
      </c>
      <c r="AE286" t="s">
        <v>44</v>
      </c>
      <c r="AF286" s="31">
        <v>45946</v>
      </c>
      <c r="AG286" s="61">
        <v>0.61724537037037042</v>
      </c>
      <c r="AI286" t="s">
        <v>818</v>
      </c>
      <c r="AJ286" s="31">
        <v>45946</v>
      </c>
      <c r="AK286" s="61">
        <v>0.61929398148148151</v>
      </c>
      <c r="AO286" t="s">
        <v>2263</v>
      </c>
      <c r="AS286" s="31"/>
      <c r="AY286">
        <v>1</v>
      </c>
    </row>
    <row r="287" spans="1:51" x14ac:dyDescent="0.3">
      <c r="A287" t="s">
        <v>44</v>
      </c>
      <c r="B287">
        <v>641</v>
      </c>
      <c r="D287">
        <v>2647</v>
      </c>
      <c r="G287" t="s">
        <v>2264</v>
      </c>
      <c r="J287" t="s">
        <v>2265</v>
      </c>
      <c r="K287" t="s">
        <v>2265</v>
      </c>
      <c r="L287">
        <v>1938764260</v>
      </c>
      <c r="N287" t="s">
        <v>2249</v>
      </c>
      <c r="Q287" t="s">
        <v>778</v>
      </c>
      <c r="X287" t="s">
        <v>780</v>
      </c>
      <c r="Y287" t="s">
        <v>793</v>
      </c>
      <c r="AA287" s="31"/>
      <c r="AB287">
        <v>1600</v>
      </c>
      <c r="AC287">
        <v>3695</v>
      </c>
      <c r="AD287">
        <v>13</v>
      </c>
      <c r="AE287" t="s">
        <v>44</v>
      </c>
      <c r="AF287" s="31">
        <v>45946</v>
      </c>
      <c r="AG287" s="61">
        <v>0.69593749999999999</v>
      </c>
      <c r="AI287" t="s">
        <v>795</v>
      </c>
      <c r="AJ287" s="31">
        <v>45959</v>
      </c>
      <c r="AK287" s="61">
        <v>0.43424768518518519</v>
      </c>
      <c r="AL287" t="s">
        <v>796</v>
      </c>
      <c r="AM287" t="s">
        <v>2267</v>
      </c>
      <c r="AO287" t="s">
        <v>2251</v>
      </c>
      <c r="AQ287" t="s">
        <v>2251</v>
      </c>
      <c r="AS287" s="31"/>
      <c r="AY287">
        <v>1</v>
      </c>
    </row>
    <row r="288" spans="1:51" x14ac:dyDescent="0.3">
      <c r="A288" t="s">
        <v>44</v>
      </c>
      <c r="B288">
        <v>642</v>
      </c>
      <c r="D288">
        <v>2648</v>
      </c>
      <c r="E288" t="s">
        <v>4708</v>
      </c>
      <c r="G288" t="s">
        <v>2268</v>
      </c>
      <c r="J288" t="s">
        <v>2269</v>
      </c>
      <c r="K288" t="s">
        <v>2269</v>
      </c>
      <c r="L288">
        <v>11997580006</v>
      </c>
      <c r="N288" t="s">
        <v>2200</v>
      </c>
      <c r="Q288" t="s">
        <v>778</v>
      </c>
      <c r="W288" t="s">
        <v>1419</v>
      </c>
      <c r="X288" t="s">
        <v>780</v>
      </c>
      <c r="Y288" t="s">
        <v>807</v>
      </c>
      <c r="AA288" s="31">
        <v>46112</v>
      </c>
      <c r="AB288">
        <v>1600</v>
      </c>
      <c r="AC288">
        <v>335607</v>
      </c>
      <c r="AD288">
        <v>180</v>
      </c>
      <c r="AE288" t="s">
        <v>44</v>
      </c>
      <c r="AF288" s="31">
        <v>45947</v>
      </c>
      <c r="AG288" s="61">
        <v>0.40686342592592589</v>
      </c>
      <c r="AI288" t="s">
        <v>782</v>
      </c>
      <c r="AJ288" s="31"/>
      <c r="AK288" s="61"/>
      <c r="AO288" t="s">
        <v>2203</v>
      </c>
      <c r="AP288" t="s">
        <v>44</v>
      </c>
      <c r="AQ288" t="s">
        <v>2202</v>
      </c>
      <c r="AS288" s="31">
        <v>46077</v>
      </c>
      <c r="AT288">
        <v>50</v>
      </c>
      <c r="AY288">
        <v>1</v>
      </c>
    </row>
    <row r="289" spans="1:51" x14ac:dyDescent="0.3">
      <c r="A289" t="s">
        <v>44</v>
      </c>
      <c r="B289">
        <v>643</v>
      </c>
      <c r="D289">
        <v>2649</v>
      </c>
      <c r="E289" t="s">
        <v>2270</v>
      </c>
      <c r="G289" t="s">
        <v>2271</v>
      </c>
      <c r="H289">
        <v>43028557000143</v>
      </c>
      <c r="J289" t="s">
        <v>2272</v>
      </c>
      <c r="K289" t="s">
        <v>2272</v>
      </c>
      <c r="L289">
        <v>11947600755</v>
      </c>
      <c r="N289" t="s">
        <v>2262</v>
      </c>
      <c r="Q289" t="s">
        <v>778</v>
      </c>
      <c r="W289" t="s">
        <v>1581</v>
      </c>
      <c r="X289" t="s">
        <v>780</v>
      </c>
      <c r="Y289" t="s">
        <v>816</v>
      </c>
      <c r="AA289" s="31">
        <v>45989</v>
      </c>
      <c r="AB289">
        <v>0</v>
      </c>
      <c r="AC289">
        <v>3564</v>
      </c>
      <c r="AD289">
        <v>129</v>
      </c>
      <c r="AE289" t="s">
        <v>44</v>
      </c>
      <c r="AF289" s="31">
        <v>45947</v>
      </c>
      <c r="AG289" s="61">
        <v>0.4088310185185185</v>
      </c>
      <c r="AI289" t="s">
        <v>795</v>
      </c>
      <c r="AJ289" s="31">
        <v>46076</v>
      </c>
      <c r="AK289" s="61">
        <v>0.43260416666666668</v>
      </c>
      <c r="AL289" t="s">
        <v>796</v>
      </c>
      <c r="AM289" t="s">
        <v>4709</v>
      </c>
      <c r="AO289" t="s">
        <v>2273</v>
      </c>
      <c r="AP289" t="s">
        <v>44</v>
      </c>
      <c r="AQ289" t="s">
        <v>2274</v>
      </c>
      <c r="AS289" s="31">
        <v>46003</v>
      </c>
      <c r="AT289">
        <v>80</v>
      </c>
      <c r="AY289">
        <v>1</v>
      </c>
    </row>
    <row r="290" spans="1:51" x14ac:dyDescent="0.3">
      <c r="A290" t="s">
        <v>44</v>
      </c>
      <c r="B290">
        <v>644</v>
      </c>
      <c r="D290">
        <v>2650</v>
      </c>
      <c r="E290" t="s">
        <v>2275</v>
      </c>
      <c r="G290" t="s">
        <v>2276</v>
      </c>
      <c r="H290">
        <v>62499934000177</v>
      </c>
      <c r="J290" t="s">
        <v>2277</v>
      </c>
      <c r="K290" t="s">
        <v>2277</v>
      </c>
      <c r="L290">
        <v>11975444564</v>
      </c>
      <c r="N290" t="s">
        <v>2279</v>
      </c>
      <c r="Q290" t="s">
        <v>778</v>
      </c>
      <c r="R290" t="s">
        <v>2280</v>
      </c>
      <c r="S290" t="s">
        <v>790</v>
      </c>
      <c r="W290" t="s">
        <v>1581</v>
      </c>
      <c r="X290" t="s">
        <v>780</v>
      </c>
      <c r="Y290" t="s">
        <v>807</v>
      </c>
      <c r="AA290" s="31">
        <v>46081</v>
      </c>
      <c r="AB290">
        <v>118908</v>
      </c>
      <c r="AC290">
        <v>1304844</v>
      </c>
      <c r="AD290">
        <v>117</v>
      </c>
      <c r="AE290" t="s">
        <v>44</v>
      </c>
      <c r="AF290" s="31">
        <v>45947</v>
      </c>
      <c r="AG290" s="61">
        <v>0.42344907407407412</v>
      </c>
      <c r="AI290" t="s">
        <v>795</v>
      </c>
      <c r="AJ290" s="31">
        <v>46064</v>
      </c>
      <c r="AK290" s="61">
        <v>0.7311805555555555</v>
      </c>
      <c r="AL290" t="s">
        <v>974</v>
      </c>
      <c r="AM290" t="s">
        <v>2281</v>
      </c>
      <c r="AO290" t="s">
        <v>2282</v>
      </c>
      <c r="AP290" t="s">
        <v>44</v>
      </c>
      <c r="AQ290" t="s">
        <v>2274</v>
      </c>
      <c r="AR290" t="s">
        <v>2283</v>
      </c>
      <c r="AS290" s="31">
        <v>46056</v>
      </c>
      <c r="AT290">
        <v>80</v>
      </c>
      <c r="AY290">
        <v>1</v>
      </c>
    </row>
    <row r="291" spans="1:51" x14ac:dyDescent="0.3">
      <c r="A291" t="s">
        <v>44</v>
      </c>
      <c r="B291">
        <v>645</v>
      </c>
      <c r="D291">
        <v>2654</v>
      </c>
      <c r="E291" t="s">
        <v>2275</v>
      </c>
      <c r="G291" t="s">
        <v>2284</v>
      </c>
      <c r="H291">
        <v>62499934000177</v>
      </c>
      <c r="J291" t="s">
        <v>2285</v>
      </c>
      <c r="K291" t="s">
        <v>2285</v>
      </c>
      <c r="L291">
        <v>11975444564</v>
      </c>
      <c r="N291" t="s">
        <v>2279</v>
      </c>
      <c r="Q291" t="s">
        <v>778</v>
      </c>
      <c r="R291" t="s">
        <v>2280</v>
      </c>
      <c r="S291" t="s">
        <v>790</v>
      </c>
      <c r="W291" t="s">
        <v>1581</v>
      </c>
      <c r="X291" t="s">
        <v>780</v>
      </c>
      <c r="Y291" t="s">
        <v>807</v>
      </c>
      <c r="AA291" s="31">
        <v>46081</v>
      </c>
      <c r="AB291">
        <v>1600</v>
      </c>
      <c r="AC291">
        <v>68466</v>
      </c>
      <c r="AD291">
        <v>117</v>
      </c>
      <c r="AE291" t="s">
        <v>44</v>
      </c>
      <c r="AF291" s="31">
        <v>45947</v>
      </c>
      <c r="AG291" s="61">
        <v>0.42556712962962961</v>
      </c>
      <c r="AI291" t="s">
        <v>795</v>
      </c>
      <c r="AJ291" s="31">
        <v>46064</v>
      </c>
      <c r="AK291" s="61">
        <v>0.73228009259259264</v>
      </c>
      <c r="AL291" t="s">
        <v>974</v>
      </c>
      <c r="AM291" t="s">
        <v>2281</v>
      </c>
      <c r="AO291" t="s">
        <v>2286</v>
      </c>
      <c r="AP291" t="s">
        <v>44</v>
      </c>
      <c r="AQ291" t="s">
        <v>2286</v>
      </c>
      <c r="AS291" s="31">
        <v>46056</v>
      </c>
      <c r="AT291">
        <v>80</v>
      </c>
      <c r="AY291">
        <v>1</v>
      </c>
    </row>
    <row r="292" spans="1:51" x14ac:dyDescent="0.3">
      <c r="A292" t="s">
        <v>44</v>
      </c>
      <c r="B292">
        <v>656</v>
      </c>
      <c r="D292">
        <v>2261</v>
      </c>
      <c r="F292" t="s">
        <v>2287</v>
      </c>
      <c r="G292" t="s">
        <v>2288</v>
      </c>
      <c r="H292">
        <v>37905383000157</v>
      </c>
      <c r="J292" t="s">
        <v>2287</v>
      </c>
      <c r="K292" t="s">
        <v>2287</v>
      </c>
      <c r="L292" t="s">
        <v>2289</v>
      </c>
      <c r="N292" t="s">
        <v>2290</v>
      </c>
      <c r="Q292" t="s">
        <v>778</v>
      </c>
      <c r="R292" t="s">
        <v>1094</v>
      </c>
      <c r="S292" t="s">
        <v>790</v>
      </c>
      <c r="T292" t="s">
        <v>805</v>
      </c>
      <c r="X292" t="s">
        <v>780</v>
      </c>
      <c r="Y292" t="s">
        <v>857</v>
      </c>
      <c r="AA292" s="31"/>
      <c r="AD292">
        <v>34</v>
      </c>
      <c r="AE292" t="s">
        <v>44</v>
      </c>
      <c r="AF292" s="31">
        <v>45952</v>
      </c>
      <c r="AG292" s="61">
        <v>0.71155092592592595</v>
      </c>
      <c r="AI292" t="s">
        <v>795</v>
      </c>
      <c r="AJ292" s="31">
        <v>45986</v>
      </c>
      <c r="AK292" s="61">
        <v>0.70568287037037036</v>
      </c>
      <c r="AL292" t="s">
        <v>858</v>
      </c>
      <c r="AS292" s="31"/>
      <c r="AY292">
        <v>1</v>
      </c>
    </row>
    <row r="293" spans="1:51" x14ac:dyDescent="0.3">
      <c r="A293" t="s">
        <v>44</v>
      </c>
      <c r="B293">
        <v>657</v>
      </c>
      <c r="D293">
        <v>2659</v>
      </c>
      <c r="G293" t="s">
        <v>2291</v>
      </c>
      <c r="J293" t="s">
        <v>2292</v>
      </c>
      <c r="K293" t="s">
        <v>2292</v>
      </c>
      <c r="L293" t="s">
        <v>2293</v>
      </c>
      <c r="N293" t="s">
        <v>2294</v>
      </c>
      <c r="Q293" t="s">
        <v>778</v>
      </c>
      <c r="R293" t="s">
        <v>2295</v>
      </c>
      <c r="T293" t="s">
        <v>814</v>
      </c>
      <c r="W293" t="s">
        <v>1186</v>
      </c>
      <c r="X293" t="s">
        <v>780</v>
      </c>
      <c r="Y293" t="s">
        <v>857</v>
      </c>
      <c r="AA293" s="31"/>
      <c r="AB293">
        <v>38380</v>
      </c>
      <c r="AC293">
        <v>107526</v>
      </c>
      <c r="AD293">
        <v>32</v>
      </c>
      <c r="AE293" t="s">
        <v>22</v>
      </c>
      <c r="AF293" s="31">
        <v>45953</v>
      </c>
      <c r="AG293" s="61">
        <v>0.63064814814814818</v>
      </c>
      <c r="AI293" t="s">
        <v>795</v>
      </c>
      <c r="AJ293" s="31">
        <v>45985</v>
      </c>
      <c r="AK293" s="61">
        <v>0.70120370370370366</v>
      </c>
      <c r="AL293" t="s">
        <v>867</v>
      </c>
      <c r="AM293" t="s">
        <v>2296</v>
      </c>
      <c r="AO293" t="s">
        <v>2203</v>
      </c>
      <c r="AP293" t="s">
        <v>44</v>
      </c>
      <c r="AQ293" t="s">
        <v>2297</v>
      </c>
      <c r="AS293" s="31"/>
      <c r="AY293">
        <v>1</v>
      </c>
    </row>
    <row r="294" spans="1:51" x14ac:dyDescent="0.3">
      <c r="A294" t="s">
        <v>44</v>
      </c>
      <c r="B294">
        <v>659</v>
      </c>
      <c r="D294">
        <v>2680</v>
      </c>
      <c r="G294" t="s">
        <v>2298</v>
      </c>
      <c r="J294" t="s">
        <v>2299</v>
      </c>
      <c r="K294" t="s">
        <v>2299</v>
      </c>
      <c r="L294" t="s">
        <v>2300</v>
      </c>
      <c r="N294" t="s">
        <v>2301</v>
      </c>
      <c r="Q294" t="s">
        <v>778</v>
      </c>
      <c r="R294" t="s">
        <v>923</v>
      </c>
      <c r="T294" t="s">
        <v>814</v>
      </c>
      <c r="W294" t="s">
        <v>1186</v>
      </c>
      <c r="X294" t="s">
        <v>780</v>
      </c>
      <c r="Y294" t="s">
        <v>897</v>
      </c>
      <c r="AA294" s="31"/>
      <c r="AD294">
        <v>9</v>
      </c>
      <c r="AE294" t="s">
        <v>22</v>
      </c>
      <c r="AF294" s="31">
        <v>45957</v>
      </c>
      <c r="AG294" s="61">
        <v>0.65108796296296301</v>
      </c>
      <c r="AI294" t="s">
        <v>795</v>
      </c>
      <c r="AJ294" s="31">
        <v>45966</v>
      </c>
      <c r="AK294" s="61">
        <v>0.38394675925925931</v>
      </c>
      <c r="AL294" t="s">
        <v>1358</v>
      </c>
      <c r="AM294" t="s">
        <v>2302</v>
      </c>
      <c r="AP294" t="s">
        <v>44</v>
      </c>
      <c r="AS294" s="31"/>
      <c r="AY294">
        <v>1</v>
      </c>
    </row>
    <row r="295" spans="1:51" x14ac:dyDescent="0.3">
      <c r="A295" t="s">
        <v>44</v>
      </c>
      <c r="B295">
        <v>662</v>
      </c>
      <c r="D295">
        <v>2684</v>
      </c>
      <c r="E295" t="s">
        <v>2303</v>
      </c>
      <c r="F295" t="s">
        <v>2304</v>
      </c>
      <c r="G295" t="s">
        <v>2305</v>
      </c>
      <c r="H295">
        <v>44628219000105</v>
      </c>
      <c r="J295" t="s">
        <v>2304</v>
      </c>
      <c r="K295" t="s">
        <v>2304</v>
      </c>
      <c r="L295" t="s">
        <v>2306</v>
      </c>
      <c r="N295" t="s">
        <v>2307</v>
      </c>
      <c r="Q295" t="s">
        <v>778</v>
      </c>
      <c r="R295" t="s">
        <v>2308</v>
      </c>
      <c r="S295" t="s">
        <v>932</v>
      </c>
      <c r="T295" t="s">
        <v>805</v>
      </c>
      <c r="W295" t="s">
        <v>1718</v>
      </c>
      <c r="X295" t="s">
        <v>780</v>
      </c>
      <c r="Y295" t="s">
        <v>807</v>
      </c>
      <c r="AA295" s="31">
        <v>46052</v>
      </c>
      <c r="AB295">
        <v>38380</v>
      </c>
      <c r="AC295">
        <v>107526</v>
      </c>
      <c r="AD295">
        <v>80</v>
      </c>
      <c r="AE295" t="s">
        <v>44</v>
      </c>
      <c r="AF295" s="31">
        <v>45958</v>
      </c>
      <c r="AG295" s="61">
        <v>0.42758101851851849</v>
      </c>
      <c r="AI295" t="s">
        <v>795</v>
      </c>
      <c r="AJ295" s="31">
        <v>46038</v>
      </c>
      <c r="AK295" s="61">
        <v>0.66612268518518514</v>
      </c>
      <c r="AL295" t="s">
        <v>934</v>
      </c>
      <c r="AM295" t="s">
        <v>2303</v>
      </c>
      <c r="AO295" t="s">
        <v>2309</v>
      </c>
      <c r="AQ295" t="s">
        <v>2203</v>
      </c>
      <c r="AS295" s="31">
        <v>46038</v>
      </c>
      <c r="AY295">
        <v>1</v>
      </c>
    </row>
    <row r="296" spans="1:51" x14ac:dyDescent="0.3">
      <c r="A296" t="s">
        <v>44</v>
      </c>
      <c r="B296">
        <v>665</v>
      </c>
      <c r="D296">
        <v>2692</v>
      </c>
      <c r="E296" t="s">
        <v>2303</v>
      </c>
      <c r="G296" t="s">
        <v>2310</v>
      </c>
      <c r="J296" t="s">
        <v>2311</v>
      </c>
      <c r="K296" t="s">
        <v>2311</v>
      </c>
      <c r="L296">
        <v>1141150797</v>
      </c>
      <c r="N296" t="s">
        <v>2307</v>
      </c>
      <c r="Q296" t="s">
        <v>778</v>
      </c>
      <c r="W296" t="s">
        <v>1718</v>
      </c>
      <c r="X296" t="s">
        <v>780</v>
      </c>
      <c r="Y296" t="s">
        <v>807</v>
      </c>
      <c r="AA296" s="31">
        <v>46052</v>
      </c>
      <c r="AB296">
        <v>1600</v>
      </c>
      <c r="AC296">
        <v>2174</v>
      </c>
      <c r="AD296">
        <v>79</v>
      </c>
      <c r="AE296" t="s">
        <v>44</v>
      </c>
      <c r="AF296" s="31">
        <v>45959</v>
      </c>
      <c r="AG296" s="61">
        <v>0.70923611111111107</v>
      </c>
      <c r="AI296" t="s">
        <v>795</v>
      </c>
      <c r="AJ296" s="31">
        <v>46038</v>
      </c>
      <c r="AK296" s="61">
        <v>0.66703703703703698</v>
      </c>
      <c r="AL296" t="s">
        <v>934</v>
      </c>
      <c r="AM296" t="s">
        <v>2303</v>
      </c>
      <c r="AO296" t="s">
        <v>2309</v>
      </c>
      <c r="AQ296" t="s">
        <v>2203</v>
      </c>
      <c r="AS296" s="31">
        <v>46038</v>
      </c>
      <c r="AY296">
        <v>1</v>
      </c>
    </row>
    <row r="297" spans="1:51" x14ac:dyDescent="0.3">
      <c r="A297" t="s">
        <v>44</v>
      </c>
      <c r="B297">
        <v>667</v>
      </c>
      <c r="D297">
        <v>2698</v>
      </c>
      <c r="G297" t="s">
        <v>2313</v>
      </c>
      <c r="J297" t="s">
        <v>2314</v>
      </c>
      <c r="K297" t="s">
        <v>2314</v>
      </c>
      <c r="L297">
        <v>67991479660</v>
      </c>
      <c r="N297" t="s">
        <v>2294</v>
      </c>
      <c r="Q297" t="s">
        <v>778</v>
      </c>
      <c r="X297" t="s">
        <v>780</v>
      </c>
      <c r="Y297" t="s">
        <v>857</v>
      </c>
      <c r="AA297" s="31"/>
      <c r="AB297">
        <v>1600</v>
      </c>
      <c r="AC297">
        <v>21746</v>
      </c>
      <c r="AD297">
        <v>25</v>
      </c>
      <c r="AE297" t="s">
        <v>44</v>
      </c>
      <c r="AF297" s="31">
        <v>45960</v>
      </c>
      <c r="AG297" s="61">
        <v>0.45494212962962971</v>
      </c>
      <c r="AI297" t="s">
        <v>795</v>
      </c>
      <c r="AJ297" s="31">
        <v>45985</v>
      </c>
      <c r="AK297" s="61">
        <v>0.70178240740740738</v>
      </c>
      <c r="AL297" t="s">
        <v>867</v>
      </c>
      <c r="AM297" t="s">
        <v>2296</v>
      </c>
      <c r="AO297" t="s">
        <v>2203</v>
      </c>
      <c r="AQ297" t="s">
        <v>2297</v>
      </c>
      <c r="AS297" s="31"/>
      <c r="AY297">
        <v>1</v>
      </c>
    </row>
    <row r="298" spans="1:51" x14ac:dyDescent="0.3">
      <c r="A298" t="s">
        <v>44</v>
      </c>
      <c r="B298">
        <v>669</v>
      </c>
      <c r="D298">
        <v>2718</v>
      </c>
      <c r="G298" t="s">
        <v>2316</v>
      </c>
      <c r="J298" t="s">
        <v>2317</v>
      </c>
      <c r="K298" t="s">
        <v>2317</v>
      </c>
      <c r="L298">
        <v>4791025652</v>
      </c>
      <c r="N298" t="s">
        <v>1111</v>
      </c>
      <c r="Q298" t="s">
        <v>778</v>
      </c>
      <c r="X298" t="s">
        <v>780</v>
      </c>
      <c r="Y298" t="s">
        <v>793</v>
      </c>
      <c r="AA298" s="31"/>
      <c r="AB298">
        <v>0</v>
      </c>
      <c r="AC298">
        <v>2185</v>
      </c>
      <c r="AD298">
        <v>26</v>
      </c>
      <c r="AE298" t="s">
        <v>44</v>
      </c>
      <c r="AF298" s="31">
        <v>45961</v>
      </c>
      <c r="AG298" s="61">
        <v>0.4906712962962963</v>
      </c>
      <c r="AI298" t="s">
        <v>795</v>
      </c>
      <c r="AJ298" s="31">
        <v>45987</v>
      </c>
      <c r="AK298" s="61">
        <v>0.5857175925925926</v>
      </c>
      <c r="AL298" t="s">
        <v>796</v>
      </c>
      <c r="AM298" t="s">
        <v>2319</v>
      </c>
      <c r="AO298" t="s">
        <v>2282</v>
      </c>
      <c r="AQ298" t="s">
        <v>2282</v>
      </c>
      <c r="AS298" s="31"/>
      <c r="AY298">
        <v>1</v>
      </c>
    </row>
    <row r="299" spans="1:51" x14ac:dyDescent="0.3">
      <c r="A299" t="s">
        <v>31</v>
      </c>
      <c r="B299">
        <v>672</v>
      </c>
      <c r="D299">
        <v>2729</v>
      </c>
      <c r="E299" t="s">
        <v>4710</v>
      </c>
      <c r="G299" t="s">
        <v>2321</v>
      </c>
      <c r="J299" t="s">
        <v>2322</v>
      </c>
      <c r="K299" t="s">
        <v>2322</v>
      </c>
      <c r="L299">
        <v>15996012600</v>
      </c>
      <c r="N299" t="s">
        <v>1111</v>
      </c>
      <c r="Q299" t="s">
        <v>778</v>
      </c>
      <c r="T299" t="s">
        <v>933</v>
      </c>
      <c r="W299" t="s">
        <v>1419</v>
      </c>
      <c r="X299" t="s">
        <v>780</v>
      </c>
      <c r="Y299" t="s">
        <v>807</v>
      </c>
      <c r="AA299" s="31">
        <v>46203</v>
      </c>
      <c r="AB299">
        <v>46200</v>
      </c>
      <c r="AC299">
        <v>146047</v>
      </c>
      <c r="AD299">
        <v>163</v>
      </c>
      <c r="AE299" t="s">
        <v>31</v>
      </c>
      <c r="AF299" s="31">
        <v>45964</v>
      </c>
      <c r="AG299" s="61">
        <v>0.65491898148148153</v>
      </c>
      <c r="AI299" t="s">
        <v>782</v>
      </c>
      <c r="AJ299" s="31"/>
      <c r="AK299" s="61"/>
      <c r="AO299" t="s">
        <v>2324</v>
      </c>
      <c r="AP299" t="s">
        <v>31</v>
      </c>
      <c r="AQ299" t="s">
        <v>2325</v>
      </c>
      <c r="AR299" t="s">
        <v>2326</v>
      </c>
      <c r="AS299" s="31">
        <v>46097</v>
      </c>
      <c r="AT299">
        <v>50</v>
      </c>
      <c r="AY299">
        <v>1</v>
      </c>
    </row>
    <row r="300" spans="1:51" x14ac:dyDescent="0.3">
      <c r="A300" t="s">
        <v>22</v>
      </c>
      <c r="B300">
        <v>673</v>
      </c>
      <c r="D300">
        <v>2730</v>
      </c>
      <c r="E300" t="s">
        <v>2327</v>
      </c>
      <c r="G300" t="s">
        <v>2328</v>
      </c>
      <c r="H300">
        <v>22949063000121</v>
      </c>
      <c r="J300" t="s">
        <v>2329</v>
      </c>
      <c r="K300" t="s">
        <v>2329</v>
      </c>
      <c r="L300" t="s">
        <v>2330</v>
      </c>
      <c r="N300" t="s">
        <v>2331</v>
      </c>
      <c r="Q300" t="s">
        <v>778</v>
      </c>
      <c r="R300" t="s">
        <v>1094</v>
      </c>
      <c r="S300" t="s">
        <v>790</v>
      </c>
      <c r="T300" t="s">
        <v>791</v>
      </c>
      <c r="W300" t="s">
        <v>1718</v>
      </c>
      <c r="X300" t="s">
        <v>780</v>
      </c>
      <c r="Y300" t="s">
        <v>807</v>
      </c>
      <c r="AA300" s="31">
        <v>46053</v>
      </c>
      <c r="AB300">
        <v>20000</v>
      </c>
      <c r="AC300">
        <v>5880</v>
      </c>
      <c r="AD300">
        <v>94</v>
      </c>
      <c r="AE300" t="s">
        <v>22</v>
      </c>
      <c r="AF300" s="31">
        <v>45966</v>
      </c>
      <c r="AG300" s="61">
        <v>0.45071759259259259</v>
      </c>
      <c r="AI300" t="s">
        <v>795</v>
      </c>
      <c r="AJ300" s="31">
        <v>46060</v>
      </c>
      <c r="AK300" s="61">
        <v>0.36284722222222221</v>
      </c>
      <c r="AL300" t="s">
        <v>974</v>
      </c>
      <c r="AM300" t="s">
        <v>2332</v>
      </c>
      <c r="AO300" t="s">
        <v>2333</v>
      </c>
      <c r="AP300" t="s">
        <v>22</v>
      </c>
      <c r="AQ300" t="s">
        <v>2334</v>
      </c>
      <c r="AS300" s="31">
        <v>46045</v>
      </c>
      <c r="AT300">
        <v>30</v>
      </c>
      <c r="AY300">
        <v>1</v>
      </c>
    </row>
    <row r="301" spans="1:51" x14ac:dyDescent="0.3">
      <c r="A301" t="s">
        <v>44</v>
      </c>
      <c r="B301">
        <v>674</v>
      </c>
      <c r="D301">
        <v>2733</v>
      </c>
      <c r="F301" t="s">
        <v>2335</v>
      </c>
      <c r="G301" t="s">
        <v>2336</v>
      </c>
      <c r="H301">
        <v>4911908000370</v>
      </c>
      <c r="J301" t="s">
        <v>2335</v>
      </c>
      <c r="K301" t="s">
        <v>2335</v>
      </c>
      <c r="L301" t="s">
        <v>2337</v>
      </c>
      <c r="N301" t="s">
        <v>2338</v>
      </c>
      <c r="Q301" t="s">
        <v>778</v>
      </c>
      <c r="R301" t="s">
        <v>2339</v>
      </c>
      <c r="S301" t="s">
        <v>790</v>
      </c>
      <c r="T301" t="s">
        <v>805</v>
      </c>
      <c r="X301" t="s">
        <v>780</v>
      </c>
      <c r="Y301" t="s">
        <v>793</v>
      </c>
      <c r="AA301" s="31"/>
      <c r="AB301">
        <v>81786</v>
      </c>
      <c r="AC301">
        <v>914979</v>
      </c>
      <c r="AD301">
        <v>21</v>
      </c>
      <c r="AE301" t="s">
        <v>44</v>
      </c>
      <c r="AF301" s="31">
        <v>45966</v>
      </c>
      <c r="AG301" s="61">
        <v>0.64677083333333329</v>
      </c>
      <c r="AI301" t="s">
        <v>795</v>
      </c>
      <c r="AJ301" s="31">
        <v>45987</v>
      </c>
      <c r="AK301" s="61">
        <v>0.5209259259259259</v>
      </c>
      <c r="AL301" t="s">
        <v>858</v>
      </c>
      <c r="AM301" t="s">
        <v>2340</v>
      </c>
      <c r="AO301" t="s">
        <v>2286</v>
      </c>
      <c r="AQ301" t="s">
        <v>2341</v>
      </c>
      <c r="AS301" s="31"/>
      <c r="AY301">
        <v>1</v>
      </c>
    </row>
    <row r="302" spans="1:51" x14ac:dyDescent="0.3">
      <c r="A302" t="s">
        <v>44</v>
      </c>
      <c r="B302">
        <v>680</v>
      </c>
      <c r="D302">
        <v>2755</v>
      </c>
      <c r="G302" t="s">
        <v>2342</v>
      </c>
      <c r="J302" t="s">
        <v>2343</v>
      </c>
      <c r="K302" t="s">
        <v>2343</v>
      </c>
      <c r="L302">
        <v>62993609476</v>
      </c>
      <c r="N302" t="s">
        <v>1522</v>
      </c>
      <c r="Q302" t="s">
        <v>778</v>
      </c>
      <c r="X302" t="s">
        <v>780</v>
      </c>
      <c r="Y302" t="s">
        <v>816</v>
      </c>
      <c r="AA302" s="31"/>
      <c r="AB302">
        <v>0</v>
      </c>
      <c r="AC302">
        <v>3564</v>
      </c>
      <c r="AD302">
        <v>13</v>
      </c>
      <c r="AE302" t="s">
        <v>44</v>
      </c>
      <c r="AF302" s="31">
        <v>45973</v>
      </c>
      <c r="AG302" s="61">
        <v>0.43079861111111112</v>
      </c>
      <c r="AI302" t="s">
        <v>818</v>
      </c>
      <c r="AJ302" s="31">
        <v>45986</v>
      </c>
      <c r="AK302" s="61">
        <v>0.64148148148148143</v>
      </c>
      <c r="AO302" t="s">
        <v>2341</v>
      </c>
      <c r="AQ302" t="s">
        <v>2341</v>
      </c>
      <c r="AS302" s="31"/>
      <c r="AY302">
        <v>1</v>
      </c>
    </row>
    <row r="303" spans="1:51" x14ac:dyDescent="0.3">
      <c r="A303" t="s">
        <v>44</v>
      </c>
      <c r="B303">
        <v>681</v>
      </c>
      <c r="D303">
        <v>2756</v>
      </c>
      <c r="E303" t="s">
        <v>2344</v>
      </c>
      <c r="G303" t="s">
        <v>2345</v>
      </c>
      <c r="H303">
        <v>43252675000130</v>
      </c>
      <c r="J303" t="s">
        <v>2346</v>
      </c>
      <c r="K303" t="s">
        <v>2346</v>
      </c>
      <c r="L303" t="s">
        <v>2347</v>
      </c>
      <c r="N303" t="s">
        <v>2348</v>
      </c>
      <c r="Q303" t="s">
        <v>778</v>
      </c>
      <c r="R303" t="s">
        <v>1787</v>
      </c>
      <c r="S303" t="s">
        <v>790</v>
      </c>
      <c r="W303" t="s">
        <v>1581</v>
      </c>
      <c r="X303" t="s">
        <v>780</v>
      </c>
      <c r="Y303" t="s">
        <v>816</v>
      </c>
      <c r="AA303" s="31">
        <v>46022</v>
      </c>
      <c r="AB303">
        <v>22000</v>
      </c>
      <c r="AC303">
        <v>1800</v>
      </c>
      <c r="AD303">
        <v>54</v>
      </c>
      <c r="AE303" t="s">
        <v>44</v>
      </c>
      <c r="AF303" s="31">
        <v>45973</v>
      </c>
      <c r="AG303" s="61">
        <v>0.6058217592592593</v>
      </c>
      <c r="AI303" t="s">
        <v>818</v>
      </c>
      <c r="AJ303" s="31">
        <v>46027</v>
      </c>
      <c r="AK303" s="61">
        <v>0.61912037037037038</v>
      </c>
      <c r="AO303" t="s">
        <v>2341</v>
      </c>
      <c r="AP303" t="s">
        <v>44</v>
      </c>
      <c r="AQ303" t="s">
        <v>2341</v>
      </c>
      <c r="AR303" t="s">
        <v>2349</v>
      </c>
      <c r="AS303" s="31">
        <v>46003</v>
      </c>
      <c r="AY303">
        <v>1</v>
      </c>
    </row>
    <row r="304" spans="1:51" x14ac:dyDescent="0.3">
      <c r="A304" t="s">
        <v>44</v>
      </c>
      <c r="B304">
        <v>684</v>
      </c>
      <c r="D304">
        <v>2760</v>
      </c>
      <c r="G304" t="s">
        <v>2350</v>
      </c>
      <c r="J304" t="s">
        <v>2351</v>
      </c>
      <c r="K304" t="s">
        <v>2351</v>
      </c>
      <c r="L304">
        <v>11979734057</v>
      </c>
      <c r="N304" t="s">
        <v>2353</v>
      </c>
      <c r="Q304" t="s">
        <v>778</v>
      </c>
      <c r="W304" t="s">
        <v>1718</v>
      </c>
      <c r="X304" t="s">
        <v>780</v>
      </c>
      <c r="Y304" t="s">
        <v>793</v>
      </c>
      <c r="AA304" s="31"/>
      <c r="AB304">
        <v>106400</v>
      </c>
      <c r="AC304">
        <v>1419164</v>
      </c>
      <c r="AD304">
        <v>13</v>
      </c>
      <c r="AE304" t="s">
        <v>44</v>
      </c>
      <c r="AF304" s="31">
        <v>45974</v>
      </c>
      <c r="AG304" s="61">
        <v>0.5064467592592593</v>
      </c>
      <c r="AI304" t="s">
        <v>795</v>
      </c>
      <c r="AJ304" s="31">
        <v>45987</v>
      </c>
      <c r="AK304" s="61">
        <v>0.53358796296296296</v>
      </c>
      <c r="AL304" t="s">
        <v>796</v>
      </c>
      <c r="AM304" t="s">
        <v>2354</v>
      </c>
      <c r="AO304" t="s">
        <v>2355</v>
      </c>
      <c r="AQ304" t="s">
        <v>2355</v>
      </c>
      <c r="AS304" s="31"/>
      <c r="AY304">
        <v>1</v>
      </c>
    </row>
    <row r="305" spans="1:51" x14ac:dyDescent="0.3">
      <c r="A305" t="s">
        <v>31</v>
      </c>
      <c r="B305">
        <v>685</v>
      </c>
      <c r="D305">
        <v>2761</v>
      </c>
      <c r="F305" t="s">
        <v>2356</v>
      </c>
      <c r="G305" t="s">
        <v>2357</v>
      </c>
      <c r="H305">
        <v>42517186000109</v>
      </c>
      <c r="J305" t="s">
        <v>2356</v>
      </c>
      <c r="K305" t="s">
        <v>2356</v>
      </c>
      <c r="L305" t="s">
        <v>2358</v>
      </c>
      <c r="N305" t="s">
        <v>2359</v>
      </c>
      <c r="Q305" t="s">
        <v>778</v>
      </c>
      <c r="R305" t="s">
        <v>2360</v>
      </c>
      <c r="S305" t="s">
        <v>790</v>
      </c>
      <c r="T305" t="s">
        <v>805</v>
      </c>
      <c r="X305" t="s">
        <v>780</v>
      </c>
      <c r="Y305" t="s">
        <v>781</v>
      </c>
      <c r="AA305" s="31"/>
      <c r="AD305">
        <v>0</v>
      </c>
      <c r="AE305" t="s">
        <v>31</v>
      </c>
      <c r="AF305" s="31">
        <v>45974</v>
      </c>
      <c r="AG305" s="61">
        <v>0.67355324074074074</v>
      </c>
      <c r="AI305" t="s">
        <v>795</v>
      </c>
      <c r="AJ305" s="31">
        <v>45974</v>
      </c>
      <c r="AK305" s="61">
        <v>0.6752893518518519</v>
      </c>
      <c r="AL305" t="s">
        <v>867</v>
      </c>
      <c r="AP305" t="s">
        <v>31</v>
      </c>
      <c r="AS305" s="31"/>
      <c r="AY305">
        <v>1</v>
      </c>
    </row>
    <row r="306" spans="1:51" x14ac:dyDescent="0.3">
      <c r="A306" t="s">
        <v>44</v>
      </c>
      <c r="B306">
        <v>690</v>
      </c>
      <c r="D306">
        <v>2872</v>
      </c>
      <c r="G306" t="s">
        <v>2361</v>
      </c>
      <c r="J306" t="s">
        <v>2362</v>
      </c>
      <c r="K306" t="s">
        <v>2362</v>
      </c>
      <c r="L306">
        <v>11910695515</v>
      </c>
      <c r="N306" t="s">
        <v>1111</v>
      </c>
      <c r="Q306" t="s">
        <v>778</v>
      </c>
      <c r="W306" t="s">
        <v>1704</v>
      </c>
      <c r="X306" t="s">
        <v>780</v>
      </c>
      <c r="Y306" t="s">
        <v>816</v>
      </c>
      <c r="AA306" s="31">
        <v>45987</v>
      </c>
      <c r="AB306">
        <v>0</v>
      </c>
      <c r="AC306">
        <v>114048</v>
      </c>
      <c r="AD306">
        <v>16</v>
      </c>
      <c r="AE306" t="s">
        <v>44</v>
      </c>
      <c r="AF306" s="31">
        <v>45985</v>
      </c>
      <c r="AG306" s="61">
        <v>0.70365740740740745</v>
      </c>
      <c r="AI306" t="s">
        <v>818</v>
      </c>
      <c r="AJ306" s="31">
        <v>46001</v>
      </c>
      <c r="AK306" s="61">
        <v>0.42643518518518519</v>
      </c>
      <c r="AO306" t="s">
        <v>2363</v>
      </c>
      <c r="AQ306" t="s">
        <v>2363</v>
      </c>
      <c r="AS306" s="31"/>
      <c r="AY306">
        <v>1</v>
      </c>
    </row>
    <row r="307" spans="1:51" x14ac:dyDescent="0.3">
      <c r="A307" t="s">
        <v>44</v>
      </c>
      <c r="B307">
        <v>692</v>
      </c>
      <c r="D307">
        <v>2880</v>
      </c>
      <c r="G307" t="s">
        <v>2364</v>
      </c>
      <c r="J307" t="s">
        <v>2365</v>
      </c>
      <c r="K307" t="s">
        <v>2365</v>
      </c>
      <c r="L307">
        <v>11979734057</v>
      </c>
      <c r="N307" t="s">
        <v>2353</v>
      </c>
      <c r="Q307" t="s">
        <v>778</v>
      </c>
      <c r="W307" t="s">
        <v>1718</v>
      </c>
      <c r="X307" t="s">
        <v>780</v>
      </c>
      <c r="Y307" t="s">
        <v>793</v>
      </c>
      <c r="AA307" s="31"/>
      <c r="AB307">
        <v>1600</v>
      </c>
      <c r="AC307">
        <v>860304</v>
      </c>
      <c r="AD307">
        <v>1</v>
      </c>
      <c r="AE307" t="s">
        <v>44</v>
      </c>
      <c r="AF307" s="31">
        <v>45986</v>
      </c>
      <c r="AG307" s="61">
        <v>0.62754629629629632</v>
      </c>
      <c r="AI307" t="s">
        <v>795</v>
      </c>
      <c r="AJ307" s="31">
        <v>45987</v>
      </c>
      <c r="AK307" s="61">
        <v>0.53437500000000004</v>
      </c>
      <c r="AL307" t="s">
        <v>796</v>
      </c>
      <c r="AM307" t="s">
        <v>2366</v>
      </c>
      <c r="AO307" t="s">
        <v>2355</v>
      </c>
      <c r="AQ307" t="s">
        <v>2355</v>
      </c>
      <c r="AS307" s="31"/>
      <c r="AY307">
        <v>1</v>
      </c>
    </row>
    <row r="308" spans="1:51" x14ac:dyDescent="0.3">
      <c r="A308" t="s">
        <v>44</v>
      </c>
      <c r="B308">
        <v>693</v>
      </c>
      <c r="D308">
        <v>2881</v>
      </c>
      <c r="G308" t="s">
        <v>2367</v>
      </c>
      <c r="J308" t="s">
        <v>2368</v>
      </c>
      <c r="K308" t="s">
        <v>2368</v>
      </c>
      <c r="L308">
        <v>7530217768</v>
      </c>
      <c r="N308" t="s">
        <v>1111</v>
      </c>
      <c r="Q308" t="s">
        <v>778</v>
      </c>
      <c r="X308" t="s">
        <v>780</v>
      </c>
      <c r="Y308" t="s">
        <v>781</v>
      </c>
      <c r="AA308" s="31"/>
      <c r="AB308">
        <v>330714</v>
      </c>
      <c r="AC308">
        <v>0</v>
      </c>
      <c r="AD308">
        <v>0</v>
      </c>
      <c r="AE308" t="s">
        <v>44</v>
      </c>
      <c r="AF308" s="31">
        <v>45986</v>
      </c>
      <c r="AG308" s="61">
        <v>0.65606481481481482</v>
      </c>
      <c r="AI308" t="s">
        <v>818</v>
      </c>
      <c r="AJ308" s="31">
        <v>45986</v>
      </c>
      <c r="AK308" s="61">
        <v>0.65793981481481478</v>
      </c>
      <c r="AO308" t="s">
        <v>2283</v>
      </c>
      <c r="AQ308" t="s">
        <v>2283</v>
      </c>
      <c r="AS308" s="31"/>
      <c r="AY308">
        <v>1</v>
      </c>
    </row>
    <row r="309" spans="1:51" x14ac:dyDescent="0.3">
      <c r="A309" t="s">
        <v>44</v>
      </c>
      <c r="B309">
        <v>694</v>
      </c>
      <c r="D309">
        <v>2882</v>
      </c>
      <c r="G309" t="s">
        <v>2370</v>
      </c>
      <c r="J309" t="s">
        <v>2371</v>
      </c>
      <c r="K309" t="s">
        <v>2371</v>
      </c>
      <c r="L309">
        <v>11969325678</v>
      </c>
      <c r="N309" t="s">
        <v>1111</v>
      </c>
      <c r="Q309" t="s">
        <v>778</v>
      </c>
      <c r="W309" t="s">
        <v>1718</v>
      </c>
      <c r="X309" t="s">
        <v>780</v>
      </c>
      <c r="Y309" t="s">
        <v>793</v>
      </c>
      <c r="AA309" s="31">
        <v>46023</v>
      </c>
      <c r="AB309">
        <v>16960</v>
      </c>
      <c r="AC309">
        <v>450</v>
      </c>
      <c r="AD309">
        <v>15</v>
      </c>
      <c r="AE309" t="s">
        <v>44</v>
      </c>
      <c r="AF309" s="31">
        <v>45986</v>
      </c>
      <c r="AG309" s="61">
        <v>0.66625000000000001</v>
      </c>
      <c r="AI309" t="s">
        <v>795</v>
      </c>
      <c r="AJ309" s="31">
        <v>46001</v>
      </c>
      <c r="AK309" s="61">
        <v>0.39305555555555549</v>
      </c>
      <c r="AL309" t="s">
        <v>796</v>
      </c>
      <c r="AM309" t="s">
        <v>2373</v>
      </c>
      <c r="AO309" t="s">
        <v>2286</v>
      </c>
      <c r="AQ309" t="s">
        <v>2286</v>
      </c>
      <c r="AS309" s="31"/>
      <c r="AY309">
        <v>1</v>
      </c>
    </row>
    <row r="310" spans="1:51" x14ac:dyDescent="0.3">
      <c r="A310" t="s">
        <v>44</v>
      </c>
      <c r="B310">
        <v>695</v>
      </c>
      <c r="D310">
        <v>2883</v>
      </c>
      <c r="G310" t="s">
        <v>2374</v>
      </c>
      <c r="H310">
        <v>57524096000104</v>
      </c>
      <c r="J310" t="s">
        <v>2375</v>
      </c>
      <c r="K310" t="s">
        <v>2375</v>
      </c>
      <c r="L310">
        <v>88996365702</v>
      </c>
      <c r="N310" t="s">
        <v>2377</v>
      </c>
      <c r="Q310" t="s">
        <v>778</v>
      </c>
      <c r="R310" t="s">
        <v>2378</v>
      </c>
      <c r="S310" t="s">
        <v>2379</v>
      </c>
      <c r="W310" t="s">
        <v>1718</v>
      </c>
      <c r="X310" t="s">
        <v>780</v>
      </c>
      <c r="Y310" t="s">
        <v>857</v>
      </c>
      <c r="AA310" s="31"/>
      <c r="AD310">
        <v>8</v>
      </c>
      <c r="AE310" t="s">
        <v>44</v>
      </c>
      <c r="AF310" s="31">
        <v>45986</v>
      </c>
      <c r="AG310" s="61">
        <v>0.68422453703703701</v>
      </c>
      <c r="AI310" t="s">
        <v>795</v>
      </c>
      <c r="AJ310" s="31">
        <v>45994</v>
      </c>
      <c r="AK310" s="61">
        <v>0.66239583333333329</v>
      </c>
      <c r="AL310" t="s">
        <v>796</v>
      </c>
      <c r="AM310" t="s">
        <v>2380</v>
      </c>
      <c r="AO310" t="s">
        <v>2349</v>
      </c>
      <c r="AQ310" t="s">
        <v>2273</v>
      </c>
      <c r="AS310" s="31"/>
      <c r="AY310">
        <v>1</v>
      </c>
    </row>
    <row r="311" spans="1:51" x14ac:dyDescent="0.3">
      <c r="A311" t="s">
        <v>44</v>
      </c>
      <c r="B311">
        <v>696</v>
      </c>
      <c r="D311">
        <v>2885</v>
      </c>
      <c r="G311" t="s">
        <v>2381</v>
      </c>
      <c r="H311">
        <v>57524096000104</v>
      </c>
      <c r="J311" t="s">
        <v>2382</v>
      </c>
      <c r="K311" t="s">
        <v>2382</v>
      </c>
      <c r="L311">
        <v>88996365702</v>
      </c>
      <c r="N311" t="s">
        <v>2377</v>
      </c>
      <c r="Q311" t="s">
        <v>778</v>
      </c>
      <c r="W311" t="s">
        <v>1718</v>
      </c>
      <c r="X311" t="s">
        <v>780</v>
      </c>
      <c r="Y311" t="s">
        <v>857</v>
      </c>
      <c r="AA311" s="31"/>
      <c r="AD311">
        <v>8</v>
      </c>
      <c r="AE311" t="s">
        <v>44</v>
      </c>
      <c r="AF311" s="31">
        <v>45986</v>
      </c>
      <c r="AG311" s="61">
        <v>0.70030092592592597</v>
      </c>
      <c r="AI311" t="s">
        <v>795</v>
      </c>
      <c r="AJ311" s="31">
        <v>45994</v>
      </c>
      <c r="AK311" s="61">
        <v>0.66202546296296294</v>
      </c>
      <c r="AL311" t="s">
        <v>796</v>
      </c>
      <c r="AM311" t="s">
        <v>2380</v>
      </c>
      <c r="AO311" t="s">
        <v>2349</v>
      </c>
      <c r="AQ311" t="s">
        <v>2273</v>
      </c>
      <c r="AS311" s="31"/>
      <c r="AY311">
        <v>1</v>
      </c>
    </row>
    <row r="312" spans="1:51" x14ac:dyDescent="0.3">
      <c r="A312" t="s">
        <v>44</v>
      </c>
      <c r="B312">
        <v>697</v>
      </c>
      <c r="D312">
        <v>2887</v>
      </c>
      <c r="G312" t="s">
        <v>2383</v>
      </c>
      <c r="J312" t="s">
        <v>2384</v>
      </c>
      <c r="K312" t="s">
        <v>2384</v>
      </c>
      <c r="L312">
        <v>1125751800</v>
      </c>
      <c r="N312" t="s">
        <v>2338</v>
      </c>
      <c r="Q312" t="s">
        <v>778</v>
      </c>
      <c r="X312" t="s">
        <v>780</v>
      </c>
      <c r="Y312" t="s">
        <v>857</v>
      </c>
      <c r="AA312" s="31"/>
      <c r="AB312">
        <v>1600</v>
      </c>
      <c r="AC312">
        <v>335607</v>
      </c>
      <c r="AD312">
        <v>1</v>
      </c>
      <c r="AE312" t="s">
        <v>44</v>
      </c>
      <c r="AF312" s="31">
        <v>45986</v>
      </c>
      <c r="AG312" s="61">
        <v>0.71326388888888892</v>
      </c>
      <c r="AI312" t="s">
        <v>795</v>
      </c>
      <c r="AJ312" s="31">
        <v>45987</v>
      </c>
      <c r="AK312" s="61">
        <v>0.52252314814814815</v>
      </c>
      <c r="AL312" t="s">
        <v>858</v>
      </c>
      <c r="AM312" t="s">
        <v>2340</v>
      </c>
      <c r="AO312" t="s">
        <v>2286</v>
      </c>
      <c r="AQ312" t="s">
        <v>2341</v>
      </c>
      <c r="AS312" s="31"/>
      <c r="AY312">
        <v>1</v>
      </c>
    </row>
    <row r="313" spans="1:51" x14ac:dyDescent="0.3">
      <c r="A313" t="s">
        <v>22</v>
      </c>
      <c r="B313">
        <v>700</v>
      </c>
      <c r="D313">
        <v>2874</v>
      </c>
      <c r="G313" t="s">
        <v>2386</v>
      </c>
      <c r="J313" t="s">
        <v>2387</v>
      </c>
      <c r="K313" t="s">
        <v>2387</v>
      </c>
      <c r="L313" t="s">
        <v>2388</v>
      </c>
      <c r="N313" t="s">
        <v>2389</v>
      </c>
      <c r="Q313" t="s">
        <v>778</v>
      </c>
      <c r="R313" t="s">
        <v>2390</v>
      </c>
      <c r="T313" t="s">
        <v>814</v>
      </c>
      <c r="W313" t="s">
        <v>2391</v>
      </c>
      <c r="X313" t="s">
        <v>780</v>
      </c>
      <c r="Y313" t="s">
        <v>793</v>
      </c>
      <c r="AA313" s="31">
        <v>46053</v>
      </c>
      <c r="AD313">
        <v>14</v>
      </c>
      <c r="AE313" t="s">
        <v>22</v>
      </c>
      <c r="AF313" s="31">
        <v>45987</v>
      </c>
      <c r="AG313" s="61">
        <v>0.47543981481481479</v>
      </c>
      <c r="AI313" t="s">
        <v>795</v>
      </c>
      <c r="AJ313" s="31">
        <v>46001</v>
      </c>
      <c r="AK313" s="61">
        <v>0.96790509259259261</v>
      </c>
      <c r="AL313" t="s">
        <v>934</v>
      </c>
      <c r="AO313" t="s">
        <v>2392</v>
      </c>
      <c r="AP313" t="s">
        <v>22</v>
      </c>
      <c r="AQ313" t="s">
        <v>2392</v>
      </c>
      <c r="AS313" s="31"/>
      <c r="AY313">
        <v>1</v>
      </c>
    </row>
    <row r="314" spans="1:51" x14ac:dyDescent="0.3">
      <c r="A314" t="s">
        <v>22</v>
      </c>
      <c r="B314">
        <v>701</v>
      </c>
      <c r="D314">
        <v>2829</v>
      </c>
      <c r="E314" t="s">
        <v>2393</v>
      </c>
      <c r="G314" t="s">
        <v>2394</v>
      </c>
      <c r="H314">
        <v>5825017000100</v>
      </c>
      <c r="J314" t="s">
        <v>2395</v>
      </c>
      <c r="K314" t="s">
        <v>2395</v>
      </c>
      <c r="L314" t="s">
        <v>2396</v>
      </c>
      <c r="N314" t="s">
        <v>2397</v>
      </c>
      <c r="Q314" t="s">
        <v>778</v>
      </c>
      <c r="R314" t="s">
        <v>2398</v>
      </c>
      <c r="T314" t="s">
        <v>814</v>
      </c>
      <c r="W314" t="s">
        <v>2399</v>
      </c>
      <c r="X314" t="s">
        <v>780</v>
      </c>
      <c r="Y314" t="s">
        <v>807</v>
      </c>
      <c r="AA314" s="31">
        <v>46112</v>
      </c>
      <c r="AB314">
        <v>130600</v>
      </c>
      <c r="AC314">
        <v>1680982</v>
      </c>
      <c r="AD314">
        <v>140</v>
      </c>
      <c r="AE314" t="s">
        <v>22</v>
      </c>
      <c r="AF314" s="31">
        <v>45987</v>
      </c>
      <c r="AG314" s="61">
        <v>0.47600694444444452</v>
      </c>
      <c r="AI314" t="s">
        <v>782</v>
      </c>
      <c r="AJ314" s="31"/>
      <c r="AK314" s="61"/>
      <c r="AO314" t="s">
        <v>2392</v>
      </c>
      <c r="AP314" t="s">
        <v>22</v>
      </c>
      <c r="AQ314" t="s">
        <v>2392</v>
      </c>
      <c r="AS314" s="31">
        <v>46112</v>
      </c>
      <c r="AT314">
        <v>30</v>
      </c>
      <c r="AU314">
        <v>653</v>
      </c>
      <c r="AV314" t="s">
        <v>2401</v>
      </c>
      <c r="AW314" t="s">
        <v>2402</v>
      </c>
      <c r="AX314" t="s">
        <v>2403</v>
      </c>
      <c r="AY314">
        <v>1</v>
      </c>
    </row>
    <row r="315" spans="1:51" x14ac:dyDescent="0.3">
      <c r="A315" t="s">
        <v>22</v>
      </c>
      <c r="B315">
        <v>702</v>
      </c>
      <c r="D315">
        <v>2890</v>
      </c>
      <c r="E315" t="s">
        <v>2404</v>
      </c>
      <c r="G315" t="s">
        <v>2405</v>
      </c>
      <c r="J315" t="s">
        <v>2206</v>
      </c>
      <c r="K315" t="s">
        <v>2206</v>
      </c>
      <c r="L315">
        <v>43996624014</v>
      </c>
      <c r="N315" t="s">
        <v>1111</v>
      </c>
      <c r="Q315" t="s">
        <v>778</v>
      </c>
      <c r="W315" t="s">
        <v>2407</v>
      </c>
      <c r="X315" t="s">
        <v>780</v>
      </c>
      <c r="Y315" t="s">
        <v>816</v>
      </c>
      <c r="AA315" s="31">
        <v>46053</v>
      </c>
      <c r="AB315">
        <v>16000</v>
      </c>
      <c r="AC315">
        <v>5880</v>
      </c>
      <c r="AD315">
        <v>57</v>
      </c>
      <c r="AE315" t="s">
        <v>22</v>
      </c>
      <c r="AF315" s="31">
        <v>45987</v>
      </c>
      <c r="AG315" s="61">
        <v>0.47789351851851852</v>
      </c>
      <c r="AI315" t="s">
        <v>795</v>
      </c>
      <c r="AJ315" s="31">
        <v>46044</v>
      </c>
      <c r="AK315" s="61">
        <v>0.6855324074074074</v>
      </c>
      <c r="AL315" t="s">
        <v>934</v>
      </c>
      <c r="AM315" t="s">
        <v>2408</v>
      </c>
      <c r="AO315" t="s">
        <v>2409</v>
      </c>
      <c r="AP315" t="s">
        <v>22</v>
      </c>
      <c r="AQ315" t="s">
        <v>2409</v>
      </c>
      <c r="AS315" s="31">
        <v>46031</v>
      </c>
      <c r="AY315">
        <v>1</v>
      </c>
    </row>
    <row r="316" spans="1:51" x14ac:dyDescent="0.3">
      <c r="A316" t="s">
        <v>22</v>
      </c>
      <c r="B316">
        <v>703</v>
      </c>
      <c r="D316">
        <v>2891</v>
      </c>
      <c r="E316" t="s">
        <v>2410</v>
      </c>
      <c r="G316" t="s">
        <v>2411</v>
      </c>
      <c r="H316">
        <v>7728812000105</v>
      </c>
      <c r="J316" t="s">
        <v>2412</v>
      </c>
      <c r="K316" t="s">
        <v>2412</v>
      </c>
      <c r="L316" t="s">
        <v>2413</v>
      </c>
      <c r="N316" t="s">
        <v>2414</v>
      </c>
      <c r="Q316" t="s">
        <v>778</v>
      </c>
      <c r="R316" t="s">
        <v>1094</v>
      </c>
      <c r="S316" t="s">
        <v>790</v>
      </c>
      <c r="W316" t="s">
        <v>1718</v>
      </c>
      <c r="X316" t="s">
        <v>780</v>
      </c>
      <c r="Y316" t="s">
        <v>807</v>
      </c>
      <c r="AA316" s="31">
        <v>46045</v>
      </c>
      <c r="AB316">
        <v>72000</v>
      </c>
      <c r="AC316">
        <v>8045</v>
      </c>
      <c r="AD316">
        <v>58</v>
      </c>
      <c r="AE316" t="s">
        <v>22</v>
      </c>
      <c r="AF316" s="31">
        <v>45987</v>
      </c>
      <c r="AG316" s="61">
        <v>0.47932870370370367</v>
      </c>
      <c r="AI316" t="s">
        <v>795</v>
      </c>
      <c r="AJ316" s="31">
        <v>46045</v>
      </c>
      <c r="AK316" s="61">
        <v>0.48511574074074082</v>
      </c>
      <c r="AL316" t="s">
        <v>796</v>
      </c>
      <c r="AO316" t="s">
        <v>1421</v>
      </c>
      <c r="AP316" t="s">
        <v>22</v>
      </c>
      <c r="AQ316" t="s">
        <v>1421</v>
      </c>
      <c r="AS316" s="31">
        <v>46045</v>
      </c>
      <c r="AY316">
        <v>1</v>
      </c>
    </row>
    <row r="317" spans="1:51" x14ac:dyDescent="0.3">
      <c r="A317" t="s">
        <v>22</v>
      </c>
      <c r="B317">
        <v>704</v>
      </c>
      <c r="D317">
        <v>2894</v>
      </c>
      <c r="E317" t="s">
        <v>2415</v>
      </c>
      <c r="G317" t="s">
        <v>2416</v>
      </c>
      <c r="H317">
        <v>3761404000196</v>
      </c>
      <c r="J317" t="s">
        <v>2417</v>
      </c>
      <c r="K317" t="s">
        <v>2417</v>
      </c>
      <c r="L317" t="s">
        <v>2418</v>
      </c>
      <c r="N317" t="s">
        <v>2419</v>
      </c>
      <c r="Q317" t="s">
        <v>778</v>
      </c>
      <c r="R317" t="s">
        <v>2420</v>
      </c>
      <c r="S317" t="s">
        <v>790</v>
      </c>
      <c r="W317" t="s">
        <v>1704</v>
      </c>
      <c r="X317" t="s">
        <v>780</v>
      </c>
      <c r="Y317" t="s">
        <v>816</v>
      </c>
      <c r="AA317" s="31">
        <v>46037</v>
      </c>
      <c r="AB317">
        <v>17829</v>
      </c>
      <c r="AC317">
        <v>83997</v>
      </c>
      <c r="AD317">
        <v>44</v>
      </c>
      <c r="AE317" t="s">
        <v>22</v>
      </c>
      <c r="AF317" s="31">
        <v>45987</v>
      </c>
      <c r="AG317" s="61">
        <v>0.48346064814814821</v>
      </c>
      <c r="AI317" t="s">
        <v>818</v>
      </c>
      <c r="AJ317" s="31">
        <v>46031</v>
      </c>
      <c r="AK317" s="61">
        <v>0.58515046296296291</v>
      </c>
      <c r="AO317" t="s">
        <v>2421</v>
      </c>
      <c r="AP317" t="s">
        <v>22</v>
      </c>
      <c r="AQ317" t="s">
        <v>2392</v>
      </c>
      <c r="AS317" s="31">
        <v>46003</v>
      </c>
      <c r="AY317">
        <v>1</v>
      </c>
    </row>
    <row r="318" spans="1:51" x14ac:dyDescent="0.3">
      <c r="A318" t="s">
        <v>22</v>
      </c>
      <c r="B318">
        <v>705</v>
      </c>
      <c r="D318">
        <v>2896</v>
      </c>
      <c r="E318" t="s">
        <v>2422</v>
      </c>
      <c r="G318" t="s">
        <v>2423</v>
      </c>
      <c r="H318">
        <v>3761404000196</v>
      </c>
      <c r="J318" t="s">
        <v>2424</v>
      </c>
      <c r="K318" t="s">
        <v>2424</v>
      </c>
      <c r="L318" t="s">
        <v>2418</v>
      </c>
      <c r="N318" t="s">
        <v>2419</v>
      </c>
      <c r="Q318" t="s">
        <v>778</v>
      </c>
      <c r="R318" t="s">
        <v>2420</v>
      </c>
      <c r="S318" t="s">
        <v>790</v>
      </c>
      <c r="W318" t="s">
        <v>1718</v>
      </c>
      <c r="X318" t="s">
        <v>780</v>
      </c>
      <c r="Y318" t="s">
        <v>807</v>
      </c>
      <c r="AA318" s="31">
        <v>46022</v>
      </c>
      <c r="AB318">
        <v>1600</v>
      </c>
      <c r="AC318">
        <v>384454</v>
      </c>
      <c r="AD318">
        <v>44</v>
      </c>
      <c r="AE318" t="s">
        <v>22</v>
      </c>
      <c r="AF318" s="31">
        <v>45987</v>
      </c>
      <c r="AG318" s="61">
        <v>0.49594907407407413</v>
      </c>
      <c r="AI318" t="s">
        <v>795</v>
      </c>
      <c r="AJ318" s="31">
        <v>46031</v>
      </c>
      <c r="AK318" s="61">
        <v>0.59928240740740746</v>
      </c>
      <c r="AL318" t="s">
        <v>796</v>
      </c>
      <c r="AO318" t="s">
        <v>2392</v>
      </c>
      <c r="AP318" t="s">
        <v>22</v>
      </c>
      <c r="AQ318" t="s">
        <v>2392</v>
      </c>
      <c r="AS318" s="31">
        <v>46031</v>
      </c>
      <c r="AY318">
        <v>1</v>
      </c>
    </row>
    <row r="319" spans="1:51" x14ac:dyDescent="0.3">
      <c r="A319" t="s">
        <v>22</v>
      </c>
      <c r="B319">
        <v>706</v>
      </c>
      <c r="D319">
        <v>2897</v>
      </c>
      <c r="G319" t="s">
        <v>2425</v>
      </c>
      <c r="J319" t="s">
        <v>2426</v>
      </c>
      <c r="K319" t="s">
        <v>2426</v>
      </c>
      <c r="L319">
        <v>49998169464</v>
      </c>
      <c r="N319" t="s">
        <v>1111</v>
      </c>
      <c r="Q319" t="s">
        <v>778</v>
      </c>
      <c r="X319" t="s">
        <v>780</v>
      </c>
      <c r="Y319" t="s">
        <v>807</v>
      </c>
      <c r="AA319" s="31">
        <v>46037</v>
      </c>
      <c r="AB319">
        <v>50000</v>
      </c>
      <c r="AC319">
        <v>2355</v>
      </c>
      <c r="AD319">
        <v>14</v>
      </c>
      <c r="AE319" t="s">
        <v>22</v>
      </c>
      <c r="AF319" s="31">
        <v>45987</v>
      </c>
      <c r="AG319" s="61">
        <v>0.49806712962962962</v>
      </c>
      <c r="AI319" t="s">
        <v>795</v>
      </c>
      <c r="AJ319" s="31">
        <v>46001</v>
      </c>
      <c r="AK319" s="61">
        <v>0.72103009259259254</v>
      </c>
      <c r="AL319" t="s">
        <v>934</v>
      </c>
      <c r="AO319" t="s">
        <v>2428</v>
      </c>
      <c r="AP319" t="s">
        <v>22</v>
      </c>
      <c r="AQ319" t="s">
        <v>2428</v>
      </c>
      <c r="AS319" s="31"/>
      <c r="AY319">
        <v>1</v>
      </c>
    </row>
    <row r="320" spans="1:51" x14ac:dyDescent="0.3">
      <c r="A320" t="s">
        <v>22</v>
      </c>
      <c r="B320">
        <v>707</v>
      </c>
      <c r="D320">
        <v>2898</v>
      </c>
      <c r="E320" t="s">
        <v>2429</v>
      </c>
      <c r="G320" t="s">
        <v>2430</v>
      </c>
      <c r="J320" t="s">
        <v>2431</v>
      </c>
      <c r="K320" t="s">
        <v>2431</v>
      </c>
      <c r="L320">
        <v>83998878069</v>
      </c>
      <c r="N320" t="s">
        <v>1111</v>
      </c>
      <c r="Q320" t="s">
        <v>778</v>
      </c>
      <c r="T320" t="s">
        <v>791</v>
      </c>
      <c r="W320" t="s">
        <v>1704</v>
      </c>
      <c r="X320" t="s">
        <v>780</v>
      </c>
      <c r="Y320" t="s">
        <v>807</v>
      </c>
      <c r="AA320" s="31">
        <v>46053</v>
      </c>
      <c r="AB320">
        <v>14400</v>
      </c>
      <c r="AC320">
        <v>185328</v>
      </c>
      <c r="AD320">
        <v>47</v>
      </c>
      <c r="AE320" t="s">
        <v>22</v>
      </c>
      <c r="AF320" s="31">
        <v>45987</v>
      </c>
      <c r="AG320" s="61">
        <v>0.49944444444444452</v>
      </c>
      <c r="AI320" t="s">
        <v>795</v>
      </c>
      <c r="AJ320" s="31">
        <v>46034</v>
      </c>
      <c r="AK320" s="61">
        <v>0.93351851851851853</v>
      </c>
      <c r="AL320" t="s">
        <v>796</v>
      </c>
      <c r="AO320" t="s">
        <v>2433</v>
      </c>
      <c r="AP320" t="s">
        <v>22</v>
      </c>
      <c r="AQ320" t="s">
        <v>2433</v>
      </c>
      <c r="AS320" s="31">
        <v>46034</v>
      </c>
      <c r="AY320">
        <v>1</v>
      </c>
    </row>
    <row r="321" spans="1:51" x14ac:dyDescent="0.3">
      <c r="A321" t="s">
        <v>22</v>
      </c>
      <c r="B321">
        <v>708</v>
      </c>
      <c r="D321">
        <v>2899</v>
      </c>
      <c r="G321" t="s">
        <v>2049</v>
      </c>
      <c r="J321" t="s">
        <v>2434</v>
      </c>
      <c r="K321" t="s">
        <v>2434</v>
      </c>
      <c r="L321">
        <v>16996352359</v>
      </c>
      <c r="N321" t="s">
        <v>1111</v>
      </c>
      <c r="Q321" t="s">
        <v>778</v>
      </c>
      <c r="X321" t="s">
        <v>780</v>
      </c>
      <c r="Y321" t="s">
        <v>816</v>
      </c>
      <c r="AA321" s="31"/>
      <c r="AD321">
        <v>12</v>
      </c>
      <c r="AE321" t="s">
        <v>22</v>
      </c>
      <c r="AF321" s="31">
        <v>45987</v>
      </c>
      <c r="AG321" s="61">
        <v>0.50092592592592589</v>
      </c>
      <c r="AI321" t="s">
        <v>818</v>
      </c>
      <c r="AJ321" s="31">
        <v>45999</v>
      </c>
      <c r="AK321" s="61">
        <v>0.57885416666666667</v>
      </c>
      <c r="AO321" t="s">
        <v>2435</v>
      </c>
      <c r="AP321" t="s">
        <v>22</v>
      </c>
      <c r="AQ321" t="s">
        <v>2435</v>
      </c>
      <c r="AS321" s="31"/>
      <c r="AY321">
        <v>1</v>
      </c>
    </row>
    <row r="322" spans="1:51" x14ac:dyDescent="0.3">
      <c r="A322" t="s">
        <v>22</v>
      </c>
      <c r="B322">
        <v>709</v>
      </c>
      <c r="D322">
        <v>2900</v>
      </c>
      <c r="G322" t="s">
        <v>2436</v>
      </c>
      <c r="J322" t="s">
        <v>1804</v>
      </c>
      <c r="K322" t="s">
        <v>1804</v>
      </c>
      <c r="L322">
        <v>16996352359</v>
      </c>
      <c r="N322" t="s">
        <v>1111</v>
      </c>
      <c r="Q322" t="s">
        <v>778</v>
      </c>
      <c r="X322" t="s">
        <v>780</v>
      </c>
      <c r="Y322" t="s">
        <v>816</v>
      </c>
      <c r="AA322" s="31"/>
      <c r="AD322">
        <v>12</v>
      </c>
      <c r="AE322" t="s">
        <v>22</v>
      </c>
      <c r="AF322" s="31">
        <v>45987</v>
      </c>
      <c r="AG322" s="61">
        <v>0.50186342592592592</v>
      </c>
      <c r="AI322" t="s">
        <v>818</v>
      </c>
      <c r="AJ322" s="31">
        <v>45999</v>
      </c>
      <c r="AK322" s="61">
        <v>0.59797453703703707</v>
      </c>
      <c r="AO322" t="s">
        <v>2437</v>
      </c>
      <c r="AP322" t="s">
        <v>22</v>
      </c>
      <c r="AQ322" t="s">
        <v>2437</v>
      </c>
      <c r="AS322" s="31"/>
      <c r="AY322">
        <v>1</v>
      </c>
    </row>
    <row r="323" spans="1:51" x14ac:dyDescent="0.3">
      <c r="A323" t="s">
        <v>44</v>
      </c>
      <c r="B323">
        <v>711</v>
      </c>
      <c r="D323">
        <v>2902</v>
      </c>
      <c r="E323" t="s">
        <v>2438</v>
      </c>
      <c r="G323" t="s">
        <v>2439</v>
      </c>
      <c r="J323" t="s">
        <v>2440</v>
      </c>
      <c r="K323" t="s">
        <v>2440</v>
      </c>
      <c r="L323">
        <v>86188758539</v>
      </c>
      <c r="N323" t="s">
        <v>1111</v>
      </c>
      <c r="Q323" t="s">
        <v>778</v>
      </c>
      <c r="W323" t="s">
        <v>1419</v>
      </c>
      <c r="X323" t="s">
        <v>780</v>
      </c>
      <c r="Y323" t="s">
        <v>816</v>
      </c>
      <c r="AA323" s="31">
        <v>46062</v>
      </c>
      <c r="AB323">
        <v>235848</v>
      </c>
      <c r="AC323">
        <v>14256</v>
      </c>
      <c r="AD323">
        <v>65</v>
      </c>
      <c r="AE323" t="s">
        <v>44</v>
      </c>
      <c r="AF323" s="31">
        <v>45987</v>
      </c>
      <c r="AG323" s="61">
        <v>0.62859953703703708</v>
      </c>
      <c r="AI323" t="s">
        <v>795</v>
      </c>
      <c r="AJ323" s="31">
        <v>46052</v>
      </c>
      <c r="AK323" s="61">
        <v>0.65068287037037043</v>
      </c>
      <c r="AL323" t="s">
        <v>796</v>
      </c>
      <c r="AM323" t="s">
        <v>967</v>
      </c>
      <c r="AO323" t="s">
        <v>2273</v>
      </c>
      <c r="AP323" t="s">
        <v>44</v>
      </c>
      <c r="AQ323" t="s">
        <v>2273</v>
      </c>
      <c r="AS323" s="31">
        <v>46003</v>
      </c>
      <c r="AY323">
        <v>1</v>
      </c>
    </row>
    <row r="324" spans="1:51" x14ac:dyDescent="0.3">
      <c r="A324" t="s">
        <v>44</v>
      </c>
      <c r="B324">
        <v>714</v>
      </c>
      <c r="D324">
        <v>2910</v>
      </c>
      <c r="G324" t="s">
        <v>2442</v>
      </c>
      <c r="J324" t="s">
        <v>2443</v>
      </c>
      <c r="K324" t="s">
        <v>2443</v>
      </c>
      <c r="L324">
        <v>6293622662</v>
      </c>
      <c r="N324" t="s">
        <v>1111</v>
      </c>
      <c r="Q324" t="s">
        <v>778</v>
      </c>
      <c r="X324" t="s">
        <v>780</v>
      </c>
      <c r="Y324" t="s">
        <v>807</v>
      </c>
      <c r="AA324" s="31"/>
      <c r="AB324">
        <v>0</v>
      </c>
      <c r="AC324">
        <v>209</v>
      </c>
      <c r="AD324">
        <v>12</v>
      </c>
      <c r="AE324" t="s">
        <v>44</v>
      </c>
      <c r="AF324" s="31">
        <v>45989</v>
      </c>
      <c r="AG324" s="61">
        <v>0.60240740740740739</v>
      </c>
      <c r="AI324" t="s">
        <v>795</v>
      </c>
      <c r="AJ324" s="31">
        <v>46001</v>
      </c>
      <c r="AK324" s="61">
        <v>0.41670138888888891</v>
      </c>
      <c r="AL324" t="s">
        <v>858</v>
      </c>
      <c r="AM324" t="s">
        <v>2445</v>
      </c>
      <c r="AO324" t="s">
        <v>2349</v>
      </c>
      <c r="AQ324" t="s">
        <v>2349</v>
      </c>
      <c r="AS324" s="31"/>
      <c r="AY324">
        <v>1</v>
      </c>
    </row>
    <row r="325" spans="1:51" x14ac:dyDescent="0.3">
      <c r="A325" t="s">
        <v>22</v>
      </c>
      <c r="B325">
        <v>717</v>
      </c>
      <c r="D325">
        <v>2945</v>
      </c>
      <c r="E325" t="s">
        <v>2446</v>
      </c>
      <c r="G325" t="s">
        <v>2447</v>
      </c>
      <c r="J325" t="s">
        <v>2448</v>
      </c>
      <c r="K325" t="s">
        <v>2448</v>
      </c>
      <c r="L325" t="s">
        <v>2449</v>
      </c>
      <c r="N325" t="s">
        <v>2450</v>
      </c>
      <c r="Q325" t="s">
        <v>778</v>
      </c>
      <c r="R325" t="s">
        <v>923</v>
      </c>
      <c r="T325" t="s">
        <v>814</v>
      </c>
      <c r="W325" t="s">
        <v>1718</v>
      </c>
      <c r="X325" t="s">
        <v>780</v>
      </c>
      <c r="Y325" t="s">
        <v>793</v>
      </c>
      <c r="AA325" s="31">
        <v>46053</v>
      </c>
      <c r="AD325">
        <v>68</v>
      </c>
      <c r="AE325" t="s">
        <v>22</v>
      </c>
      <c r="AF325" s="31">
        <v>45992</v>
      </c>
      <c r="AG325" s="61">
        <v>0.65984953703703708</v>
      </c>
      <c r="AI325" t="s">
        <v>795</v>
      </c>
      <c r="AJ325" s="31">
        <v>46060</v>
      </c>
      <c r="AK325" s="61">
        <v>0.34912037037037041</v>
      </c>
      <c r="AL325" t="s">
        <v>858</v>
      </c>
      <c r="AO325" t="s">
        <v>2451</v>
      </c>
      <c r="AP325" t="s">
        <v>22</v>
      </c>
      <c r="AQ325" t="s">
        <v>2452</v>
      </c>
      <c r="AS325" s="31">
        <v>46045</v>
      </c>
      <c r="AT325">
        <v>30</v>
      </c>
      <c r="AY325">
        <v>1</v>
      </c>
    </row>
    <row r="326" spans="1:51" x14ac:dyDescent="0.3">
      <c r="A326" t="s">
        <v>22</v>
      </c>
      <c r="B326">
        <v>718</v>
      </c>
      <c r="D326">
        <v>2913</v>
      </c>
      <c r="E326" t="s">
        <v>2453</v>
      </c>
      <c r="G326" t="s">
        <v>2454</v>
      </c>
      <c r="J326" t="s">
        <v>2455</v>
      </c>
      <c r="K326" t="s">
        <v>2455</v>
      </c>
      <c r="L326" t="s">
        <v>2456</v>
      </c>
      <c r="N326" t="s">
        <v>2457</v>
      </c>
      <c r="Q326" t="s">
        <v>778</v>
      </c>
      <c r="R326" t="s">
        <v>2458</v>
      </c>
      <c r="T326" t="s">
        <v>814</v>
      </c>
      <c r="W326" t="s">
        <v>2399</v>
      </c>
      <c r="X326" t="s">
        <v>780</v>
      </c>
      <c r="Y326" t="s">
        <v>897</v>
      </c>
      <c r="AA326" s="31">
        <v>46142</v>
      </c>
      <c r="AD326">
        <v>135</v>
      </c>
      <c r="AE326" t="s">
        <v>22</v>
      </c>
      <c r="AF326" s="31">
        <v>45992</v>
      </c>
      <c r="AG326" s="61">
        <v>0.68266203703703698</v>
      </c>
      <c r="AI326" t="s">
        <v>782</v>
      </c>
      <c r="AJ326" s="31"/>
      <c r="AK326" s="61"/>
      <c r="AO326" t="s">
        <v>2459</v>
      </c>
      <c r="AP326" t="s">
        <v>22</v>
      </c>
      <c r="AQ326" t="s">
        <v>2452</v>
      </c>
      <c r="AS326" s="31">
        <v>46122</v>
      </c>
      <c r="AT326">
        <v>30</v>
      </c>
      <c r="AY326">
        <v>1</v>
      </c>
    </row>
    <row r="327" spans="1:51" x14ac:dyDescent="0.3">
      <c r="A327" t="s">
        <v>22</v>
      </c>
      <c r="B327">
        <v>719</v>
      </c>
      <c r="D327">
        <v>2904</v>
      </c>
      <c r="E327" t="s">
        <v>4711</v>
      </c>
      <c r="G327" t="s">
        <v>2461</v>
      </c>
      <c r="H327">
        <v>3674537000125</v>
      </c>
      <c r="J327" t="s">
        <v>2462</v>
      </c>
      <c r="K327" t="s">
        <v>2462</v>
      </c>
      <c r="L327" t="s">
        <v>2463</v>
      </c>
      <c r="N327" t="s">
        <v>2464</v>
      </c>
      <c r="Q327" t="s">
        <v>778</v>
      </c>
      <c r="R327" t="s">
        <v>923</v>
      </c>
      <c r="T327" t="s">
        <v>814</v>
      </c>
      <c r="W327" t="s">
        <v>2970</v>
      </c>
      <c r="X327" t="s">
        <v>780</v>
      </c>
      <c r="Y327" t="s">
        <v>807</v>
      </c>
      <c r="AA327" s="31">
        <v>46112</v>
      </c>
      <c r="AB327">
        <v>104490</v>
      </c>
      <c r="AC327">
        <v>111957</v>
      </c>
      <c r="AD327">
        <v>130</v>
      </c>
      <c r="AE327" t="s">
        <v>22</v>
      </c>
      <c r="AF327" s="31">
        <v>45992</v>
      </c>
      <c r="AG327" s="61">
        <v>0.69298611111111108</v>
      </c>
      <c r="AI327" t="s">
        <v>795</v>
      </c>
      <c r="AJ327" s="31">
        <v>46122</v>
      </c>
      <c r="AK327" s="61">
        <v>0.66306712962962966</v>
      </c>
      <c r="AL327" t="s">
        <v>796</v>
      </c>
      <c r="AO327" t="s">
        <v>2459</v>
      </c>
      <c r="AP327" t="s">
        <v>22</v>
      </c>
      <c r="AQ327" t="s">
        <v>2465</v>
      </c>
      <c r="AS327" s="31">
        <v>46101</v>
      </c>
      <c r="AT327">
        <v>30</v>
      </c>
      <c r="AU327">
        <v>416</v>
      </c>
      <c r="AV327" t="s">
        <v>2467</v>
      </c>
      <c r="AW327" t="s">
        <v>2468</v>
      </c>
      <c r="AX327" t="s">
        <v>2469</v>
      </c>
      <c r="AY327">
        <v>1</v>
      </c>
    </row>
    <row r="328" spans="1:51" x14ac:dyDescent="0.3">
      <c r="A328" t="s">
        <v>22</v>
      </c>
      <c r="B328">
        <v>725</v>
      </c>
      <c r="D328">
        <v>2970</v>
      </c>
      <c r="E328" t="s">
        <v>2470</v>
      </c>
      <c r="G328" t="s">
        <v>2471</v>
      </c>
      <c r="J328" t="s">
        <v>2472</v>
      </c>
      <c r="K328" t="s">
        <v>2472</v>
      </c>
      <c r="L328">
        <v>1799137617</v>
      </c>
      <c r="N328" t="s">
        <v>1111</v>
      </c>
      <c r="Q328" t="s">
        <v>778</v>
      </c>
      <c r="W328" t="s">
        <v>2118</v>
      </c>
      <c r="X328" t="s">
        <v>780</v>
      </c>
      <c r="Y328" t="s">
        <v>807</v>
      </c>
      <c r="AA328" s="31">
        <v>46112</v>
      </c>
      <c r="AB328">
        <v>315000</v>
      </c>
      <c r="AC328">
        <v>32575</v>
      </c>
      <c r="AD328">
        <v>37</v>
      </c>
      <c r="AE328" t="s">
        <v>22</v>
      </c>
      <c r="AF328" s="31">
        <v>45999</v>
      </c>
      <c r="AG328" s="61">
        <v>0.5826041666666667</v>
      </c>
      <c r="AI328" t="s">
        <v>795</v>
      </c>
      <c r="AJ328" s="31">
        <v>46036</v>
      </c>
      <c r="AK328" s="61">
        <v>0.7865509259259259</v>
      </c>
      <c r="AL328" t="s">
        <v>974</v>
      </c>
      <c r="AM328" t="s">
        <v>2474</v>
      </c>
      <c r="AO328" t="s">
        <v>2459</v>
      </c>
      <c r="AP328" t="s">
        <v>22</v>
      </c>
      <c r="AQ328" t="s">
        <v>2459</v>
      </c>
      <c r="AS328" s="31">
        <v>46031</v>
      </c>
      <c r="AY328">
        <v>1</v>
      </c>
    </row>
    <row r="329" spans="1:51" x14ac:dyDescent="0.3">
      <c r="A329" t="s">
        <v>22</v>
      </c>
      <c r="B329">
        <v>726</v>
      </c>
      <c r="D329">
        <v>2971</v>
      </c>
      <c r="G329" t="s">
        <v>2475</v>
      </c>
      <c r="J329" t="s">
        <v>1978</v>
      </c>
      <c r="K329" t="s">
        <v>1978</v>
      </c>
      <c r="L329">
        <v>11982685555</v>
      </c>
      <c r="N329" t="s">
        <v>1111</v>
      </c>
      <c r="Q329" t="s">
        <v>778</v>
      </c>
      <c r="X329" t="s">
        <v>780</v>
      </c>
      <c r="Y329" t="s">
        <v>816</v>
      </c>
      <c r="AA329" s="31"/>
      <c r="AB329">
        <v>0</v>
      </c>
      <c r="AC329">
        <v>57024</v>
      </c>
      <c r="AD329">
        <v>0</v>
      </c>
      <c r="AE329" t="s">
        <v>22</v>
      </c>
      <c r="AF329" s="31">
        <v>45999</v>
      </c>
      <c r="AG329" s="61">
        <v>0.58803240740740736</v>
      </c>
      <c r="AI329" t="s">
        <v>818</v>
      </c>
      <c r="AJ329" s="31">
        <v>45999</v>
      </c>
      <c r="AK329" s="61">
        <v>0.58959490740740739</v>
      </c>
      <c r="AO329" t="s">
        <v>2452</v>
      </c>
      <c r="AP329" t="s">
        <v>22</v>
      </c>
      <c r="AQ329" t="s">
        <v>2452</v>
      </c>
      <c r="AS329" s="31"/>
      <c r="AY329">
        <v>1</v>
      </c>
    </row>
    <row r="330" spans="1:51" x14ac:dyDescent="0.3">
      <c r="A330" t="s">
        <v>22</v>
      </c>
      <c r="B330">
        <v>727</v>
      </c>
      <c r="D330">
        <v>2969</v>
      </c>
      <c r="E330" t="s">
        <v>2476</v>
      </c>
      <c r="G330" t="s">
        <v>2477</v>
      </c>
      <c r="J330" t="s">
        <v>2478</v>
      </c>
      <c r="K330" t="s">
        <v>2478</v>
      </c>
      <c r="L330" t="s">
        <v>2479</v>
      </c>
      <c r="N330" t="s">
        <v>2480</v>
      </c>
      <c r="Q330" t="s">
        <v>778</v>
      </c>
      <c r="R330" t="s">
        <v>2481</v>
      </c>
      <c r="T330" t="s">
        <v>814</v>
      </c>
      <c r="W330" t="s">
        <v>2391</v>
      </c>
      <c r="X330" t="s">
        <v>780</v>
      </c>
      <c r="Y330" t="s">
        <v>807</v>
      </c>
      <c r="AA330" s="31">
        <v>46053</v>
      </c>
      <c r="AB330">
        <v>47200</v>
      </c>
      <c r="AC330">
        <v>22981</v>
      </c>
      <c r="AD330">
        <v>60</v>
      </c>
      <c r="AE330" t="s">
        <v>22</v>
      </c>
      <c r="AF330" s="31">
        <v>46000</v>
      </c>
      <c r="AG330" s="61">
        <v>0.59325231481481477</v>
      </c>
      <c r="AI330" t="s">
        <v>795</v>
      </c>
      <c r="AJ330" s="31">
        <v>46060</v>
      </c>
      <c r="AK330" s="61">
        <v>0.37217592592592591</v>
      </c>
      <c r="AL330" t="s">
        <v>858</v>
      </c>
      <c r="AM330" t="s">
        <v>2482</v>
      </c>
      <c r="AO330" t="s">
        <v>2483</v>
      </c>
      <c r="AP330" t="s">
        <v>22</v>
      </c>
      <c r="AQ330" t="s">
        <v>2483</v>
      </c>
      <c r="AS330" s="31">
        <v>46060</v>
      </c>
      <c r="AT330">
        <v>30</v>
      </c>
      <c r="AY330">
        <v>1</v>
      </c>
    </row>
    <row r="331" spans="1:51" x14ac:dyDescent="0.3">
      <c r="A331" t="s">
        <v>22</v>
      </c>
      <c r="B331">
        <v>728</v>
      </c>
      <c r="D331">
        <v>2973</v>
      </c>
      <c r="E331" t="s">
        <v>4712</v>
      </c>
      <c r="G331" t="s">
        <v>2485</v>
      </c>
      <c r="H331">
        <v>3674537000125</v>
      </c>
      <c r="J331" t="s">
        <v>2486</v>
      </c>
      <c r="K331" t="s">
        <v>2486</v>
      </c>
      <c r="L331" t="s">
        <v>2487</v>
      </c>
      <c r="N331" t="s">
        <v>2488</v>
      </c>
      <c r="Q331" t="s">
        <v>778</v>
      </c>
      <c r="R331" t="s">
        <v>2489</v>
      </c>
      <c r="S331" t="s">
        <v>790</v>
      </c>
      <c r="T331" t="s">
        <v>791</v>
      </c>
      <c r="W331" t="s">
        <v>1419</v>
      </c>
      <c r="X331" t="s">
        <v>780</v>
      </c>
      <c r="Y331" t="s">
        <v>807</v>
      </c>
      <c r="AA331" s="31">
        <v>46112</v>
      </c>
      <c r="AB331">
        <v>1700</v>
      </c>
      <c r="AC331">
        <v>13100</v>
      </c>
      <c r="AD331">
        <v>121</v>
      </c>
      <c r="AE331" t="s">
        <v>22</v>
      </c>
      <c r="AF331" s="31">
        <v>46001</v>
      </c>
      <c r="AG331" s="61">
        <v>0.73172453703703699</v>
      </c>
      <c r="AI331" t="s">
        <v>795</v>
      </c>
      <c r="AJ331" s="31">
        <v>46122</v>
      </c>
      <c r="AK331" s="61">
        <v>0.66342592592592597</v>
      </c>
      <c r="AL331" t="s">
        <v>796</v>
      </c>
      <c r="AO331" t="s">
        <v>2483</v>
      </c>
      <c r="AP331" t="s">
        <v>22</v>
      </c>
      <c r="AQ331" t="s">
        <v>2483</v>
      </c>
      <c r="AS331" s="31">
        <v>46101</v>
      </c>
      <c r="AT331">
        <v>30</v>
      </c>
      <c r="AU331">
        <v>80</v>
      </c>
      <c r="AV331" t="s">
        <v>69</v>
      </c>
      <c r="AW331" t="s">
        <v>2490</v>
      </c>
      <c r="AX331" t="s">
        <v>2491</v>
      </c>
      <c r="AY331">
        <v>1</v>
      </c>
    </row>
    <row r="332" spans="1:51" x14ac:dyDescent="0.3">
      <c r="A332" t="s">
        <v>22</v>
      </c>
      <c r="B332">
        <v>729</v>
      </c>
      <c r="D332">
        <v>2972</v>
      </c>
      <c r="E332" t="s">
        <v>2492</v>
      </c>
      <c r="G332" t="s">
        <v>2493</v>
      </c>
      <c r="J332" t="s">
        <v>2494</v>
      </c>
      <c r="K332" t="s">
        <v>2494</v>
      </c>
      <c r="L332" t="s">
        <v>2495</v>
      </c>
      <c r="N332" t="s">
        <v>2496</v>
      </c>
      <c r="Q332" t="s">
        <v>778</v>
      </c>
      <c r="R332" t="s">
        <v>2497</v>
      </c>
      <c r="T332" t="s">
        <v>814</v>
      </c>
      <c r="W332" t="s">
        <v>2391</v>
      </c>
      <c r="X332" t="s">
        <v>780</v>
      </c>
      <c r="Y332" t="s">
        <v>793</v>
      </c>
      <c r="AA332" s="31">
        <v>46053</v>
      </c>
      <c r="AD332">
        <v>59</v>
      </c>
      <c r="AE332" t="s">
        <v>22</v>
      </c>
      <c r="AF332" s="31">
        <v>46001</v>
      </c>
      <c r="AG332" s="61">
        <v>0.95519675925925929</v>
      </c>
      <c r="AI332" t="s">
        <v>795</v>
      </c>
      <c r="AJ332" s="31">
        <v>46060</v>
      </c>
      <c r="AK332" s="61">
        <v>0.3478472222222222</v>
      </c>
      <c r="AL332" t="s">
        <v>796</v>
      </c>
      <c r="AM332" t="s">
        <v>2498</v>
      </c>
      <c r="AO332" t="s">
        <v>2499</v>
      </c>
      <c r="AP332" t="s">
        <v>22</v>
      </c>
      <c r="AQ332" t="s">
        <v>2499</v>
      </c>
      <c r="AS332" s="31">
        <v>46059</v>
      </c>
      <c r="AT332">
        <v>30</v>
      </c>
      <c r="AY332">
        <v>1</v>
      </c>
    </row>
    <row r="333" spans="1:51" x14ac:dyDescent="0.3">
      <c r="A333" t="s">
        <v>44</v>
      </c>
      <c r="B333">
        <v>730</v>
      </c>
      <c r="D333">
        <v>2977</v>
      </c>
      <c r="E333" t="s">
        <v>2500</v>
      </c>
      <c r="F333" t="s">
        <v>2501</v>
      </c>
      <c r="G333" t="s">
        <v>2502</v>
      </c>
      <c r="H333">
        <v>50828915000168</v>
      </c>
      <c r="J333" t="s">
        <v>2501</v>
      </c>
      <c r="K333" t="s">
        <v>2501</v>
      </c>
      <c r="L333" t="s">
        <v>1531</v>
      </c>
      <c r="N333" t="s">
        <v>1532</v>
      </c>
      <c r="Q333" t="s">
        <v>778</v>
      </c>
      <c r="R333" t="s">
        <v>1094</v>
      </c>
      <c r="S333" t="s">
        <v>790</v>
      </c>
      <c r="T333" t="s">
        <v>805</v>
      </c>
      <c r="W333" t="s">
        <v>2503</v>
      </c>
      <c r="X333" t="s">
        <v>780</v>
      </c>
      <c r="Y333" t="s">
        <v>807</v>
      </c>
      <c r="AA333" s="31">
        <v>46081</v>
      </c>
      <c r="AB333">
        <v>44000</v>
      </c>
      <c r="AC333">
        <v>13781</v>
      </c>
      <c r="AD333">
        <v>125</v>
      </c>
      <c r="AE333" t="s">
        <v>44</v>
      </c>
      <c r="AF333" s="31">
        <v>46002</v>
      </c>
      <c r="AG333" s="61">
        <v>0.42090277777777779</v>
      </c>
      <c r="AI333" t="s">
        <v>782</v>
      </c>
      <c r="AJ333" s="31"/>
      <c r="AK333" s="61"/>
      <c r="AO333" t="s">
        <v>2504</v>
      </c>
      <c r="AP333" t="s">
        <v>44</v>
      </c>
      <c r="AQ333" t="s">
        <v>2505</v>
      </c>
      <c r="AR333" t="s">
        <v>2504</v>
      </c>
      <c r="AS333" s="31">
        <v>46051</v>
      </c>
      <c r="AT333">
        <v>50</v>
      </c>
      <c r="AY333">
        <v>1</v>
      </c>
    </row>
    <row r="334" spans="1:51" x14ac:dyDescent="0.3">
      <c r="A334" t="s">
        <v>44</v>
      </c>
      <c r="B334">
        <v>731</v>
      </c>
      <c r="D334">
        <v>2980</v>
      </c>
      <c r="G334" t="s">
        <v>2506</v>
      </c>
      <c r="J334" t="s">
        <v>2507</v>
      </c>
      <c r="K334" t="s">
        <v>2507</v>
      </c>
      <c r="L334">
        <v>1121710800</v>
      </c>
      <c r="N334" t="s">
        <v>1532</v>
      </c>
      <c r="Q334" t="s">
        <v>778</v>
      </c>
      <c r="W334" t="s">
        <v>1419</v>
      </c>
      <c r="X334" t="s">
        <v>780</v>
      </c>
      <c r="Y334" t="s">
        <v>807</v>
      </c>
      <c r="AA334" s="31">
        <v>46053</v>
      </c>
      <c r="AB334">
        <v>8000</v>
      </c>
      <c r="AC334">
        <v>19642</v>
      </c>
      <c r="AD334">
        <v>49</v>
      </c>
      <c r="AE334" t="s">
        <v>44</v>
      </c>
      <c r="AF334" s="31">
        <v>46002</v>
      </c>
      <c r="AG334" s="61">
        <v>0.43156250000000002</v>
      </c>
      <c r="AI334" t="s">
        <v>795</v>
      </c>
      <c r="AJ334" s="31">
        <v>46051</v>
      </c>
      <c r="AK334" s="61">
        <v>0.6605092592592593</v>
      </c>
      <c r="AL334" t="s">
        <v>858</v>
      </c>
      <c r="AM334" t="s">
        <v>2509</v>
      </c>
      <c r="AO334" t="s">
        <v>2510</v>
      </c>
      <c r="AQ334" t="s">
        <v>2511</v>
      </c>
      <c r="AS334" s="31">
        <v>46031</v>
      </c>
      <c r="AY334">
        <v>1</v>
      </c>
    </row>
    <row r="335" spans="1:51" x14ac:dyDescent="0.3">
      <c r="A335" t="s">
        <v>44</v>
      </c>
      <c r="B335">
        <v>732</v>
      </c>
      <c r="D335">
        <v>2981</v>
      </c>
      <c r="E335" t="s">
        <v>2500</v>
      </c>
      <c r="G335" t="s">
        <v>2512</v>
      </c>
      <c r="J335" t="s">
        <v>2513</v>
      </c>
      <c r="K335" t="s">
        <v>2513</v>
      </c>
      <c r="L335">
        <v>1121710800</v>
      </c>
      <c r="N335" t="s">
        <v>1532</v>
      </c>
      <c r="Q335" t="s">
        <v>778</v>
      </c>
      <c r="W335" t="s">
        <v>1419</v>
      </c>
      <c r="X335" t="s">
        <v>780</v>
      </c>
      <c r="Y335" t="s">
        <v>807</v>
      </c>
      <c r="AA335" s="31">
        <v>46081</v>
      </c>
      <c r="AB335">
        <v>1600</v>
      </c>
      <c r="AC335">
        <v>34428</v>
      </c>
      <c r="AD335">
        <v>125</v>
      </c>
      <c r="AE335" t="s">
        <v>44</v>
      </c>
      <c r="AF335" s="31">
        <v>46002</v>
      </c>
      <c r="AG335" s="61">
        <v>0.43273148148148149</v>
      </c>
      <c r="AI335" t="s">
        <v>782</v>
      </c>
      <c r="AJ335" s="31"/>
      <c r="AK335" s="61"/>
      <c r="AO335" t="s">
        <v>2504</v>
      </c>
      <c r="AP335" t="s">
        <v>44</v>
      </c>
      <c r="AQ335" t="s">
        <v>2505</v>
      </c>
      <c r="AR335" t="s">
        <v>2504</v>
      </c>
      <c r="AS335" s="31">
        <v>46031</v>
      </c>
      <c r="AT335">
        <v>50</v>
      </c>
      <c r="AY335">
        <v>1</v>
      </c>
    </row>
    <row r="336" spans="1:51" x14ac:dyDescent="0.3">
      <c r="A336" t="s">
        <v>44</v>
      </c>
      <c r="B336">
        <v>733</v>
      </c>
      <c r="D336">
        <v>2982</v>
      </c>
      <c r="F336" t="s">
        <v>2514</v>
      </c>
      <c r="G336" t="s">
        <v>2515</v>
      </c>
      <c r="H336">
        <v>96280292000809</v>
      </c>
      <c r="J336" t="s">
        <v>2514</v>
      </c>
      <c r="K336" t="s">
        <v>2514</v>
      </c>
      <c r="L336" t="s">
        <v>2516</v>
      </c>
      <c r="N336" t="s">
        <v>2517</v>
      </c>
      <c r="Q336" t="s">
        <v>778</v>
      </c>
      <c r="R336" t="s">
        <v>2518</v>
      </c>
      <c r="S336" t="s">
        <v>932</v>
      </c>
      <c r="T336" t="s">
        <v>805</v>
      </c>
      <c r="W336" t="s">
        <v>2407</v>
      </c>
      <c r="X336" t="s">
        <v>780</v>
      </c>
      <c r="Y336" t="s">
        <v>816</v>
      </c>
      <c r="AA336" s="31">
        <v>46081</v>
      </c>
      <c r="AB336">
        <v>580005</v>
      </c>
      <c r="AC336">
        <v>7230</v>
      </c>
      <c r="AD336">
        <v>62</v>
      </c>
      <c r="AE336" t="s">
        <v>44</v>
      </c>
      <c r="AF336" s="31">
        <v>46002</v>
      </c>
      <c r="AG336" s="61">
        <v>0.47339120370370369</v>
      </c>
      <c r="AI336" t="s">
        <v>818</v>
      </c>
      <c r="AJ336" s="31">
        <v>46064</v>
      </c>
      <c r="AK336" s="61">
        <v>0.74250000000000005</v>
      </c>
      <c r="AO336" t="s">
        <v>2519</v>
      </c>
      <c r="AP336" t="s">
        <v>44</v>
      </c>
      <c r="AQ336" t="s">
        <v>2520</v>
      </c>
      <c r="AS336" s="31">
        <v>46038</v>
      </c>
      <c r="AT336">
        <v>90</v>
      </c>
      <c r="AY336">
        <v>1</v>
      </c>
    </row>
    <row r="337" spans="1:51" x14ac:dyDescent="0.3">
      <c r="A337" t="s">
        <v>44</v>
      </c>
      <c r="B337">
        <v>734</v>
      </c>
      <c r="D337">
        <v>2985</v>
      </c>
      <c r="E337" t="s">
        <v>2521</v>
      </c>
      <c r="G337" t="s">
        <v>2522</v>
      </c>
      <c r="J337" t="s">
        <v>2523</v>
      </c>
      <c r="K337" t="s">
        <v>2523</v>
      </c>
      <c r="L337">
        <v>11982163176</v>
      </c>
      <c r="N337" t="s">
        <v>2517</v>
      </c>
      <c r="Q337" t="s">
        <v>778</v>
      </c>
      <c r="W337" t="s">
        <v>1419</v>
      </c>
      <c r="X337" t="s">
        <v>780</v>
      </c>
      <c r="Y337" t="s">
        <v>807</v>
      </c>
      <c r="AA337" s="31">
        <v>46038</v>
      </c>
      <c r="AB337">
        <v>0</v>
      </c>
      <c r="AC337">
        <v>19642</v>
      </c>
      <c r="AD337">
        <v>47</v>
      </c>
      <c r="AE337" t="s">
        <v>44</v>
      </c>
      <c r="AF337" s="31">
        <v>46002</v>
      </c>
      <c r="AG337" s="61">
        <v>0.47990740740740739</v>
      </c>
      <c r="AI337" t="s">
        <v>795</v>
      </c>
      <c r="AJ337" s="31">
        <v>46049</v>
      </c>
      <c r="AK337" s="61">
        <v>0.6889467592592593</v>
      </c>
      <c r="AL337" t="s">
        <v>808</v>
      </c>
      <c r="AM337" t="s">
        <v>2521</v>
      </c>
      <c r="AO337" t="s">
        <v>2519</v>
      </c>
      <c r="AQ337" t="s">
        <v>2520</v>
      </c>
      <c r="AS337" s="31">
        <v>46049</v>
      </c>
      <c r="AY337">
        <v>1</v>
      </c>
    </row>
    <row r="338" spans="1:51" x14ac:dyDescent="0.3">
      <c r="A338" t="s">
        <v>44</v>
      </c>
      <c r="B338">
        <v>735</v>
      </c>
      <c r="D338">
        <v>2986</v>
      </c>
      <c r="G338" t="s">
        <v>2525</v>
      </c>
      <c r="J338" t="s">
        <v>2526</v>
      </c>
      <c r="K338" t="s">
        <v>2526</v>
      </c>
      <c r="L338">
        <v>11982163176</v>
      </c>
      <c r="N338" t="s">
        <v>2517</v>
      </c>
      <c r="Q338" t="s">
        <v>778</v>
      </c>
      <c r="W338" t="s">
        <v>1581</v>
      </c>
      <c r="X338" t="s">
        <v>780</v>
      </c>
      <c r="Y338" t="s">
        <v>816</v>
      </c>
      <c r="AA338" s="31">
        <v>46038</v>
      </c>
      <c r="AB338">
        <v>1600</v>
      </c>
      <c r="AC338">
        <v>524246</v>
      </c>
      <c r="AD338">
        <v>125</v>
      </c>
      <c r="AE338" t="s">
        <v>44</v>
      </c>
      <c r="AF338" s="31">
        <v>46002</v>
      </c>
      <c r="AG338" s="61">
        <v>0.4813425925925926</v>
      </c>
      <c r="AI338" t="s">
        <v>782</v>
      </c>
      <c r="AJ338" s="31"/>
      <c r="AK338" s="61"/>
      <c r="AO338" t="s">
        <v>2519</v>
      </c>
      <c r="AP338" t="s">
        <v>44</v>
      </c>
      <c r="AQ338" t="s">
        <v>2520</v>
      </c>
      <c r="AS338" s="31">
        <v>46027</v>
      </c>
      <c r="AT338">
        <v>80</v>
      </c>
      <c r="AY338">
        <v>1</v>
      </c>
    </row>
    <row r="339" spans="1:51" x14ac:dyDescent="0.3">
      <c r="A339" t="s">
        <v>44</v>
      </c>
      <c r="B339">
        <v>736</v>
      </c>
      <c r="D339">
        <v>2988</v>
      </c>
      <c r="G339" t="s">
        <v>2527</v>
      </c>
      <c r="J339" t="s">
        <v>2528</v>
      </c>
      <c r="K339" t="s">
        <v>2528</v>
      </c>
      <c r="L339">
        <v>17997793113</v>
      </c>
      <c r="N339" t="s">
        <v>1043</v>
      </c>
      <c r="Q339" t="s">
        <v>778</v>
      </c>
      <c r="W339" t="s">
        <v>1718</v>
      </c>
      <c r="X339" t="s">
        <v>780</v>
      </c>
      <c r="Y339" t="s">
        <v>807</v>
      </c>
      <c r="AA339" s="31">
        <v>46008</v>
      </c>
      <c r="AB339">
        <v>26200</v>
      </c>
      <c r="AC339">
        <v>3400</v>
      </c>
      <c r="AD339">
        <v>50</v>
      </c>
      <c r="AE339" t="s">
        <v>44</v>
      </c>
      <c r="AF339" s="31">
        <v>46002</v>
      </c>
      <c r="AG339" s="61">
        <v>0.6433564814814815</v>
      </c>
      <c r="AI339" t="s">
        <v>795</v>
      </c>
      <c r="AJ339" s="31">
        <v>46052</v>
      </c>
      <c r="AK339" s="61">
        <v>0.65020833333333339</v>
      </c>
      <c r="AL339" t="s">
        <v>796</v>
      </c>
      <c r="AM339" t="s">
        <v>967</v>
      </c>
      <c r="AO339" t="s">
        <v>2529</v>
      </c>
      <c r="AQ339" t="s">
        <v>2529</v>
      </c>
      <c r="AR339" t="s">
        <v>2511</v>
      </c>
      <c r="AS339" s="31">
        <v>46031</v>
      </c>
      <c r="AY339">
        <v>1</v>
      </c>
    </row>
    <row r="340" spans="1:51" x14ac:dyDescent="0.3">
      <c r="A340" t="s">
        <v>44</v>
      </c>
      <c r="B340">
        <v>737</v>
      </c>
      <c r="D340">
        <v>2989</v>
      </c>
      <c r="G340" t="s">
        <v>2530</v>
      </c>
      <c r="J340" t="s">
        <v>2531</v>
      </c>
      <c r="K340" t="s">
        <v>2531</v>
      </c>
      <c r="L340">
        <v>62993609476</v>
      </c>
      <c r="N340" t="s">
        <v>1111</v>
      </c>
      <c r="Q340" t="s">
        <v>778</v>
      </c>
      <c r="W340" t="s">
        <v>1718</v>
      </c>
      <c r="X340" t="s">
        <v>780</v>
      </c>
      <c r="Y340" t="s">
        <v>807</v>
      </c>
      <c r="AA340" s="31">
        <v>46008</v>
      </c>
      <c r="AB340">
        <v>22824</v>
      </c>
      <c r="AC340">
        <v>68904</v>
      </c>
      <c r="AD340">
        <v>1</v>
      </c>
      <c r="AE340" t="s">
        <v>44</v>
      </c>
      <c r="AF340" s="31">
        <v>46002</v>
      </c>
      <c r="AG340" s="61">
        <v>0.66396990740740736</v>
      </c>
      <c r="AI340" t="s">
        <v>795</v>
      </c>
      <c r="AJ340" s="31">
        <v>46003</v>
      </c>
      <c r="AK340" s="61">
        <v>0.69563657407407409</v>
      </c>
      <c r="AL340" t="s">
        <v>796</v>
      </c>
      <c r="AM340" t="s">
        <v>2532</v>
      </c>
      <c r="AO340" t="s">
        <v>2519</v>
      </c>
      <c r="AQ340" t="s">
        <v>2519</v>
      </c>
      <c r="AS340" s="31">
        <v>46003</v>
      </c>
      <c r="AY340">
        <v>1</v>
      </c>
    </row>
    <row r="341" spans="1:51" x14ac:dyDescent="0.3">
      <c r="A341" t="s">
        <v>44</v>
      </c>
      <c r="B341">
        <v>739</v>
      </c>
      <c r="D341">
        <v>2991</v>
      </c>
      <c r="G341" t="s">
        <v>2533</v>
      </c>
      <c r="J341" t="s">
        <v>2534</v>
      </c>
      <c r="K341" t="s">
        <v>2534</v>
      </c>
      <c r="L341">
        <v>19999989392</v>
      </c>
      <c r="N341" t="s">
        <v>1111</v>
      </c>
      <c r="Q341" t="s">
        <v>778</v>
      </c>
      <c r="W341" t="s">
        <v>1718</v>
      </c>
      <c r="X341" t="s">
        <v>780</v>
      </c>
      <c r="Y341" t="s">
        <v>793</v>
      </c>
      <c r="AA341" s="31">
        <v>46022</v>
      </c>
      <c r="AB341">
        <v>3392</v>
      </c>
      <c r="AC341">
        <v>3564</v>
      </c>
      <c r="AD341">
        <v>76</v>
      </c>
      <c r="AE341" t="s">
        <v>44</v>
      </c>
      <c r="AF341" s="31">
        <v>46003</v>
      </c>
      <c r="AG341" s="61">
        <v>0.51504629629629628</v>
      </c>
      <c r="AI341" t="s">
        <v>795</v>
      </c>
      <c r="AJ341" s="31">
        <v>46079</v>
      </c>
      <c r="AK341" s="61">
        <v>0.39003472222222219</v>
      </c>
      <c r="AL341" t="s">
        <v>796</v>
      </c>
      <c r="AM341" t="s">
        <v>797</v>
      </c>
      <c r="AO341" t="s">
        <v>2326</v>
      </c>
      <c r="AP341" t="s">
        <v>44</v>
      </c>
      <c r="AQ341" t="s">
        <v>2326</v>
      </c>
      <c r="AS341" s="31">
        <v>46003</v>
      </c>
      <c r="AT341">
        <v>30</v>
      </c>
      <c r="AY341">
        <v>1</v>
      </c>
    </row>
    <row r="342" spans="1:51" x14ac:dyDescent="0.3">
      <c r="A342" t="s">
        <v>22</v>
      </c>
      <c r="B342">
        <v>740</v>
      </c>
      <c r="D342">
        <v>2994</v>
      </c>
      <c r="E342" t="s">
        <v>4713</v>
      </c>
      <c r="G342" t="s">
        <v>408</v>
      </c>
      <c r="J342" t="s">
        <v>2538</v>
      </c>
      <c r="K342" t="s">
        <v>2538</v>
      </c>
      <c r="L342">
        <v>11996577830</v>
      </c>
      <c r="N342" t="s">
        <v>2540</v>
      </c>
      <c r="Q342" t="s">
        <v>778</v>
      </c>
      <c r="T342" t="s">
        <v>2541</v>
      </c>
      <c r="W342" t="s">
        <v>2542</v>
      </c>
      <c r="X342" t="s">
        <v>780</v>
      </c>
      <c r="Y342" t="s">
        <v>807</v>
      </c>
      <c r="AA342" s="31">
        <v>46112</v>
      </c>
      <c r="AB342">
        <v>115520</v>
      </c>
      <c r="AC342">
        <v>65721</v>
      </c>
      <c r="AD342">
        <v>94</v>
      </c>
      <c r="AE342" t="s">
        <v>22</v>
      </c>
      <c r="AF342" s="31">
        <v>46007</v>
      </c>
      <c r="AG342" s="61">
        <v>0.50936342592592587</v>
      </c>
      <c r="AI342" t="s">
        <v>795</v>
      </c>
      <c r="AJ342" s="31">
        <v>46101</v>
      </c>
      <c r="AK342" s="61">
        <v>0.70766203703703701</v>
      </c>
      <c r="AL342" t="s">
        <v>867</v>
      </c>
      <c r="AO342" t="s">
        <v>4714</v>
      </c>
      <c r="AP342" t="s">
        <v>22</v>
      </c>
      <c r="AQ342" t="s">
        <v>4714</v>
      </c>
      <c r="AS342" s="31">
        <v>46101</v>
      </c>
      <c r="AT342">
        <v>30</v>
      </c>
      <c r="AV342" t="s">
        <v>4715</v>
      </c>
      <c r="AY342">
        <v>1</v>
      </c>
    </row>
    <row r="343" spans="1:51" x14ac:dyDescent="0.3">
      <c r="A343" t="s">
        <v>44</v>
      </c>
      <c r="B343">
        <v>741</v>
      </c>
      <c r="D343">
        <v>2995</v>
      </c>
      <c r="E343" t="s">
        <v>2543</v>
      </c>
      <c r="G343" t="s">
        <v>2544</v>
      </c>
      <c r="J343" t="s">
        <v>2545</v>
      </c>
      <c r="K343" t="s">
        <v>2545</v>
      </c>
      <c r="L343" t="s">
        <v>2546</v>
      </c>
      <c r="N343" t="s">
        <v>2547</v>
      </c>
      <c r="Q343" t="s">
        <v>778</v>
      </c>
      <c r="R343" t="s">
        <v>2548</v>
      </c>
      <c r="T343" t="s">
        <v>814</v>
      </c>
      <c r="W343" t="s">
        <v>2391</v>
      </c>
      <c r="X343" t="s">
        <v>780</v>
      </c>
      <c r="Y343" t="s">
        <v>807</v>
      </c>
      <c r="AA343" s="31">
        <v>46053</v>
      </c>
      <c r="AB343">
        <v>44000</v>
      </c>
      <c r="AC343">
        <v>110248</v>
      </c>
      <c r="AD343">
        <v>31</v>
      </c>
      <c r="AE343" t="s">
        <v>44</v>
      </c>
      <c r="AF343" s="31">
        <v>46007</v>
      </c>
      <c r="AG343" s="61">
        <v>0.72878472222222224</v>
      </c>
      <c r="AI343" t="s">
        <v>795</v>
      </c>
      <c r="AJ343" s="31">
        <v>46038</v>
      </c>
      <c r="AK343" s="61">
        <v>0.66372685185185187</v>
      </c>
      <c r="AL343" t="s">
        <v>934</v>
      </c>
      <c r="AM343" t="s">
        <v>2549</v>
      </c>
      <c r="AO343" t="s">
        <v>2550</v>
      </c>
      <c r="AQ343" t="s">
        <v>2510</v>
      </c>
      <c r="AR343" t="s">
        <v>2551</v>
      </c>
      <c r="AS343" s="31">
        <v>46038</v>
      </c>
      <c r="AY343">
        <v>1</v>
      </c>
    </row>
    <row r="344" spans="1:51" x14ac:dyDescent="0.3">
      <c r="A344" t="s">
        <v>44</v>
      </c>
      <c r="B344">
        <v>742</v>
      </c>
      <c r="D344">
        <v>2996</v>
      </c>
      <c r="E344" t="s">
        <v>2543</v>
      </c>
      <c r="G344" t="s">
        <v>2552</v>
      </c>
      <c r="J344" t="s">
        <v>2553</v>
      </c>
      <c r="K344" t="s">
        <v>2553</v>
      </c>
      <c r="L344">
        <v>49999290242</v>
      </c>
      <c r="N344" t="s">
        <v>2547</v>
      </c>
      <c r="Q344" t="s">
        <v>778</v>
      </c>
      <c r="W344" t="s">
        <v>1718</v>
      </c>
      <c r="X344" t="s">
        <v>780</v>
      </c>
      <c r="Y344" t="s">
        <v>807</v>
      </c>
      <c r="AA344" s="31">
        <v>46053</v>
      </c>
      <c r="AB344">
        <v>8000</v>
      </c>
      <c r="AC344">
        <v>186599</v>
      </c>
      <c r="AD344">
        <v>31</v>
      </c>
      <c r="AE344" t="s">
        <v>44</v>
      </c>
      <c r="AF344" s="31">
        <v>46007</v>
      </c>
      <c r="AG344" s="61">
        <v>0.7303587962962963</v>
      </c>
      <c r="AI344" t="s">
        <v>795</v>
      </c>
      <c r="AJ344" s="31">
        <v>46038</v>
      </c>
      <c r="AK344" s="61">
        <v>0.66439814814814813</v>
      </c>
      <c r="AL344" t="s">
        <v>934</v>
      </c>
      <c r="AM344" t="s">
        <v>2549</v>
      </c>
      <c r="AO344" t="s">
        <v>2550</v>
      </c>
      <c r="AQ344" t="s">
        <v>2510</v>
      </c>
      <c r="AR344" t="s">
        <v>2551</v>
      </c>
      <c r="AS344" s="31">
        <v>46038</v>
      </c>
      <c r="AY344">
        <v>1</v>
      </c>
    </row>
    <row r="345" spans="1:51" x14ac:dyDescent="0.3">
      <c r="A345" t="s">
        <v>44</v>
      </c>
      <c r="B345">
        <v>746</v>
      </c>
      <c r="D345">
        <v>3004</v>
      </c>
      <c r="G345" t="s">
        <v>2555</v>
      </c>
      <c r="J345" t="s">
        <v>2556</v>
      </c>
      <c r="K345" t="s">
        <v>2556</v>
      </c>
      <c r="L345">
        <v>4191190775</v>
      </c>
      <c r="N345" t="s">
        <v>2558</v>
      </c>
      <c r="Q345" t="s">
        <v>778</v>
      </c>
      <c r="T345" t="s">
        <v>2541</v>
      </c>
      <c r="W345" t="s">
        <v>2559</v>
      </c>
      <c r="X345" t="s">
        <v>780</v>
      </c>
      <c r="Y345" t="s">
        <v>781</v>
      </c>
      <c r="AA345" s="31"/>
      <c r="AD345">
        <v>21</v>
      </c>
      <c r="AE345" t="s">
        <v>44</v>
      </c>
      <c r="AF345" s="31">
        <v>46013</v>
      </c>
      <c r="AG345" s="61">
        <v>0.35472222222222222</v>
      </c>
      <c r="AI345" t="s">
        <v>795</v>
      </c>
      <c r="AJ345" s="31">
        <v>46034</v>
      </c>
      <c r="AK345" s="61">
        <v>0.93934027777777773</v>
      </c>
      <c r="AL345" t="s">
        <v>1226</v>
      </c>
      <c r="AS345" s="31"/>
      <c r="AY345">
        <v>1</v>
      </c>
    </row>
    <row r="346" spans="1:51" x14ac:dyDescent="0.3">
      <c r="A346" t="s">
        <v>44</v>
      </c>
      <c r="B346">
        <v>747</v>
      </c>
      <c r="D346">
        <v>3003</v>
      </c>
      <c r="G346" t="s">
        <v>2560</v>
      </c>
      <c r="J346" t="s">
        <v>2561</v>
      </c>
      <c r="K346" t="s">
        <v>2561</v>
      </c>
      <c r="L346">
        <v>6195770926</v>
      </c>
      <c r="N346" t="s">
        <v>2563</v>
      </c>
      <c r="Q346" t="s">
        <v>778</v>
      </c>
      <c r="T346" t="s">
        <v>2541</v>
      </c>
      <c r="W346" t="s">
        <v>2559</v>
      </c>
      <c r="X346" t="s">
        <v>780</v>
      </c>
      <c r="Y346" t="s">
        <v>781</v>
      </c>
      <c r="AA346" s="31"/>
      <c r="AD346">
        <v>45</v>
      </c>
      <c r="AE346" t="s">
        <v>44</v>
      </c>
      <c r="AF346" s="31">
        <v>46013</v>
      </c>
      <c r="AG346" s="61">
        <v>0.35800925925925919</v>
      </c>
      <c r="AI346" t="s">
        <v>795</v>
      </c>
      <c r="AJ346" s="31">
        <v>46058</v>
      </c>
      <c r="AK346" s="61">
        <v>0.52331018518518524</v>
      </c>
      <c r="AL346" t="s">
        <v>796</v>
      </c>
      <c r="AM346" t="s">
        <v>2564</v>
      </c>
      <c r="AS346" s="31"/>
      <c r="AY346">
        <v>1</v>
      </c>
    </row>
    <row r="347" spans="1:51" x14ac:dyDescent="0.3">
      <c r="A347" t="s">
        <v>44</v>
      </c>
      <c r="B347">
        <v>748</v>
      </c>
      <c r="D347">
        <v>3011</v>
      </c>
      <c r="E347" t="s">
        <v>4716</v>
      </c>
      <c r="G347" t="s">
        <v>2566</v>
      </c>
      <c r="H347">
        <v>9260618000165</v>
      </c>
      <c r="J347" t="s">
        <v>2567</v>
      </c>
      <c r="K347" t="s">
        <v>2567</v>
      </c>
      <c r="L347" t="s">
        <v>2568</v>
      </c>
      <c r="N347" t="s">
        <v>2569</v>
      </c>
      <c r="Q347" t="s">
        <v>778</v>
      </c>
      <c r="T347" t="s">
        <v>2541</v>
      </c>
      <c r="W347" t="s">
        <v>2542</v>
      </c>
      <c r="X347" t="s">
        <v>780</v>
      </c>
      <c r="Y347" t="s">
        <v>857</v>
      </c>
      <c r="AA347" s="31">
        <v>46053</v>
      </c>
      <c r="AD347">
        <v>62</v>
      </c>
      <c r="AE347" t="s">
        <v>44</v>
      </c>
      <c r="AF347" s="31">
        <v>46021</v>
      </c>
      <c r="AG347" s="61">
        <v>0.46439814814814823</v>
      </c>
      <c r="AI347" t="s">
        <v>795</v>
      </c>
      <c r="AJ347" s="31">
        <v>46083</v>
      </c>
      <c r="AK347" s="61">
        <v>0.47996527777777781</v>
      </c>
      <c r="AL347" t="s">
        <v>858</v>
      </c>
      <c r="AM347" t="s">
        <v>4717</v>
      </c>
      <c r="AP347" t="s">
        <v>44</v>
      </c>
      <c r="AQ347" t="s">
        <v>2505</v>
      </c>
      <c r="AS347" s="31">
        <v>46083</v>
      </c>
      <c r="AT347">
        <v>30</v>
      </c>
      <c r="AY347">
        <v>1</v>
      </c>
    </row>
    <row r="348" spans="1:51" x14ac:dyDescent="0.3">
      <c r="A348" t="s">
        <v>44</v>
      </c>
      <c r="B348">
        <v>749</v>
      </c>
      <c r="D348">
        <v>3006</v>
      </c>
      <c r="E348" t="s">
        <v>2570</v>
      </c>
      <c r="G348" t="s">
        <v>381</v>
      </c>
      <c r="H348">
        <v>34667612000154</v>
      </c>
      <c r="J348" t="s">
        <v>2571</v>
      </c>
      <c r="K348" t="s">
        <v>2571</v>
      </c>
      <c r="L348" t="s">
        <v>2572</v>
      </c>
      <c r="N348" t="s">
        <v>2573</v>
      </c>
      <c r="Q348" t="s">
        <v>778</v>
      </c>
      <c r="R348" t="s">
        <v>2574</v>
      </c>
      <c r="S348" t="s">
        <v>1699</v>
      </c>
      <c r="T348" t="s">
        <v>2541</v>
      </c>
      <c r="W348" t="s">
        <v>2542</v>
      </c>
      <c r="X348" t="s">
        <v>780</v>
      </c>
      <c r="Y348" t="s">
        <v>793</v>
      </c>
      <c r="AA348" s="31">
        <v>46081</v>
      </c>
      <c r="AB348">
        <v>1117015</v>
      </c>
      <c r="AC348">
        <v>468739</v>
      </c>
      <c r="AD348">
        <v>50</v>
      </c>
      <c r="AE348" t="s">
        <v>44</v>
      </c>
      <c r="AF348" s="31">
        <v>46021</v>
      </c>
      <c r="AG348" s="61">
        <v>0.47844907407407411</v>
      </c>
      <c r="AI348" t="s">
        <v>795</v>
      </c>
      <c r="AJ348" s="31">
        <v>46071</v>
      </c>
      <c r="AK348" s="61">
        <v>0.36982638888888891</v>
      </c>
      <c r="AL348" t="s">
        <v>934</v>
      </c>
      <c r="AM348" t="s">
        <v>2575</v>
      </c>
      <c r="AO348" t="s">
        <v>382</v>
      </c>
      <c r="AP348" t="s">
        <v>44</v>
      </c>
      <c r="AQ348" t="s">
        <v>2576</v>
      </c>
      <c r="AR348" t="s">
        <v>382</v>
      </c>
      <c r="AS348" s="31">
        <v>46071</v>
      </c>
      <c r="AT348">
        <v>30</v>
      </c>
      <c r="AY348">
        <v>1</v>
      </c>
    </row>
    <row r="349" spans="1:51" x14ac:dyDescent="0.3">
      <c r="A349" t="s">
        <v>31</v>
      </c>
      <c r="B349">
        <v>750</v>
      </c>
      <c r="D349">
        <v>3016</v>
      </c>
      <c r="E349" t="s">
        <v>2577</v>
      </c>
      <c r="G349" t="s">
        <v>2578</v>
      </c>
      <c r="H349">
        <v>1574467000108</v>
      </c>
      <c r="J349" t="s">
        <v>2579</v>
      </c>
      <c r="K349" t="s">
        <v>2579</v>
      </c>
      <c r="L349">
        <v>17981152060</v>
      </c>
      <c r="N349" t="s">
        <v>2581</v>
      </c>
      <c r="Q349" t="s">
        <v>778</v>
      </c>
      <c r="T349" t="s">
        <v>2541</v>
      </c>
      <c r="W349" t="s">
        <v>2582</v>
      </c>
      <c r="X349" t="s">
        <v>780</v>
      </c>
      <c r="Y349" t="s">
        <v>807</v>
      </c>
      <c r="AA349" s="31">
        <v>46112</v>
      </c>
      <c r="AB349">
        <v>12996348</v>
      </c>
      <c r="AC349">
        <v>860884</v>
      </c>
      <c r="AD349">
        <v>43</v>
      </c>
      <c r="AE349" t="s">
        <v>31</v>
      </c>
      <c r="AF349" s="31">
        <v>46027</v>
      </c>
      <c r="AG349" s="61">
        <v>0.49306712962962962</v>
      </c>
      <c r="AI349" t="s">
        <v>795</v>
      </c>
      <c r="AJ349" s="31">
        <v>46070</v>
      </c>
      <c r="AK349" s="61">
        <v>0.68046296296296294</v>
      </c>
      <c r="AL349" t="s">
        <v>867</v>
      </c>
      <c r="AP349" t="s">
        <v>31</v>
      </c>
      <c r="AQ349" t="s">
        <v>2505</v>
      </c>
      <c r="AR349" t="s">
        <v>382</v>
      </c>
      <c r="AS349" s="31">
        <v>46058</v>
      </c>
      <c r="AT349">
        <v>50</v>
      </c>
      <c r="AY349">
        <v>1</v>
      </c>
    </row>
    <row r="350" spans="1:51" x14ac:dyDescent="0.3">
      <c r="A350" t="s">
        <v>31</v>
      </c>
      <c r="B350">
        <v>754</v>
      </c>
      <c r="D350">
        <v>3017</v>
      </c>
      <c r="E350" t="s">
        <v>2583</v>
      </c>
      <c r="F350" t="s">
        <v>2584</v>
      </c>
      <c r="G350" t="s">
        <v>2585</v>
      </c>
      <c r="H350">
        <v>61516270000144</v>
      </c>
      <c r="J350" t="s">
        <v>2586</v>
      </c>
      <c r="K350" t="s">
        <v>2586</v>
      </c>
      <c r="L350">
        <v>11973112176</v>
      </c>
      <c r="N350" t="s">
        <v>2588</v>
      </c>
      <c r="Q350" t="s">
        <v>778</v>
      </c>
      <c r="R350" t="s">
        <v>2589</v>
      </c>
      <c r="S350" t="s">
        <v>790</v>
      </c>
      <c r="T350" t="s">
        <v>2541</v>
      </c>
      <c r="W350" t="s">
        <v>2542</v>
      </c>
      <c r="X350" t="s">
        <v>780</v>
      </c>
      <c r="Y350" t="s">
        <v>793</v>
      </c>
      <c r="AA350" s="31">
        <v>46142</v>
      </c>
      <c r="AD350">
        <v>13</v>
      </c>
      <c r="AE350" t="s">
        <v>31</v>
      </c>
      <c r="AF350" s="31">
        <v>46029</v>
      </c>
      <c r="AG350" s="61">
        <v>0.42782407407407408</v>
      </c>
      <c r="AI350" t="s">
        <v>795</v>
      </c>
      <c r="AJ350" s="31">
        <v>46042</v>
      </c>
      <c r="AK350" s="61">
        <v>0.71923611111111108</v>
      </c>
      <c r="AL350" t="s">
        <v>858</v>
      </c>
      <c r="AO350" t="s">
        <v>2590</v>
      </c>
      <c r="AP350" t="s">
        <v>31</v>
      </c>
      <c r="AQ350" t="s">
        <v>2591</v>
      </c>
      <c r="AS350" s="31">
        <v>46041</v>
      </c>
      <c r="AY350">
        <v>1</v>
      </c>
    </row>
    <row r="351" spans="1:51" x14ac:dyDescent="0.3">
      <c r="A351" t="s">
        <v>22</v>
      </c>
      <c r="B351">
        <v>757</v>
      </c>
      <c r="D351">
        <v>3046</v>
      </c>
      <c r="E351" t="s">
        <v>2592</v>
      </c>
      <c r="G351" t="s">
        <v>2593</v>
      </c>
      <c r="J351" t="s">
        <v>2594</v>
      </c>
      <c r="K351" t="s">
        <v>2594</v>
      </c>
      <c r="L351">
        <v>12982018157</v>
      </c>
      <c r="N351" t="s">
        <v>2596</v>
      </c>
      <c r="Q351" t="s">
        <v>778</v>
      </c>
      <c r="T351" t="s">
        <v>2541</v>
      </c>
      <c r="W351" t="s">
        <v>2542</v>
      </c>
      <c r="X351" t="s">
        <v>780</v>
      </c>
      <c r="Y351" t="s">
        <v>897</v>
      </c>
      <c r="AA351" s="31">
        <v>46034</v>
      </c>
      <c r="AD351">
        <v>15</v>
      </c>
      <c r="AE351" t="s">
        <v>22</v>
      </c>
      <c r="AF351" s="31">
        <v>46030</v>
      </c>
      <c r="AG351" s="61">
        <v>0.66454861111111108</v>
      </c>
      <c r="AI351" t="s">
        <v>795</v>
      </c>
      <c r="AJ351" s="31">
        <v>46045</v>
      </c>
      <c r="AK351" s="61">
        <v>0.74555555555555553</v>
      </c>
      <c r="AL351" t="s">
        <v>974</v>
      </c>
      <c r="AM351" t="s">
        <v>2597</v>
      </c>
      <c r="AP351" t="s">
        <v>22</v>
      </c>
      <c r="AS351" s="31">
        <v>46034</v>
      </c>
      <c r="AY351">
        <v>1</v>
      </c>
    </row>
    <row r="352" spans="1:51" x14ac:dyDescent="0.3">
      <c r="A352" t="s">
        <v>22</v>
      </c>
      <c r="B352">
        <v>758</v>
      </c>
      <c r="D352">
        <v>3048</v>
      </c>
      <c r="E352" t="s">
        <v>4718</v>
      </c>
      <c r="G352" t="s">
        <v>2599</v>
      </c>
      <c r="J352" t="s">
        <v>2600</v>
      </c>
      <c r="K352" t="s">
        <v>2600</v>
      </c>
      <c r="L352">
        <v>11982243773</v>
      </c>
      <c r="N352" t="s">
        <v>2602</v>
      </c>
      <c r="Q352" t="s">
        <v>778</v>
      </c>
      <c r="W352" t="s">
        <v>1419</v>
      </c>
      <c r="X352" t="s">
        <v>780</v>
      </c>
      <c r="Y352" t="s">
        <v>807</v>
      </c>
      <c r="AA352" s="31">
        <v>46079</v>
      </c>
      <c r="AB352">
        <v>0</v>
      </c>
      <c r="AC352">
        <v>66</v>
      </c>
      <c r="AD352">
        <v>49</v>
      </c>
      <c r="AE352" t="s">
        <v>22</v>
      </c>
      <c r="AF352" s="31">
        <v>46030</v>
      </c>
      <c r="AG352" s="61">
        <v>0.7044907407407407</v>
      </c>
      <c r="AI352" t="s">
        <v>795</v>
      </c>
      <c r="AJ352" s="31">
        <v>46079</v>
      </c>
      <c r="AK352" s="61">
        <v>0.92770833333333336</v>
      </c>
      <c r="AL352" t="s">
        <v>934</v>
      </c>
      <c r="AO352" t="s">
        <v>2603</v>
      </c>
      <c r="AP352" t="s">
        <v>22</v>
      </c>
      <c r="AQ352" t="s">
        <v>2603</v>
      </c>
      <c r="AS352" s="31">
        <v>46079</v>
      </c>
      <c r="AT352">
        <v>50</v>
      </c>
      <c r="AU352">
        <v>2</v>
      </c>
      <c r="AV352" t="s">
        <v>2605</v>
      </c>
      <c r="AW352" t="s">
        <v>2606</v>
      </c>
      <c r="AX352" t="s">
        <v>2607</v>
      </c>
      <c r="AY352">
        <v>1</v>
      </c>
    </row>
    <row r="353" spans="1:51" x14ac:dyDescent="0.3">
      <c r="A353" t="s">
        <v>22</v>
      </c>
      <c r="B353">
        <v>759</v>
      </c>
      <c r="D353">
        <v>3049</v>
      </c>
      <c r="E353" t="s">
        <v>2608</v>
      </c>
      <c r="G353" t="s">
        <v>2609</v>
      </c>
      <c r="H353">
        <v>10345472000130</v>
      </c>
      <c r="J353" t="s">
        <v>2610</v>
      </c>
      <c r="K353" t="s">
        <v>2610</v>
      </c>
      <c r="L353">
        <v>19983040748</v>
      </c>
      <c r="N353" t="s">
        <v>2612</v>
      </c>
      <c r="Q353" t="s">
        <v>778</v>
      </c>
      <c r="W353" t="s">
        <v>1704</v>
      </c>
      <c r="X353" t="s">
        <v>780</v>
      </c>
      <c r="Y353" t="s">
        <v>816</v>
      </c>
      <c r="AA353" s="31">
        <v>46053</v>
      </c>
      <c r="AB353">
        <v>1505387</v>
      </c>
      <c r="AC353">
        <v>27562</v>
      </c>
      <c r="AD353">
        <v>4</v>
      </c>
      <c r="AE353" t="s">
        <v>22</v>
      </c>
      <c r="AF353" s="31">
        <v>46030</v>
      </c>
      <c r="AG353" s="61">
        <v>0.71855324074074078</v>
      </c>
      <c r="AI353" t="s">
        <v>818</v>
      </c>
      <c r="AJ353" s="31">
        <v>46034</v>
      </c>
      <c r="AK353" s="61">
        <v>0.6088541666666667</v>
      </c>
      <c r="AO353" t="s">
        <v>2603</v>
      </c>
      <c r="AP353" t="s">
        <v>22</v>
      </c>
      <c r="AQ353" t="s">
        <v>2603</v>
      </c>
      <c r="AS353" s="31"/>
      <c r="AY353">
        <v>1</v>
      </c>
    </row>
    <row r="354" spans="1:51" x14ac:dyDescent="0.3">
      <c r="A354" t="s">
        <v>22</v>
      </c>
      <c r="B354">
        <v>760</v>
      </c>
      <c r="D354">
        <v>3050</v>
      </c>
      <c r="E354" t="s">
        <v>4719</v>
      </c>
      <c r="G354" t="s">
        <v>2614</v>
      </c>
      <c r="H354">
        <v>3204281000192</v>
      </c>
      <c r="J354" t="s">
        <v>2615</v>
      </c>
      <c r="K354" t="s">
        <v>2615</v>
      </c>
      <c r="L354" t="s">
        <v>2616</v>
      </c>
      <c r="N354" t="s">
        <v>2617</v>
      </c>
      <c r="Q354" t="s">
        <v>778</v>
      </c>
      <c r="R354" t="s">
        <v>2618</v>
      </c>
      <c r="S354" t="s">
        <v>790</v>
      </c>
      <c r="W354" t="s">
        <v>1704</v>
      </c>
      <c r="X354" t="s">
        <v>780</v>
      </c>
      <c r="Y354" t="s">
        <v>816</v>
      </c>
      <c r="AA354" s="31">
        <v>46112</v>
      </c>
      <c r="AB354">
        <v>58000</v>
      </c>
      <c r="AC354">
        <v>0</v>
      </c>
      <c r="AD354">
        <v>97</v>
      </c>
      <c r="AE354" t="s">
        <v>22</v>
      </c>
      <c r="AF354" s="31">
        <v>46030</v>
      </c>
      <c r="AG354" s="61">
        <v>0.72366898148148151</v>
      </c>
      <c r="AI354" t="s">
        <v>782</v>
      </c>
      <c r="AJ354" s="31"/>
      <c r="AK354" s="61"/>
      <c r="AO354" t="s">
        <v>2619</v>
      </c>
      <c r="AP354" t="s">
        <v>22</v>
      </c>
      <c r="AQ354" t="s">
        <v>2619</v>
      </c>
      <c r="AS354" s="31">
        <v>46101</v>
      </c>
      <c r="AT354">
        <v>90</v>
      </c>
      <c r="AU354">
        <v>290</v>
      </c>
      <c r="AV354" t="s">
        <v>318</v>
      </c>
      <c r="AW354" t="s">
        <v>4720</v>
      </c>
      <c r="AX354" t="s">
        <v>2606</v>
      </c>
      <c r="AY354">
        <v>1</v>
      </c>
    </row>
    <row r="355" spans="1:51" x14ac:dyDescent="0.3">
      <c r="A355" t="s">
        <v>22</v>
      </c>
      <c r="B355">
        <v>761</v>
      </c>
      <c r="D355">
        <v>3053</v>
      </c>
      <c r="E355" t="s">
        <v>2622</v>
      </c>
      <c r="G355" t="s">
        <v>2623</v>
      </c>
      <c r="H355">
        <v>12585697000199</v>
      </c>
      <c r="J355" t="s">
        <v>2624</v>
      </c>
      <c r="K355" t="s">
        <v>2624</v>
      </c>
      <c r="L355" t="s">
        <v>2625</v>
      </c>
      <c r="N355" t="s">
        <v>2626</v>
      </c>
      <c r="Q355" t="s">
        <v>778</v>
      </c>
      <c r="R355" t="s">
        <v>1837</v>
      </c>
      <c r="S355" t="s">
        <v>790</v>
      </c>
      <c r="X355" t="s">
        <v>780</v>
      </c>
      <c r="Y355" t="s">
        <v>807</v>
      </c>
      <c r="AA355" s="31">
        <v>46053</v>
      </c>
      <c r="AB355">
        <v>8100</v>
      </c>
      <c r="AC355">
        <v>1080</v>
      </c>
      <c r="AD355">
        <v>4</v>
      </c>
      <c r="AE355" t="s">
        <v>22</v>
      </c>
      <c r="AF355" s="31">
        <v>46030</v>
      </c>
      <c r="AG355" s="61">
        <v>0.72824074074074074</v>
      </c>
      <c r="AI355" t="s">
        <v>795</v>
      </c>
      <c r="AJ355" s="31">
        <v>46034</v>
      </c>
      <c r="AK355" s="61">
        <v>0.60534722222222226</v>
      </c>
      <c r="AL355" t="s">
        <v>858</v>
      </c>
      <c r="AO355" t="s">
        <v>2603</v>
      </c>
      <c r="AP355" t="s">
        <v>22</v>
      </c>
      <c r="AQ355" t="s">
        <v>2603</v>
      </c>
      <c r="AS355" s="31">
        <v>46031</v>
      </c>
      <c r="AY355">
        <v>1</v>
      </c>
    </row>
    <row r="356" spans="1:51" x14ac:dyDescent="0.3">
      <c r="A356" t="s">
        <v>22</v>
      </c>
      <c r="B356">
        <v>762</v>
      </c>
      <c r="D356">
        <v>3040</v>
      </c>
      <c r="E356" t="s">
        <v>2627</v>
      </c>
      <c r="G356" t="s">
        <v>2628</v>
      </c>
      <c r="J356" t="s">
        <v>2629</v>
      </c>
      <c r="K356" t="s">
        <v>2629</v>
      </c>
      <c r="L356">
        <v>11930305063</v>
      </c>
      <c r="N356" t="s">
        <v>2631</v>
      </c>
      <c r="Q356" t="s">
        <v>778</v>
      </c>
      <c r="T356" t="s">
        <v>2541</v>
      </c>
      <c r="W356" t="s">
        <v>2632</v>
      </c>
      <c r="X356" t="s">
        <v>780</v>
      </c>
      <c r="Y356" t="s">
        <v>897</v>
      </c>
      <c r="AA356" s="31">
        <v>46045</v>
      </c>
      <c r="AD356">
        <v>15</v>
      </c>
      <c r="AE356" t="s">
        <v>22</v>
      </c>
      <c r="AF356" s="31">
        <v>46030</v>
      </c>
      <c r="AG356" s="61">
        <v>0.7323263888888889</v>
      </c>
      <c r="AI356" t="s">
        <v>795</v>
      </c>
      <c r="AJ356" s="31">
        <v>46045</v>
      </c>
      <c r="AK356" s="61">
        <v>0.74736111111111114</v>
      </c>
      <c r="AL356" t="s">
        <v>1226</v>
      </c>
      <c r="AP356" t="s">
        <v>22</v>
      </c>
      <c r="AS356" s="31">
        <v>46045</v>
      </c>
      <c r="AY356">
        <v>1</v>
      </c>
    </row>
    <row r="357" spans="1:51" x14ac:dyDescent="0.3">
      <c r="A357" t="s">
        <v>44</v>
      </c>
      <c r="B357">
        <v>763</v>
      </c>
      <c r="D357">
        <v>3058</v>
      </c>
      <c r="E357" t="s">
        <v>2633</v>
      </c>
      <c r="G357" t="s">
        <v>2634</v>
      </c>
      <c r="H357">
        <v>55042933000133</v>
      </c>
      <c r="J357" t="s">
        <v>291</v>
      </c>
      <c r="K357" t="s">
        <v>291</v>
      </c>
      <c r="L357" t="s">
        <v>2635</v>
      </c>
      <c r="N357" t="s">
        <v>2636</v>
      </c>
      <c r="Q357" t="s">
        <v>778</v>
      </c>
      <c r="R357" t="s">
        <v>2637</v>
      </c>
      <c r="S357" t="s">
        <v>1105</v>
      </c>
      <c r="T357" t="s">
        <v>2541</v>
      </c>
      <c r="W357" t="s">
        <v>2542</v>
      </c>
      <c r="X357" t="s">
        <v>780</v>
      </c>
      <c r="Y357" t="s">
        <v>857</v>
      </c>
      <c r="AA357" s="31">
        <v>46053</v>
      </c>
      <c r="AB357">
        <v>61904</v>
      </c>
      <c r="AC357">
        <v>13156</v>
      </c>
      <c r="AD357">
        <v>20</v>
      </c>
      <c r="AE357" t="s">
        <v>44</v>
      </c>
      <c r="AF357" s="31">
        <v>46031</v>
      </c>
      <c r="AG357" s="61">
        <v>0.46917824074074072</v>
      </c>
      <c r="AI357" t="s">
        <v>795</v>
      </c>
      <c r="AJ357" s="31">
        <v>46051</v>
      </c>
      <c r="AK357" s="61">
        <v>0.60484953703703703</v>
      </c>
      <c r="AL357" t="s">
        <v>796</v>
      </c>
      <c r="AM357" t="s">
        <v>2638</v>
      </c>
      <c r="AO357" t="s">
        <v>2591</v>
      </c>
      <c r="AQ357" t="s">
        <v>2639</v>
      </c>
      <c r="AS357" s="31">
        <v>46051</v>
      </c>
      <c r="AY357">
        <v>1</v>
      </c>
    </row>
    <row r="358" spans="1:51" x14ac:dyDescent="0.3">
      <c r="A358" t="s">
        <v>31</v>
      </c>
      <c r="B358">
        <v>764</v>
      </c>
      <c r="D358">
        <v>3007</v>
      </c>
      <c r="E358" t="s">
        <v>2640</v>
      </c>
      <c r="G358" t="s">
        <v>2641</v>
      </c>
      <c r="H358">
        <v>51776465000170</v>
      </c>
      <c r="J358" t="s">
        <v>2642</v>
      </c>
      <c r="K358" t="s">
        <v>2642</v>
      </c>
      <c r="L358">
        <v>16996298460</v>
      </c>
      <c r="N358" t="s">
        <v>2644</v>
      </c>
      <c r="Q358" t="s">
        <v>778</v>
      </c>
      <c r="T358" t="s">
        <v>2541</v>
      </c>
      <c r="W358" t="s">
        <v>2542</v>
      </c>
      <c r="X358" t="s">
        <v>780</v>
      </c>
      <c r="Y358" t="s">
        <v>793</v>
      </c>
      <c r="AA358" s="31">
        <v>46112</v>
      </c>
      <c r="AD358">
        <v>27</v>
      </c>
      <c r="AE358" t="s">
        <v>31</v>
      </c>
      <c r="AF358" s="31">
        <v>46031</v>
      </c>
      <c r="AG358" s="61">
        <v>0.48917824074074068</v>
      </c>
      <c r="AI358" t="s">
        <v>795</v>
      </c>
      <c r="AJ358" s="31">
        <v>46058</v>
      </c>
      <c r="AK358" s="61">
        <v>0.62587962962962962</v>
      </c>
      <c r="AL358" t="s">
        <v>796</v>
      </c>
      <c r="AP358" t="s">
        <v>31</v>
      </c>
      <c r="AQ358" t="s">
        <v>2645</v>
      </c>
      <c r="AS358" s="31">
        <v>46050</v>
      </c>
      <c r="AY358">
        <v>1</v>
      </c>
    </row>
    <row r="359" spans="1:51" x14ac:dyDescent="0.3">
      <c r="A359" t="s">
        <v>22</v>
      </c>
      <c r="B359">
        <v>766</v>
      </c>
      <c r="D359">
        <v>3063</v>
      </c>
      <c r="E359" t="s">
        <v>2646</v>
      </c>
      <c r="G359" t="s">
        <v>2647</v>
      </c>
      <c r="J359" t="s">
        <v>2648</v>
      </c>
      <c r="K359" t="s">
        <v>2648</v>
      </c>
      <c r="L359">
        <v>11971597112</v>
      </c>
      <c r="N359" t="s">
        <v>1111</v>
      </c>
      <c r="Q359" t="s">
        <v>778</v>
      </c>
      <c r="W359" t="s">
        <v>2407</v>
      </c>
      <c r="X359" t="s">
        <v>780</v>
      </c>
      <c r="Y359" t="s">
        <v>816</v>
      </c>
      <c r="AA359" s="31">
        <v>46037</v>
      </c>
      <c r="AB359">
        <v>56100</v>
      </c>
      <c r="AC359">
        <v>67334</v>
      </c>
      <c r="AD359">
        <v>14</v>
      </c>
      <c r="AE359" t="s">
        <v>22</v>
      </c>
      <c r="AF359" s="31">
        <v>46031</v>
      </c>
      <c r="AG359" s="61">
        <v>0.64468749999999997</v>
      </c>
      <c r="AI359" t="s">
        <v>818</v>
      </c>
      <c r="AJ359" s="31">
        <v>46045</v>
      </c>
      <c r="AK359" s="61">
        <v>0.46248842592592587</v>
      </c>
      <c r="AO359" t="s">
        <v>2603</v>
      </c>
      <c r="AP359" t="s">
        <v>22</v>
      </c>
      <c r="AQ359" t="s">
        <v>2650</v>
      </c>
      <c r="AS359" s="31">
        <v>46037</v>
      </c>
      <c r="AY359">
        <v>1</v>
      </c>
    </row>
    <row r="360" spans="1:51" x14ac:dyDescent="0.3">
      <c r="A360" t="s">
        <v>22</v>
      </c>
      <c r="B360">
        <v>767</v>
      </c>
      <c r="D360">
        <v>3064</v>
      </c>
      <c r="E360" t="s">
        <v>4721</v>
      </c>
      <c r="G360" t="s">
        <v>2652</v>
      </c>
      <c r="J360" t="s">
        <v>2653</v>
      </c>
      <c r="K360" t="s">
        <v>2653</v>
      </c>
      <c r="L360">
        <v>11982745856</v>
      </c>
      <c r="N360" t="s">
        <v>2655</v>
      </c>
      <c r="Q360" t="s">
        <v>778</v>
      </c>
      <c r="W360" t="s">
        <v>2656</v>
      </c>
      <c r="X360" t="s">
        <v>780</v>
      </c>
      <c r="Y360" t="s">
        <v>807</v>
      </c>
      <c r="AA360" s="31">
        <v>46053</v>
      </c>
      <c r="AB360">
        <v>16000</v>
      </c>
      <c r="AC360">
        <v>18330</v>
      </c>
      <c r="AD360">
        <v>49</v>
      </c>
      <c r="AE360" t="s">
        <v>22</v>
      </c>
      <c r="AF360" s="31">
        <v>46031</v>
      </c>
      <c r="AG360" s="61">
        <v>0.65190972222222221</v>
      </c>
      <c r="AI360" t="s">
        <v>795</v>
      </c>
      <c r="AJ360" s="31">
        <v>46080</v>
      </c>
      <c r="AK360" s="61">
        <v>0.89033564814814814</v>
      </c>
      <c r="AL360" t="s">
        <v>867</v>
      </c>
      <c r="AO360" t="s">
        <v>2650</v>
      </c>
      <c r="AP360" t="s">
        <v>22</v>
      </c>
      <c r="AQ360" t="s">
        <v>2619</v>
      </c>
      <c r="AS360" s="31">
        <v>46041</v>
      </c>
      <c r="AT360">
        <v>30</v>
      </c>
      <c r="AU360">
        <v>80</v>
      </c>
      <c r="AV360" t="s">
        <v>63</v>
      </c>
      <c r="AW360" t="s">
        <v>1971</v>
      </c>
      <c r="AX360" t="s">
        <v>2657</v>
      </c>
      <c r="AY360">
        <v>1</v>
      </c>
    </row>
    <row r="361" spans="1:51" x14ac:dyDescent="0.3">
      <c r="A361" t="s">
        <v>31</v>
      </c>
      <c r="B361">
        <v>768</v>
      </c>
      <c r="D361">
        <v>2107</v>
      </c>
      <c r="E361" t="s">
        <v>2658</v>
      </c>
      <c r="F361" t="s">
        <v>2659</v>
      </c>
      <c r="G361" t="s">
        <v>2660</v>
      </c>
      <c r="H361">
        <v>10469551000152</v>
      </c>
      <c r="J361" t="s">
        <v>2661</v>
      </c>
      <c r="K361" t="s">
        <v>2661</v>
      </c>
      <c r="L361" t="s">
        <v>2662</v>
      </c>
      <c r="N361" t="s">
        <v>2663</v>
      </c>
      <c r="Q361" t="s">
        <v>778</v>
      </c>
      <c r="R361" t="s">
        <v>2664</v>
      </c>
      <c r="S361" t="s">
        <v>932</v>
      </c>
      <c r="T361" t="s">
        <v>805</v>
      </c>
      <c r="W361" t="s">
        <v>2665</v>
      </c>
      <c r="X361" t="s">
        <v>780</v>
      </c>
      <c r="Y361" t="s">
        <v>897</v>
      </c>
      <c r="AA361" s="31">
        <v>46142</v>
      </c>
      <c r="AD361">
        <v>11</v>
      </c>
      <c r="AE361" t="s">
        <v>31</v>
      </c>
      <c r="AF361" s="31">
        <v>46031</v>
      </c>
      <c r="AG361" s="61">
        <v>0.70384259259259263</v>
      </c>
      <c r="AI361" t="s">
        <v>795</v>
      </c>
      <c r="AJ361" s="31">
        <v>46042</v>
      </c>
      <c r="AK361" s="61">
        <v>0.71552083333333338</v>
      </c>
      <c r="AL361" t="s">
        <v>974</v>
      </c>
      <c r="AS361" s="31">
        <v>46035</v>
      </c>
      <c r="AY361">
        <v>1</v>
      </c>
    </row>
    <row r="362" spans="1:51" x14ac:dyDescent="0.3">
      <c r="A362" t="s">
        <v>22</v>
      </c>
      <c r="B362">
        <v>769</v>
      </c>
      <c r="D362">
        <v>2997</v>
      </c>
      <c r="E362" t="s">
        <v>2666</v>
      </c>
      <c r="G362" t="s">
        <v>2667</v>
      </c>
      <c r="J362" t="s">
        <v>2668</v>
      </c>
      <c r="K362" t="s">
        <v>2668</v>
      </c>
      <c r="L362">
        <v>11991898161</v>
      </c>
      <c r="N362" t="s">
        <v>2670</v>
      </c>
      <c r="Q362" t="s">
        <v>778</v>
      </c>
      <c r="T362" t="s">
        <v>2541</v>
      </c>
      <c r="W362" t="s">
        <v>2542</v>
      </c>
      <c r="X362" t="s">
        <v>780</v>
      </c>
      <c r="Y362" t="s">
        <v>897</v>
      </c>
      <c r="AA362" s="31">
        <v>46053</v>
      </c>
      <c r="AD362">
        <v>1</v>
      </c>
      <c r="AE362" t="s">
        <v>22</v>
      </c>
      <c r="AF362" s="31">
        <v>46034</v>
      </c>
      <c r="AG362" s="61">
        <v>0.72917824074074078</v>
      </c>
      <c r="AI362" t="s">
        <v>795</v>
      </c>
      <c r="AJ362" s="31">
        <v>46035</v>
      </c>
      <c r="AK362" s="61">
        <v>0.7297569444444445</v>
      </c>
      <c r="AL362" t="s">
        <v>858</v>
      </c>
      <c r="AP362" t="s">
        <v>22</v>
      </c>
      <c r="AS362" s="31"/>
      <c r="AY362">
        <v>1</v>
      </c>
    </row>
    <row r="363" spans="1:51" x14ac:dyDescent="0.3">
      <c r="A363" t="s">
        <v>22</v>
      </c>
      <c r="B363">
        <v>770</v>
      </c>
      <c r="D363">
        <v>3005</v>
      </c>
      <c r="E363" t="s">
        <v>4722</v>
      </c>
      <c r="G363" t="s">
        <v>2672</v>
      </c>
      <c r="H363">
        <v>18190972000151</v>
      </c>
      <c r="J363" t="s">
        <v>2673</v>
      </c>
      <c r="K363" t="s">
        <v>2673</v>
      </c>
      <c r="L363">
        <v>12997937887</v>
      </c>
      <c r="N363" t="s">
        <v>2675</v>
      </c>
      <c r="Q363" t="s">
        <v>778</v>
      </c>
      <c r="T363" t="s">
        <v>2541</v>
      </c>
      <c r="W363" t="s">
        <v>2542</v>
      </c>
      <c r="X363" t="s">
        <v>780</v>
      </c>
      <c r="Y363" t="s">
        <v>897</v>
      </c>
      <c r="AA363" s="31">
        <v>46053</v>
      </c>
      <c r="AD363">
        <v>38</v>
      </c>
      <c r="AE363" t="s">
        <v>22</v>
      </c>
      <c r="AF363" s="31">
        <v>46034</v>
      </c>
      <c r="AG363" s="61">
        <v>0.73178240740740741</v>
      </c>
      <c r="AI363" t="s">
        <v>795</v>
      </c>
      <c r="AJ363" s="31">
        <v>46072</v>
      </c>
      <c r="AK363" s="61">
        <v>0.74324074074074076</v>
      </c>
      <c r="AL363" t="s">
        <v>974</v>
      </c>
      <c r="AP363" t="s">
        <v>22</v>
      </c>
      <c r="AS363" s="31">
        <v>46045</v>
      </c>
      <c r="AT363">
        <v>30</v>
      </c>
      <c r="AY363">
        <v>1</v>
      </c>
    </row>
    <row r="364" spans="1:51" x14ac:dyDescent="0.3">
      <c r="A364" t="s">
        <v>22</v>
      </c>
      <c r="B364">
        <v>771</v>
      </c>
      <c r="D364">
        <v>3001</v>
      </c>
      <c r="E364" t="s">
        <v>4723</v>
      </c>
      <c r="G364" t="s">
        <v>394</v>
      </c>
      <c r="J364" t="s">
        <v>2677</v>
      </c>
      <c r="K364" t="s">
        <v>2677</v>
      </c>
      <c r="L364">
        <v>11991303160</v>
      </c>
      <c r="N364" t="s">
        <v>2679</v>
      </c>
      <c r="Q364" t="s">
        <v>778</v>
      </c>
      <c r="T364" t="s">
        <v>2541</v>
      </c>
      <c r="W364" t="s">
        <v>2542</v>
      </c>
      <c r="X364" t="s">
        <v>780</v>
      </c>
      <c r="Y364" t="s">
        <v>807</v>
      </c>
      <c r="AA364" s="31">
        <v>46112</v>
      </c>
      <c r="AB364">
        <v>6840289</v>
      </c>
      <c r="AC364">
        <v>44907</v>
      </c>
      <c r="AD364">
        <v>59</v>
      </c>
      <c r="AE364" t="s">
        <v>22</v>
      </c>
      <c r="AF364" s="31">
        <v>46034</v>
      </c>
      <c r="AG364" s="61">
        <v>0.7350578703703704</v>
      </c>
      <c r="AI364" t="s">
        <v>782</v>
      </c>
      <c r="AJ364" s="31">
        <v>46093</v>
      </c>
      <c r="AK364" s="61">
        <v>0.73149305555555555</v>
      </c>
      <c r="AM364">
        <v>0</v>
      </c>
      <c r="AO364" t="s">
        <v>395</v>
      </c>
      <c r="AP364" t="s">
        <v>22</v>
      </c>
      <c r="AQ364" t="s">
        <v>395</v>
      </c>
      <c r="AS364" s="31">
        <v>46101</v>
      </c>
      <c r="AT364">
        <v>30</v>
      </c>
      <c r="AV364" t="s">
        <v>321</v>
      </c>
      <c r="AY364">
        <v>1</v>
      </c>
    </row>
    <row r="365" spans="1:51" x14ac:dyDescent="0.3">
      <c r="A365" t="s">
        <v>22</v>
      </c>
      <c r="B365">
        <v>772</v>
      </c>
      <c r="D365">
        <v>3008</v>
      </c>
      <c r="E365" t="s">
        <v>2680</v>
      </c>
      <c r="G365" t="s">
        <v>2681</v>
      </c>
      <c r="J365" t="s">
        <v>2682</v>
      </c>
      <c r="K365" t="s">
        <v>2682</v>
      </c>
      <c r="L365" t="s">
        <v>2683</v>
      </c>
      <c r="N365" t="s">
        <v>2684</v>
      </c>
      <c r="Q365" t="s">
        <v>778</v>
      </c>
      <c r="R365" t="s">
        <v>2685</v>
      </c>
      <c r="T365" t="s">
        <v>814</v>
      </c>
      <c r="W365" t="s">
        <v>1718</v>
      </c>
      <c r="X365" t="s">
        <v>780</v>
      </c>
      <c r="Y365" t="s">
        <v>897</v>
      </c>
      <c r="AA365" s="31">
        <v>46053</v>
      </c>
      <c r="AD365">
        <v>0</v>
      </c>
      <c r="AE365" t="s">
        <v>22</v>
      </c>
      <c r="AF365" s="31">
        <v>46034</v>
      </c>
      <c r="AG365" s="61">
        <v>0.73835648148148147</v>
      </c>
      <c r="AI365" t="s">
        <v>795</v>
      </c>
      <c r="AJ365" s="31">
        <v>46034</v>
      </c>
      <c r="AK365" s="61">
        <v>0.93637731481481479</v>
      </c>
      <c r="AL365" t="s">
        <v>1226</v>
      </c>
      <c r="AP365" t="s">
        <v>22</v>
      </c>
      <c r="AS365" s="31"/>
      <c r="AY365">
        <v>1</v>
      </c>
    </row>
    <row r="366" spans="1:51" x14ac:dyDescent="0.3">
      <c r="A366" t="s">
        <v>22</v>
      </c>
      <c r="B366">
        <v>773</v>
      </c>
      <c r="D366">
        <v>3000</v>
      </c>
      <c r="E366" t="s">
        <v>2686</v>
      </c>
      <c r="G366" t="s">
        <v>2687</v>
      </c>
      <c r="J366" t="s">
        <v>2688</v>
      </c>
      <c r="K366" t="s">
        <v>2688</v>
      </c>
      <c r="L366" t="s">
        <v>2689</v>
      </c>
      <c r="N366" t="s">
        <v>2690</v>
      </c>
      <c r="Q366" t="s">
        <v>778</v>
      </c>
      <c r="R366" t="s">
        <v>2398</v>
      </c>
      <c r="T366" t="s">
        <v>814</v>
      </c>
      <c r="W366" t="s">
        <v>2691</v>
      </c>
      <c r="X366" t="s">
        <v>1191</v>
      </c>
      <c r="Y366" t="s">
        <v>2692</v>
      </c>
      <c r="AA366" s="31">
        <v>46053</v>
      </c>
      <c r="AD366">
        <v>93</v>
      </c>
      <c r="AE366" t="s">
        <v>22</v>
      </c>
      <c r="AF366" s="31">
        <v>46034</v>
      </c>
      <c r="AG366" s="61">
        <v>0.74041666666666661</v>
      </c>
      <c r="AI366" t="s">
        <v>782</v>
      </c>
      <c r="AJ366" s="31"/>
      <c r="AK366" s="61"/>
      <c r="AP366" t="s">
        <v>22</v>
      </c>
      <c r="AS366" s="31">
        <v>46045</v>
      </c>
      <c r="AT366">
        <v>30</v>
      </c>
      <c r="AY366">
        <v>1</v>
      </c>
    </row>
    <row r="367" spans="1:51" x14ac:dyDescent="0.3">
      <c r="A367" t="s">
        <v>44</v>
      </c>
      <c r="B367">
        <v>774</v>
      </c>
      <c r="D367">
        <v>3067</v>
      </c>
      <c r="E367" t="s">
        <v>2693</v>
      </c>
      <c r="G367" t="s">
        <v>2694</v>
      </c>
      <c r="J367" t="s">
        <v>2695</v>
      </c>
      <c r="K367" t="s">
        <v>2695</v>
      </c>
      <c r="L367">
        <v>51986006121</v>
      </c>
      <c r="N367" t="s">
        <v>2697</v>
      </c>
      <c r="Q367" t="s">
        <v>778</v>
      </c>
      <c r="T367" t="s">
        <v>2541</v>
      </c>
      <c r="W367" t="s">
        <v>2632</v>
      </c>
      <c r="X367" t="s">
        <v>780</v>
      </c>
      <c r="Y367" t="s">
        <v>897</v>
      </c>
      <c r="AA367" s="31">
        <v>46053</v>
      </c>
      <c r="AD367">
        <v>26</v>
      </c>
      <c r="AE367" t="s">
        <v>22</v>
      </c>
      <c r="AF367" s="31">
        <v>46034</v>
      </c>
      <c r="AG367" s="61">
        <v>0.91182870370370372</v>
      </c>
      <c r="AI367" t="s">
        <v>795</v>
      </c>
      <c r="AJ367" s="31">
        <v>46060</v>
      </c>
      <c r="AK367" s="61">
        <v>0.32128472222222221</v>
      </c>
      <c r="AL367" t="s">
        <v>1226</v>
      </c>
      <c r="AP367" t="s">
        <v>44</v>
      </c>
      <c r="AS367" s="31">
        <v>46042</v>
      </c>
      <c r="AY367">
        <v>1</v>
      </c>
    </row>
    <row r="368" spans="1:51" x14ac:dyDescent="0.3">
      <c r="A368" t="s">
        <v>44</v>
      </c>
      <c r="B368">
        <v>775</v>
      </c>
      <c r="D368">
        <v>3069</v>
      </c>
      <c r="E368" t="s">
        <v>2698</v>
      </c>
      <c r="G368" t="s">
        <v>2699</v>
      </c>
      <c r="J368" t="s">
        <v>2700</v>
      </c>
      <c r="K368" t="s">
        <v>2700</v>
      </c>
      <c r="L368">
        <v>92988541804</v>
      </c>
      <c r="N368" t="s">
        <v>2702</v>
      </c>
      <c r="Q368" t="s">
        <v>778</v>
      </c>
      <c r="T368" t="s">
        <v>2541</v>
      </c>
      <c r="W368" t="s">
        <v>2632</v>
      </c>
      <c r="X368" t="s">
        <v>780</v>
      </c>
      <c r="Y368" t="s">
        <v>897</v>
      </c>
      <c r="AA368" s="31">
        <v>46053</v>
      </c>
      <c r="AD368">
        <v>26</v>
      </c>
      <c r="AE368" t="s">
        <v>22</v>
      </c>
      <c r="AF368" s="31">
        <v>46034</v>
      </c>
      <c r="AG368" s="61">
        <v>0.91238425925925926</v>
      </c>
      <c r="AI368" t="s">
        <v>795</v>
      </c>
      <c r="AJ368" s="31">
        <v>46060</v>
      </c>
      <c r="AK368" s="61">
        <v>0.32656249999999998</v>
      </c>
      <c r="AL368" t="s">
        <v>1226</v>
      </c>
      <c r="AP368" t="s">
        <v>44</v>
      </c>
      <c r="AS368" s="31">
        <v>46038</v>
      </c>
      <c r="AY368">
        <v>1</v>
      </c>
    </row>
    <row r="369" spans="1:51" x14ac:dyDescent="0.3">
      <c r="A369" t="s">
        <v>31</v>
      </c>
      <c r="B369">
        <v>776</v>
      </c>
      <c r="D369">
        <v>3041</v>
      </c>
      <c r="E369" t="s">
        <v>2703</v>
      </c>
      <c r="G369" t="s">
        <v>2704</v>
      </c>
      <c r="J369" t="s">
        <v>334</v>
      </c>
      <c r="K369" t="s">
        <v>334</v>
      </c>
      <c r="L369">
        <v>6596658787</v>
      </c>
      <c r="N369" t="s">
        <v>2706</v>
      </c>
      <c r="Q369" t="s">
        <v>778</v>
      </c>
      <c r="T369" t="s">
        <v>2541</v>
      </c>
      <c r="W369" t="s">
        <v>2632</v>
      </c>
      <c r="X369" t="s">
        <v>780</v>
      </c>
      <c r="Y369" t="s">
        <v>897</v>
      </c>
      <c r="AA369" s="31">
        <v>46053</v>
      </c>
      <c r="AD369">
        <v>93</v>
      </c>
      <c r="AE369" t="s">
        <v>22</v>
      </c>
      <c r="AF369" s="31">
        <v>46034</v>
      </c>
      <c r="AG369" s="61">
        <v>0.91520833333333329</v>
      </c>
      <c r="AI369" t="s">
        <v>782</v>
      </c>
      <c r="AJ369" s="31"/>
      <c r="AK369" s="61"/>
      <c r="AP369" t="s">
        <v>31</v>
      </c>
      <c r="AS369" s="31">
        <v>46125</v>
      </c>
      <c r="AT369">
        <v>30</v>
      </c>
      <c r="AY369">
        <v>1</v>
      </c>
    </row>
    <row r="370" spans="1:51" x14ac:dyDescent="0.3">
      <c r="A370" t="s">
        <v>31</v>
      </c>
      <c r="B370">
        <v>777</v>
      </c>
      <c r="D370">
        <v>3047</v>
      </c>
      <c r="E370" t="s">
        <v>2707</v>
      </c>
      <c r="G370" t="s">
        <v>2708</v>
      </c>
      <c r="J370" t="s">
        <v>335</v>
      </c>
      <c r="K370" t="s">
        <v>335</v>
      </c>
      <c r="L370">
        <v>71996614629</v>
      </c>
      <c r="N370" t="s">
        <v>2710</v>
      </c>
      <c r="Q370" t="s">
        <v>778</v>
      </c>
      <c r="T370" t="s">
        <v>2541</v>
      </c>
      <c r="W370" t="s">
        <v>2632</v>
      </c>
      <c r="X370" t="s">
        <v>780</v>
      </c>
      <c r="Y370" t="s">
        <v>897</v>
      </c>
      <c r="AA370" s="31">
        <v>46053</v>
      </c>
      <c r="AD370">
        <v>26</v>
      </c>
      <c r="AE370" t="s">
        <v>22</v>
      </c>
      <c r="AF370" s="31">
        <v>46034</v>
      </c>
      <c r="AG370" s="61">
        <v>0.91591435185185188</v>
      </c>
      <c r="AI370" t="s">
        <v>795</v>
      </c>
      <c r="AJ370" s="31">
        <v>46060</v>
      </c>
      <c r="AK370" s="61">
        <v>0.32482638888888887</v>
      </c>
      <c r="AL370" t="s">
        <v>1226</v>
      </c>
      <c r="AP370" t="s">
        <v>31</v>
      </c>
      <c r="AS370" s="31">
        <v>46038</v>
      </c>
      <c r="AY370">
        <v>1</v>
      </c>
    </row>
    <row r="371" spans="1:51" x14ac:dyDescent="0.3">
      <c r="A371" t="s">
        <v>31</v>
      </c>
      <c r="B371">
        <v>778</v>
      </c>
      <c r="D371">
        <v>3059</v>
      </c>
      <c r="E371" t="s">
        <v>2711</v>
      </c>
      <c r="G371" t="s">
        <v>2712</v>
      </c>
      <c r="H371">
        <v>30250062000112</v>
      </c>
      <c r="J371" t="s">
        <v>2713</v>
      </c>
      <c r="K371" t="s">
        <v>2713</v>
      </c>
      <c r="L371">
        <v>21966014543</v>
      </c>
      <c r="N371" t="s">
        <v>2715</v>
      </c>
      <c r="Q371" t="s">
        <v>778</v>
      </c>
      <c r="R371" t="s">
        <v>847</v>
      </c>
      <c r="S371" t="s">
        <v>848</v>
      </c>
      <c r="T371" t="s">
        <v>2541</v>
      </c>
      <c r="W371" t="s">
        <v>2632</v>
      </c>
      <c r="X371" t="s">
        <v>780</v>
      </c>
      <c r="Y371" t="s">
        <v>897</v>
      </c>
      <c r="AA371" s="31">
        <v>46053</v>
      </c>
      <c r="AD371">
        <v>2</v>
      </c>
      <c r="AE371" t="s">
        <v>22</v>
      </c>
      <c r="AF371" s="31">
        <v>46034</v>
      </c>
      <c r="AG371" s="61">
        <v>0.91721064814814812</v>
      </c>
      <c r="AI371" t="s">
        <v>795</v>
      </c>
      <c r="AJ371" s="31">
        <v>46036</v>
      </c>
      <c r="AK371" s="61">
        <v>0.49593749999999998</v>
      </c>
      <c r="AL371" t="s">
        <v>1226</v>
      </c>
      <c r="AP371" t="s">
        <v>31</v>
      </c>
      <c r="AS371" s="31">
        <v>46035</v>
      </c>
      <c r="AY371">
        <v>1</v>
      </c>
    </row>
    <row r="372" spans="1:51" x14ac:dyDescent="0.3">
      <c r="A372" t="s">
        <v>31</v>
      </c>
      <c r="B372">
        <v>779</v>
      </c>
      <c r="D372">
        <v>3066</v>
      </c>
      <c r="E372" t="s">
        <v>2716</v>
      </c>
      <c r="G372" t="s">
        <v>2717</v>
      </c>
      <c r="H372">
        <v>22422233000115</v>
      </c>
      <c r="J372" t="s">
        <v>337</v>
      </c>
      <c r="K372" t="s">
        <v>337</v>
      </c>
      <c r="L372" t="s">
        <v>2718</v>
      </c>
      <c r="N372" t="s">
        <v>2719</v>
      </c>
      <c r="Q372" t="s">
        <v>778</v>
      </c>
      <c r="R372" t="s">
        <v>2720</v>
      </c>
      <c r="S372" t="s">
        <v>1699</v>
      </c>
      <c r="T372" t="s">
        <v>2541</v>
      </c>
      <c r="W372" t="s">
        <v>2632</v>
      </c>
      <c r="X372" t="s">
        <v>780</v>
      </c>
      <c r="Y372" t="s">
        <v>897</v>
      </c>
      <c r="AA372" s="31">
        <v>46053</v>
      </c>
      <c r="AD372">
        <v>4</v>
      </c>
      <c r="AE372" t="s">
        <v>22</v>
      </c>
      <c r="AF372" s="31">
        <v>46034</v>
      </c>
      <c r="AG372" s="61">
        <v>0.91776620370370365</v>
      </c>
      <c r="AI372" t="s">
        <v>795</v>
      </c>
      <c r="AJ372" s="31">
        <v>46038</v>
      </c>
      <c r="AK372" s="61">
        <v>0.39912037037037029</v>
      </c>
      <c r="AL372" t="s">
        <v>1226</v>
      </c>
      <c r="AP372" t="s">
        <v>31</v>
      </c>
      <c r="AS372" s="31">
        <v>46038</v>
      </c>
      <c r="AY372">
        <v>1</v>
      </c>
    </row>
    <row r="373" spans="1:51" x14ac:dyDescent="0.3">
      <c r="A373" t="s">
        <v>22</v>
      </c>
      <c r="B373">
        <v>780</v>
      </c>
      <c r="D373">
        <v>3068</v>
      </c>
      <c r="E373" t="s">
        <v>2721</v>
      </c>
      <c r="G373" t="s">
        <v>2722</v>
      </c>
      <c r="J373" t="s">
        <v>2723</v>
      </c>
      <c r="K373" t="s">
        <v>2723</v>
      </c>
      <c r="L373">
        <v>51997766708</v>
      </c>
      <c r="N373" t="s">
        <v>2725</v>
      </c>
      <c r="Q373" t="s">
        <v>778</v>
      </c>
      <c r="T373" t="s">
        <v>2541</v>
      </c>
      <c r="W373" t="s">
        <v>2632</v>
      </c>
      <c r="X373" t="s">
        <v>780</v>
      </c>
      <c r="Y373" t="s">
        <v>897</v>
      </c>
      <c r="AA373" s="31">
        <v>46053</v>
      </c>
      <c r="AD373">
        <v>26</v>
      </c>
      <c r="AE373" t="s">
        <v>22</v>
      </c>
      <c r="AF373" s="31">
        <v>46034</v>
      </c>
      <c r="AG373" s="61">
        <v>0.9183796296296296</v>
      </c>
      <c r="AI373" t="s">
        <v>795</v>
      </c>
      <c r="AJ373" s="31">
        <v>46060</v>
      </c>
      <c r="AK373" s="61">
        <v>0.31077546296296299</v>
      </c>
      <c r="AL373" t="s">
        <v>1226</v>
      </c>
      <c r="AM373" t="s">
        <v>2726</v>
      </c>
      <c r="AP373" t="s">
        <v>22</v>
      </c>
      <c r="AS373" s="31">
        <v>46045</v>
      </c>
      <c r="AT373">
        <v>30</v>
      </c>
      <c r="AY373">
        <v>1</v>
      </c>
    </row>
    <row r="374" spans="1:51" x14ac:dyDescent="0.3">
      <c r="A374" t="s">
        <v>31</v>
      </c>
      <c r="B374">
        <v>781</v>
      </c>
      <c r="D374">
        <v>3070</v>
      </c>
      <c r="E374" t="s">
        <v>2727</v>
      </c>
      <c r="G374" t="s">
        <v>2728</v>
      </c>
      <c r="H374">
        <v>29495831000163</v>
      </c>
      <c r="J374" t="s">
        <v>338</v>
      </c>
      <c r="K374" t="s">
        <v>338</v>
      </c>
      <c r="L374" t="s">
        <v>2729</v>
      </c>
      <c r="N374" t="s">
        <v>2730</v>
      </c>
      <c r="Q374" t="s">
        <v>778</v>
      </c>
      <c r="R374" t="s">
        <v>2731</v>
      </c>
      <c r="S374" t="s">
        <v>1105</v>
      </c>
      <c r="T374" t="s">
        <v>2541</v>
      </c>
      <c r="W374" t="s">
        <v>2632</v>
      </c>
      <c r="X374" t="s">
        <v>780</v>
      </c>
      <c r="Y374" t="s">
        <v>897</v>
      </c>
      <c r="AA374" s="31">
        <v>46053</v>
      </c>
      <c r="AD374">
        <v>4</v>
      </c>
      <c r="AE374" t="s">
        <v>22</v>
      </c>
      <c r="AF374" s="31">
        <v>46034</v>
      </c>
      <c r="AG374" s="61">
        <v>0.91886574074074079</v>
      </c>
      <c r="AI374" t="s">
        <v>795</v>
      </c>
      <c r="AJ374" s="31">
        <v>46038</v>
      </c>
      <c r="AK374" s="61">
        <v>0.39780092592592592</v>
      </c>
      <c r="AL374" t="s">
        <v>1226</v>
      </c>
      <c r="AP374" t="s">
        <v>31</v>
      </c>
      <c r="AS374" s="31">
        <v>46038</v>
      </c>
      <c r="AY374">
        <v>1</v>
      </c>
    </row>
    <row r="375" spans="1:51" x14ac:dyDescent="0.3">
      <c r="A375" t="s">
        <v>31</v>
      </c>
      <c r="B375">
        <v>782</v>
      </c>
      <c r="D375">
        <v>3009</v>
      </c>
      <c r="G375" t="s">
        <v>2732</v>
      </c>
      <c r="H375">
        <v>10942276000142</v>
      </c>
      <c r="J375" t="s">
        <v>2733</v>
      </c>
      <c r="K375" t="s">
        <v>2733</v>
      </c>
      <c r="L375">
        <v>4130959299</v>
      </c>
      <c r="N375" t="s">
        <v>2735</v>
      </c>
      <c r="Q375" t="s">
        <v>778</v>
      </c>
      <c r="T375" t="s">
        <v>2541</v>
      </c>
      <c r="W375" t="s">
        <v>2559</v>
      </c>
      <c r="X375" t="s">
        <v>780</v>
      </c>
      <c r="Y375" t="s">
        <v>781</v>
      </c>
      <c r="AA375" s="31"/>
      <c r="AD375">
        <v>0</v>
      </c>
      <c r="AE375" t="s">
        <v>22</v>
      </c>
      <c r="AF375" s="31">
        <v>46034</v>
      </c>
      <c r="AG375" s="61">
        <v>0.94203703703703701</v>
      </c>
      <c r="AI375" t="s">
        <v>795</v>
      </c>
      <c r="AJ375" s="31">
        <v>46034</v>
      </c>
      <c r="AK375" s="61">
        <v>0.94229166666666664</v>
      </c>
      <c r="AL375" t="s">
        <v>1226</v>
      </c>
      <c r="AP375" t="s">
        <v>31</v>
      </c>
      <c r="AS375" s="31"/>
      <c r="AY375">
        <v>1</v>
      </c>
    </row>
    <row r="376" spans="1:51" x14ac:dyDescent="0.3">
      <c r="A376" t="s">
        <v>22</v>
      </c>
      <c r="B376">
        <v>783</v>
      </c>
      <c r="D376">
        <v>3010</v>
      </c>
      <c r="G376" t="s">
        <v>2736</v>
      </c>
      <c r="J376" t="s">
        <v>2737</v>
      </c>
      <c r="K376" t="s">
        <v>2737</v>
      </c>
      <c r="L376">
        <v>41997238911</v>
      </c>
      <c r="N376" t="s">
        <v>2739</v>
      </c>
      <c r="Q376" t="s">
        <v>778</v>
      </c>
      <c r="T376" t="s">
        <v>2541</v>
      </c>
      <c r="W376" t="s">
        <v>2559</v>
      </c>
      <c r="X376" t="s">
        <v>780</v>
      </c>
      <c r="Y376" t="s">
        <v>781</v>
      </c>
      <c r="AA376" s="31"/>
      <c r="AD376">
        <v>0</v>
      </c>
      <c r="AE376" t="s">
        <v>22</v>
      </c>
      <c r="AF376" s="31">
        <v>46034</v>
      </c>
      <c r="AG376" s="61">
        <v>0.94284722222222217</v>
      </c>
      <c r="AI376" t="s">
        <v>795</v>
      </c>
      <c r="AJ376" s="31">
        <v>46034</v>
      </c>
      <c r="AK376" s="61">
        <v>0.94303240740740746</v>
      </c>
      <c r="AL376" t="s">
        <v>1226</v>
      </c>
      <c r="AP376" t="s">
        <v>31</v>
      </c>
      <c r="AS376" s="31"/>
      <c r="AY376">
        <v>1</v>
      </c>
    </row>
    <row r="377" spans="1:51" x14ac:dyDescent="0.3">
      <c r="A377" t="s">
        <v>22</v>
      </c>
      <c r="B377">
        <v>784</v>
      </c>
      <c r="D377">
        <v>3015</v>
      </c>
      <c r="G377" t="s">
        <v>2740</v>
      </c>
      <c r="J377" t="s">
        <v>2741</v>
      </c>
      <c r="K377" t="s">
        <v>2741</v>
      </c>
      <c r="L377">
        <v>42998191259</v>
      </c>
      <c r="N377" t="s">
        <v>2743</v>
      </c>
      <c r="Q377" t="s">
        <v>778</v>
      </c>
      <c r="T377" t="s">
        <v>2541</v>
      </c>
      <c r="W377" t="s">
        <v>2559</v>
      </c>
      <c r="X377" t="s">
        <v>780</v>
      </c>
      <c r="Y377" t="s">
        <v>781</v>
      </c>
      <c r="AA377" s="31"/>
      <c r="AD377">
        <v>0</v>
      </c>
      <c r="AE377" t="s">
        <v>22</v>
      </c>
      <c r="AF377" s="31">
        <v>46034</v>
      </c>
      <c r="AG377" s="61">
        <v>0.94368055555555552</v>
      </c>
      <c r="AI377" t="s">
        <v>795</v>
      </c>
      <c r="AJ377" s="31">
        <v>46034</v>
      </c>
      <c r="AK377" s="61">
        <v>0.94380787037037039</v>
      </c>
      <c r="AL377" t="s">
        <v>1226</v>
      </c>
      <c r="AP377" t="s">
        <v>44</v>
      </c>
      <c r="AS377" s="31"/>
      <c r="AY377">
        <v>1</v>
      </c>
    </row>
    <row r="378" spans="1:51" x14ac:dyDescent="0.3">
      <c r="A378" t="s">
        <v>22</v>
      </c>
      <c r="B378">
        <v>785</v>
      </c>
      <c r="D378">
        <v>2669</v>
      </c>
      <c r="G378" t="s">
        <v>2744</v>
      </c>
      <c r="J378" t="s">
        <v>2745</v>
      </c>
      <c r="K378" t="s">
        <v>2745</v>
      </c>
      <c r="L378" t="s">
        <v>2746</v>
      </c>
      <c r="N378" t="s">
        <v>2747</v>
      </c>
      <c r="Q378" t="s">
        <v>778</v>
      </c>
      <c r="R378" t="s">
        <v>2748</v>
      </c>
      <c r="T378" t="s">
        <v>814</v>
      </c>
      <c r="W378" t="s">
        <v>2749</v>
      </c>
      <c r="X378" t="s">
        <v>780</v>
      </c>
      <c r="Y378" t="s">
        <v>781</v>
      </c>
      <c r="AA378" s="31"/>
      <c r="AD378">
        <v>0</v>
      </c>
      <c r="AE378" t="s">
        <v>22</v>
      </c>
      <c r="AF378" s="31">
        <v>46034</v>
      </c>
      <c r="AG378" s="61">
        <v>0.94418981481481479</v>
      </c>
      <c r="AI378" t="s">
        <v>795</v>
      </c>
      <c r="AJ378" s="31">
        <v>46034</v>
      </c>
      <c r="AK378" s="61">
        <v>0.9443287037037037</v>
      </c>
      <c r="AL378" t="s">
        <v>1226</v>
      </c>
      <c r="AP378" t="s">
        <v>44</v>
      </c>
      <c r="AS378" s="31"/>
      <c r="AY378">
        <v>1</v>
      </c>
    </row>
    <row r="379" spans="1:51" x14ac:dyDescent="0.3">
      <c r="A379" t="s">
        <v>22</v>
      </c>
      <c r="B379">
        <v>786</v>
      </c>
      <c r="D379">
        <v>3045</v>
      </c>
      <c r="G379" t="s">
        <v>2750</v>
      </c>
      <c r="J379" t="s">
        <v>2751</v>
      </c>
      <c r="K379" t="s">
        <v>2751</v>
      </c>
      <c r="L379">
        <v>18998215566</v>
      </c>
      <c r="N379" t="s">
        <v>2753</v>
      </c>
      <c r="Q379" t="s">
        <v>778</v>
      </c>
      <c r="T379" t="s">
        <v>2541</v>
      </c>
      <c r="W379" t="s">
        <v>2559</v>
      </c>
      <c r="X379" t="s">
        <v>780</v>
      </c>
      <c r="Y379" t="s">
        <v>781</v>
      </c>
      <c r="AA379" s="31"/>
      <c r="AD379">
        <v>0</v>
      </c>
      <c r="AE379" t="s">
        <v>22</v>
      </c>
      <c r="AF379" s="31">
        <v>46034</v>
      </c>
      <c r="AG379" s="61">
        <v>0.94474537037037032</v>
      </c>
      <c r="AI379" t="s">
        <v>795</v>
      </c>
      <c r="AJ379" s="31">
        <v>46034</v>
      </c>
      <c r="AK379" s="61">
        <v>0.94488425925925923</v>
      </c>
      <c r="AL379" t="s">
        <v>1226</v>
      </c>
      <c r="AP379" t="s">
        <v>44</v>
      </c>
      <c r="AS379" s="31"/>
      <c r="AY379">
        <v>1</v>
      </c>
    </row>
    <row r="380" spans="1:51" x14ac:dyDescent="0.3">
      <c r="A380" t="s">
        <v>44</v>
      </c>
      <c r="B380">
        <v>787</v>
      </c>
      <c r="D380">
        <v>3057</v>
      </c>
      <c r="G380" t="s">
        <v>2754</v>
      </c>
      <c r="H380">
        <v>10269690000132</v>
      </c>
      <c r="J380" t="s">
        <v>2755</v>
      </c>
      <c r="K380" t="s">
        <v>2755</v>
      </c>
      <c r="L380">
        <v>27999479659</v>
      </c>
      <c r="N380" t="s">
        <v>2757</v>
      </c>
      <c r="Q380" t="s">
        <v>778</v>
      </c>
      <c r="T380" t="s">
        <v>2541</v>
      </c>
      <c r="W380" t="s">
        <v>2559</v>
      </c>
      <c r="X380" t="s">
        <v>780</v>
      </c>
      <c r="Y380" t="s">
        <v>781</v>
      </c>
      <c r="AA380" s="31"/>
      <c r="AD380">
        <v>24</v>
      </c>
      <c r="AE380" t="s">
        <v>22</v>
      </c>
      <c r="AF380" s="31">
        <v>46034</v>
      </c>
      <c r="AG380" s="61">
        <v>0.94528935185185181</v>
      </c>
      <c r="AI380" t="s">
        <v>795</v>
      </c>
      <c r="AJ380" s="31">
        <v>46058</v>
      </c>
      <c r="AK380" s="61">
        <v>0.52218750000000003</v>
      </c>
      <c r="AL380" t="s">
        <v>796</v>
      </c>
      <c r="AM380" t="s">
        <v>2758</v>
      </c>
      <c r="AP380" t="s">
        <v>44</v>
      </c>
      <c r="AS380" s="31"/>
      <c r="AY380">
        <v>1</v>
      </c>
    </row>
    <row r="381" spans="1:51" x14ac:dyDescent="0.3">
      <c r="A381" t="s">
        <v>31</v>
      </c>
      <c r="B381">
        <v>788</v>
      </c>
      <c r="D381">
        <v>3083</v>
      </c>
      <c r="E381" t="s">
        <v>4724</v>
      </c>
      <c r="F381" t="s">
        <v>2760</v>
      </c>
      <c r="G381" t="s">
        <v>2761</v>
      </c>
      <c r="H381">
        <v>14078994000254</v>
      </c>
      <c r="J381" t="s">
        <v>2760</v>
      </c>
      <c r="K381" t="s">
        <v>2760</v>
      </c>
      <c r="L381" t="s">
        <v>2762</v>
      </c>
      <c r="N381" t="s">
        <v>2763</v>
      </c>
      <c r="Q381" t="s">
        <v>778</v>
      </c>
      <c r="R381" t="s">
        <v>2117</v>
      </c>
      <c r="S381" t="s">
        <v>1105</v>
      </c>
      <c r="T381" t="s">
        <v>805</v>
      </c>
      <c r="W381" t="s">
        <v>2764</v>
      </c>
      <c r="X381" t="s">
        <v>780</v>
      </c>
      <c r="Y381" t="s">
        <v>807</v>
      </c>
      <c r="AA381" s="31">
        <v>46142</v>
      </c>
      <c r="AB381">
        <v>16800</v>
      </c>
      <c r="AC381">
        <v>73717</v>
      </c>
      <c r="AD381">
        <v>13</v>
      </c>
      <c r="AE381" t="s">
        <v>31</v>
      </c>
      <c r="AF381" s="31">
        <v>46035</v>
      </c>
      <c r="AG381" s="61">
        <v>0.67313657407407412</v>
      </c>
      <c r="AI381" t="s">
        <v>782</v>
      </c>
      <c r="AJ381" s="31">
        <v>46048</v>
      </c>
      <c r="AK381" s="61">
        <v>0.39111111111111108</v>
      </c>
      <c r="AM381">
        <v>0</v>
      </c>
      <c r="AO381" t="s">
        <v>2590</v>
      </c>
      <c r="AP381" t="s">
        <v>31</v>
      </c>
      <c r="AQ381" t="s">
        <v>2590</v>
      </c>
      <c r="AR381" t="s">
        <v>4706</v>
      </c>
      <c r="AS381" s="31">
        <v>46127</v>
      </c>
      <c r="AT381">
        <v>50</v>
      </c>
      <c r="AV381" t="s">
        <v>63</v>
      </c>
      <c r="AY381">
        <v>1</v>
      </c>
    </row>
    <row r="382" spans="1:51" x14ac:dyDescent="0.3">
      <c r="A382" t="s">
        <v>22</v>
      </c>
      <c r="B382">
        <v>789</v>
      </c>
      <c r="D382">
        <v>3084</v>
      </c>
      <c r="E382" t="s">
        <v>4725</v>
      </c>
      <c r="G382" t="s">
        <v>2766</v>
      </c>
      <c r="H382">
        <v>31507103000176</v>
      </c>
      <c r="J382" t="s">
        <v>2767</v>
      </c>
      <c r="K382" t="s">
        <v>2767</v>
      </c>
      <c r="L382">
        <v>18997715980</v>
      </c>
      <c r="N382" t="s">
        <v>2769</v>
      </c>
      <c r="Q382" t="s">
        <v>778</v>
      </c>
      <c r="W382" t="s">
        <v>1419</v>
      </c>
      <c r="X382" t="s">
        <v>780</v>
      </c>
      <c r="Y382" t="s">
        <v>807</v>
      </c>
      <c r="AA382" s="31">
        <v>46112</v>
      </c>
      <c r="AB382">
        <v>13100</v>
      </c>
      <c r="AC382">
        <v>1700</v>
      </c>
      <c r="AD382">
        <v>87</v>
      </c>
      <c r="AE382" t="s">
        <v>22</v>
      </c>
      <c r="AF382" s="31">
        <v>46035</v>
      </c>
      <c r="AG382" s="61">
        <v>0.67557870370370365</v>
      </c>
      <c r="AI382" t="s">
        <v>795</v>
      </c>
      <c r="AJ382" s="31">
        <v>46122</v>
      </c>
      <c r="AK382" s="61">
        <v>0.71947916666666667</v>
      </c>
      <c r="AL382" t="s">
        <v>1358</v>
      </c>
      <c r="AO382" t="s">
        <v>2770</v>
      </c>
      <c r="AP382" t="s">
        <v>22</v>
      </c>
      <c r="AQ382" t="s">
        <v>2770</v>
      </c>
      <c r="AS382" s="31">
        <v>46101</v>
      </c>
      <c r="AT382">
        <v>50</v>
      </c>
      <c r="AU382">
        <v>80</v>
      </c>
      <c r="AV382" t="s">
        <v>69</v>
      </c>
      <c r="AW382" t="s">
        <v>2490</v>
      </c>
      <c r="AX382" t="s">
        <v>2491</v>
      </c>
      <c r="AY382">
        <v>1</v>
      </c>
    </row>
    <row r="383" spans="1:51" x14ac:dyDescent="0.3">
      <c r="A383" t="s">
        <v>44</v>
      </c>
      <c r="B383">
        <v>790</v>
      </c>
      <c r="D383">
        <v>3071</v>
      </c>
      <c r="E383" t="s">
        <v>2771</v>
      </c>
      <c r="G383" t="s">
        <v>2772</v>
      </c>
      <c r="J383" t="s">
        <v>2773</v>
      </c>
      <c r="K383" t="s">
        <v>2773</v>
      </c>
      <c r="L383">
        <v>16981830404</v>
      </c>
      <c r="N383" t="s">
        <v>2775</v>
      </c>
      <c r="Q383" t="s">
        <v>778</v>
      </c>
      <c r="T383" t="s">
        <v>2541</v>
      </c>
      <c r="W383" t="s">
        <v>2559</v>
      </c>
      <c r="X383" t="s">
        <v>780</v>
      </c>
      <c r="Y383" t="s">
        <v>897</v>
      </c>
      <c r="AA383" s="31">
        <v>46053</v>
      </c>
      <c r="AD383">
        <v>23</v>
      </c>
      <c r="AE383" t="s">
        <v>22</v>
      </c>
      <c r="AF383" s="31">
        <v>46035</v>
      </c>
      <c r="AG383" s="61">
        <v>0.70442129629629635</v>
      </c>
      <c r="AI383" t="s">
        <v>795</v>
      </c>
      <c r="AJ383" s="31">
        <v>46058</v>
      </c>
      <c r="AK383" s="61">
        <v>0.59414351851851854</v>
      </c>
      <c r="AL383" t="s">
        <v>1226</v>
      </c>
      <c r="AP383" t="s">
        <v>44</v>
      </c>
      <c r="AS383" s="31">
        <v>46038</v>
      </c>
      <c r="AY383">
        <v>1</v>
      </c>
    </row>
    <row r="384" spans="1:51" x14ac:dyDescent="0.3">
      <c r="A384" t="s">
        <v>31</v>
      </c>
      <c r="B384">
        <v>792</v>
      </c>
      <c r="D384">
        <v>3072</v>
      </c>
      <c r="E384" t="s">
        <v>2776</v>
      </c>
      <c r="G384" t="s">
        <v>2777</v>
      </c>
      <c r="H384">
        <v>6037707000230</v>
      </c>
      <c r="J384" t="s">
        <v>2778</v>
      </c>
      <c r="K384" t="s">
        <v>2778</v>
      </c>
      <c r="L384">
        <v>67999299440</v>
      </c>
      <c r="N384" t="s">
        <v>2780</v>
      </c>
      <c r="Q384" t="s">
        <v>778</v>
      </c>
      <c r="T384" t="s">
        <v>2541</v>
      </c>
      <c r="W384" t="s">
        <v>2559</v>
      </c>
      <c r="X384" t="s">
        <v>780</v>
      </c>
      <c r="Y384" t="s">
        <v>897</v>
      </c>
      <c r="AA384" s="31">
        <v>46053</v>
      </c>
      <c r="AD384">
        <v>31</v>
      </c>
      <c r="AE384" t="s">
        <v>22</v>
      </c>
      <c r="AF384" s="31">
        <v>46035</v>
      </c>
      <c r="AG384" s="61">
        <v>0.70565972222222217</v>
      </c>
      <c r="AI384" t="s">
        <v>795</v>
      </c>
      <c r="AJ384" s="31">
        <v>46066</v>
      </c>
      <c r="AK384" s="61">
        <v>0.49041666666666672</v>
      </c>
      <c r="AL384" t="s">
        <v>1226</v>
      </c>
      <c r="AP384" t="s">
        <v>31</v>
      </c>
      <c r="AS384" s="31">
        <v>46065</v>
      </c>
      <c r="AT384">
        <v>30</v>
      </c>
      <c r="AY384">
        <v>1</v>
      </c>
    </row>
    <row r="385" spans="1:51" x14ac:dyDescent="0.3">
      <c r="A385" t="s">
        <v>22</v>
      </c>
      <c r="B385">
        <v>793</v>
      </c>
      <c r="D385">
        <v>3082</v>
      </c>
      <c r="E385" t="s">
        <v>4726</v>
      </c>
      <c r="G385" t="s">
        <v>2782</v>
      </c>
      <c r="J385" t="s">
        <v>2783</v>
      </c>
      <c r="K385" t="s">
        <v>2783</v>
      </c>
      <c r="L385" t="s">
        <v>2784</v>
      </c>
      <c r="N385" t="s">
        <v>2785</v>
      </c>
      <c r="Q385" t="s">
        <v>778</v>
      </c>
      <c r="R385" t="s">
        <v>923</v>
      </c>
      <c r="T385" t="s">
        <v>814</v>
      </c>
      <c r="W385" t="s">
        <v>2391</v>
      </c>
      <c r="X385" t="s">
        <v>780</v>
      </c>
      <c r="Y385" t="s">
        <v>897</v>
      </c>
      <c r="AA385" s="31">
        <v>46053</v>
      </c>
      <c r="AD385">
        <v>37</v>
      </c>
      <c r="AE385" t="s">
        <v>22</v>
      </c>
      <c r="AF385" s="31">
        <v>46035</v>
      </c>
      <c r="AG385" s="61">
        <v>0.7079050925925926</v>
      </c>
      <c r="AI385" t="s">
        <v>795</v>
      </c>
      <c r="AJ385" s="31">
        <v>46072</v>
      </c>
      <c r="AK385" s="61">
        <v>0.74432870370370374</v>
      </c>
      <c r="AL385" t="s">
        <v>1226</v>
      </c>
      <c r="AP385" t="s">
        <v>22</v>
      </c>
      <c r="AS385" s="31">
        <v>46045</v>
      </c>
      <c r="AT385">
        <v>30</v>
      </c>
      <c r="AY385">
        <v>1</v>
      </c>
    </row>
    <row r="386" spans="1:51" x14ac:dyDescent="0.3">
      <c r="A386" t="s">
        <v>31</v>
      </c>
      <c r="B386">
        <v>794</v>
      </c>
      <c r="D386">
        <v>3086</v>
      </c>
      <c r="E386" t="s">
        <v>2786</v>
      </c>
      <c r="G386" t="s">
        <v>2787</v>
      </c>
      <c r="J386" t="s">
        <v>2788</v>
      </c>
      <c r="K386" t="s">
        <v>2788</v>
      </c>
      <c r="L386">
        <v>16992159372</v>
      </c>
      <c r="N386" t="s">
        <v>2790</v>
      </c>
      <c r="Q386" t="s">
        <v>778</v>
      </c>
      <c r="T386" t="s">
        <v>2541</v>
      </c>
      <c r="W386" t="s">
        <v>2791</v>
      </c>
      <c r="X386" t="s">
        <v>780</v>
      </c>
      <c r="Y386" t="s">
        <v>793</v>
      </c>
      <c r="AA386" s="31">
        <v>46053</v>
      </c>
      <c r="AB386">
        <v>6168744</v>
      </c>
      <c r="AC386">
        <v>149828</v>
      </c>
      <c r="AD386">
        <v>13</v>
      </c>
      <c r="AE386" t="s">
        <v>22</v>
      </c>
      <c r="AF386" s="31">
        <v>46035</v>
      </c>
      <c r="AG386" s="61">
        <v>0.73750000000000004</v>
      </c>
      <c r="AI386" t="s">
        <v>795</v>
      </c>
      <c r="AJ386" s="31">
        <v>46048</v>
      </c>
      <c r="AK386" s="61">
        <v>0.39319444444444451</v>
      </c>
      <c r="AL386" t="s">
        <v>867</v>
      </c>
      <c r="AO386" t="s">
        <v>2792</v>
      </c>
      <c r="AP386" t="s">
        <v>31</v>
      </c>
      <c r="AQ386" t="s">
        <v>2645</v>
      </c>
      <c r="AS386" s="31">
        <v>46048</v>
      </c>
      <c r="AY386">
        <v>1</v>
      </c>
    </row>
    <row r="387" spans="1:51" x14ac:dyDescent="0.3">
      <c r="A387" t="s">
        <v>22</v>
      </c>
      <c r="B387">
        <v>795</v>
      </c>
      <c r="D387">
        <v>3088</v>
      </c>
      <c r="E387" t="s">
        <v>4727</v>
      </c>
      <c r="G387" t="s">
        <v>2793</v>
      </c>
      <c r="H387">
        <v>3674537000125</v>
      </c>
      <c r="J387" t="s">
        <v>2794</v>
      </c>
      <c r="K387" t="s">
        <v>2794</v>
      </c>
      <c r="L387">
        <v>12974030134</v>
      </c>
      <c r="N387" t="s">
        <v>2796</v>
      </c>
      <c r="Q387" t="s">
        <v>778</v>
      </c>
      <c r="W387" t="s">
        <v>1419</v>
      </c>
      <c r="X387" t="s">
        <v>780</v>
      </c>
      <c r="Y387" t="s">
        <v>807</v>
      </c>
      <c r="AA387" s="31">
        <v>46112</v>
      </c>
      <c r="AB387">
        <v>1600</v>
      </c>
      <c r="AC387">
        <v>384454</v>
      </c>
      <c r="AD387">
        <v>87</v>
      </c>
      <c r="AE387" t="s">
        <v>22</v>
      </c>
      <c r="AF387" s="31">
        <v>46035</v>
      </c>
      <c r="AG387" s="61">
        <v>0.9553356481481482</v>
      </c>
      <c r="AI387" t="s">
        <v>795</v>
      </c>
      <c r="AJ387" s="31">
        <v>46122</v>
      </c>
      <c r="AK387" s="61">
        <v>0.66369212962962965</v>
      </c>
      <c r="AL387" t="s">
        <v>796</v>
      </c>
      <c r="AP387" t="s">
        <v>22</v>
      </c>
      <c r="AS387" s="31">
        <v>46101</v>
      </c>
      <c r="AT387">
        <v>30</v>
      </c>
      <c r="AU387">
        <v>7</v>
      </c>
      <c r="AV387" t="s">
        <v>53</v>
      </c>
      <c r="AW387" t="s">
        <v>2798</v>
      </c>
      <c r="AX387" t="s">
        <v>2799</v>
      </c>
      <c r="AY387">
        <v>1</v>
      </c>
    </row>
    <row r="388" spans="1:51" x14ac:dyDescent="0.3">
      <c r="A388" t="s">
        <v>22</v>
      </c>
      <c r="B388">
        <v>796</v>
      </c>
      <c r="D388">
        <v>3087</v>
      </c>
      <c r="E388" t="s">
        <v>2800</v>
      </c>
      <c r="G388" t="s">
        <v>2801</v>
      </c>
      <c r="J388" t="s">
        <v>2802</v>
      </c>
      <c r="K388" t="s">
        <v>2802</v>
      </c>
      <c r="L388">
        <v>35998687836</v>
      </c>
      <c r="N388" t="s">
        <v>2804</v>
      </c>
      <c r="Q388" t="s">
        <v>778</v>
      </c>
      <c r="T388" t="s">
        <v>2541</v>
      </c>
      <c r="W388" t="s">
        <v>2791</v>
      </c>
      <c r="X388" t="s">
        <v>780</v>
      </c>
      <c r="Y388" t="s">
        <v>897</v>
      </c>
      <c r="AA388" s="31">
        <v>46053</v>
      </c>
      <c r="AD388">
        <v>24</v>
      </c>
      <c r="AE388" t="s">
        <v>22</v>
      </c>
      <c r="AF388" s="31">
        <v>46036</v>
      </c>
      <c r="AG388" s="61">
        <v>0.42770833333333341</v>
      </c>
      <c r="AI388" t="s">
        <v>795</v>
      </c>
      <c r="AJ388" s="31">
        <v>46060</v>
      </c>
      <c r="AK388" s="61">
        <v>0.31616898148148148</v>
      </c>
      <c r="AL388" t="s">
        <v>1226</v>
      </c>
      <c r="AM388" t="s">
        <v>2805</v>
      </c>
      <c r="AP388" t="s">
        <v>22</v>
      </c>
      <c r="AS388" s="31">
        <v>46060</v>
      </c>
      <c r="AT388">
        <v>30</v>
      </c>
      <c r="AY388">
        <v>1</v>
      </c>
    </row>
    <row r="389" spans="1:51" x14ac:dyDescent="0.3">
      <c r="A389" t="s">
        <v>22</v>
      </c>
      <c r="B389">
        <v>799</v>
      </c>
      <c r="D389">
        <v>3091</v>
      </c>
      <c r="E389" t="s">
        <v>2806</v>
      </c>
      <c r="G389" t="s">
        <v>2807</v>
      </c>
      <c r="J389" t="s">
        <v>2648</v>
      </c>
      <c r="K389" t="s">
        <v>2648</v>
      </c>
      <c r="L389">
        <v>11971597112</v>
      </c>
      <c r="N389" t="s">
        <v>1111</v>
      </c>
      <c r="Q389" t="s">
        <v>778</v>
      </c>
      <c r="W389" t="s">
        <v>2407</v>
      </c>
      <c r="X389" t="s">
        <v>780</v>
      </c>
      <c r="Y389" t="s">
        <v>816</v>
      </c>
      <c r="AA389" s="31">
        <v>46037</v>
      </c>
      <c r="AB389">
        <v>1600</v>
      </c>
      <c r="AC389">
        <v>252471</v>
      </c>
      <c r="AD389">
        <v>9</v>
      </c>
      <c r="AE389" t="s">
        <v>22</v>
      </c>
      <c r="AF389" s="31">
        <v>46036</v>
      </c>
      <c r="AG389" s="61">
        <v>0.78824074074074069</v>
      </c>
      <c r="AI389" t="s">
        <v>818</v>
      </c>
      <c r="AJ389" s="31">
        <v>46045</v>
      </c>
      <c r="AK389" s="61">
        <v>0.46164351851851848</v>
      </c>
      <c r="AN389" t="s">
        <v>2808</v>
      </c>
      <c r="AO389" t="s">
        <v>2808</v>
      </c>
      <c r="AP389" t="s">
        <v>22</v>
      </c>
      <c r="AQ389" t="s">
        <v>2808</v>
      </c>
      <c r="AS389" s="31">
        <v>46037</v>
      </c>
      <c r="AY389">
        <v>1</v>
      </c>
    </row>
    <row r="390" spans="1:51" x14ac:dyDescent="0.3">
      <c r="A390" t="s">
        <v>31</v>
      </c>
      <c r="B390">
        <v>800</v>
      </c>
      <c r="D390">
        <v>3092</v>
      </c>
      <c r="G390" t="s">
        <v>2809</v>
      </c>
      <c r="H390">
        <v>9205460000120</v>
      </c>
      <c r="J390" t="s">
        <v>2810</v>
      </c>
      <c r="K390" t="s">
        <v>2810</v>
      </c>
      <c r="L390" t="s">
        <v>2811</v>
      </c>
      <c r="N390" t="s">
        <v>1111</v>
      </c>
      <c r="Q390" t="s">
        <v>778</v>
      </c>
      <c r="R390" t="s">
        <v>2812</v>
      </c>
      <c r="S390" t="s">
        <v>1067</v>
      </c>
      <c r="T390" t="s">
        <v>2541</v>
      </c>
      <c r="W390" t="s">
        <v>2559</v>
      </c>
      <c r="X390" t="s">
        <v>780</v>
      </c>
      <c r="Y390" t="s">
        <v>781</v>
      </c>
      <c r="AA390" s="31">
        <v>46053</v>
      </c>
      <c r="AD390">
        <v>7</v>
      </c>
      <c r="AE390" t="s">
        <v>22</v>
      </c>
      <c r="AF390" s="31">
        <v>46038</v>
      </c>
      <c r="AG390" s="61">
        <v>0.39675925925925931</v>
      </c>
      <c r="AI390" t="s">
        <v>795</v>
      </c>
      <c r="AJ390" s="31">
        <v>46045</v>
      </c>
      <c r="AK390" s="61">
        <v>0.71688657407407408</v>
      </c>
      <c r="AL390" t="s">
        <v>1226</v>
      </c>
      <c r="AP390" t="s">
        <v>31</v>
      </c>
      <c r="AS390" s="31">
        <v>46045</v>
      </c>
      <c r="AY390">
        <v>1</v>
      </c>
    </row>
    <row r="391" spans="1:51" x14ac:dyDescent="0.3">
      <c r="A391" t="s">
        <v>44</v>
      </c>
      <c r="B391">
        <v>803</v>
      </c>
      <c r="D391">
        <v>3094</v>
      </c>
      <c r="E391" t="s">
        <v>2813</v>
      </c>
      <c r="G391" t="s">
        <v>2814</v>
      </c>
      <c r="J391" t="s">
        <v>2815</v>
      </c>
      <c r="K391" t="s">
        <v>2815</v>
      </c>
      <c r="L391">
        <v>27999362925</v>
      </c>
      <c r="N391" t="s">
        <v>2817</v>
      </c>
      <c r="Q391" t="s">
        <v>778</v>
      </c>
      <c r="T391" t="s">
        <v>2541</v>
      </c>
      <c r="W391" t="s">
        <v>2559</v>
      </c>
      <c r="X391" t="s">
        <v>780</v>
      </c>
      <c r="Y391" t="s">
        <v>897</v>
      </c>
      <c r="AA391" s="31">
        <v>46053</v>
      </c>
      <c r="AD391">
        <v>20</v>
      </c>
      <c r="AE391" t="s">
        <v>22</v>
      </c>
      <c r="AF391" s="31">
        <v>46038</v>
      </c>
      <c r="AG391" s="61">
        <v>0.67024305555555552</v>
      </c>
      <c r="AI391" t="s">
        <v>795</v>
      </c>
      <c r="AJ391" s="31">
        <v>46058</v>
      </c>
      <c r="AK391" s="61">
        <v>0.52137731481481486</v>
      </c>
      <c r="AL391" t="s">
        <v>796</v>
      </c>
      <c r="AM391" t="s">
        <v>2818</v>
      </c>
      <c r="AP391" t="s">
        <v>44</v>
      </c>
      <c r="AS391" s="31">
        <v>46042</v>
      </c>
      <c r="AY391">
        <v>1</v>
      </c>
    </row>
    <row r="392" spans="1:51" x14ac:dyDescent="0.3">
      <c r="A392" t="s">
        <v>31</v>
      </c>
      <c r="B392">
        <v>804</v>
      </c>
      <c r="D392">
        <v>3099</v>
      </c>
      <c r="G392" t="s">
        <v>2819</v>
      </c>
      <c r="H392">
        <v>33036815000180</v>
      </c>
      <c r="J392" t="s">
        <v>2820</v>
      </c>
      <c r="K392" t="s">
        <v>2820</v>
      </c>
      <c r="L392">
        <v>21994011336</v>
      </c>
      <c r="N392" t="s">
        <v>2822</v>
      </c>
      <c r="Q392" t="s">
        <v>778</v>
      </c>
      <c r="T392" t="s">
        <v>2541</v>
      </c>
      <c r="W392" t="s">
        <v>2559</v>
      </c>
      <c r="X392" t="s">
        <v>780</v>
      </c>
      <c r="Y392" t="s">
        <v>781</v>
      </c>
      <c r="AA392" s="31">
        <v>46053</v>
      </c>
      <c r="AD392">
        <v>5</v>
      </c>
      <c r="AE392" t="s">
        <v>22</v>
      </c>
      <c r="AF392" s="31">
        <v>46038</v>
      </c>
      <c r="AG392" s="61">
        <v>0.67128472222222224</v>
      </c>
      <c r="AI392" t="s">
        <v>795</v>
      </c>
      <c r="AJ392" s="31">
        <v>46043</v>
      </c>
      <c r="AK392" s="61">
        <v>0.48775462962962962</v>
      </c>
      <c r="AL392" t="s">
        <v>1226</v>
      </c>
      <c r="AP392" t="s">
        <v>31</v>
      </c>
      <c r="AS392" s="31">
        <v>46043</v>
      </c>
      <c r="AY392">
        <v>1</v>
      </c>
    </row>
    <row r="393" spans="1:51" x14ac:dyDescent="0.3">
      <c r="A393" t="s">
        <v>44</v>
      </c>
      <c r="B393">
        <v>805</v>
      </c>
      <c r="D393">
        <v>3093</v>
      </c>
      <c r="E393" t="s">
        <v>4728</v>
      </c>
      <c r="G393" t="s">
        <v>2824</v>
      </c>
      <c r="H393">
        <v>53629067000156</v>
      </c>
      <c r="J393" t="s">
        <v>2825</v>
      </c>
      <c r="K393" t="s">
        <v>2825</v>
      </c>
      <c r="L393" t="s">
        <v>2826</v>
      </c>
      <c r="N393" t="s">
        <v>2827</v>
      </c>
      <c r="Q393" t="s">
        <v>778</v>
      </c>
      <c r="R393" t="s">
        <v>2828</v>
      </c>
      <c r="S393" t="s">
        <v>1699</v>
      </c>
      <c r="T393" t="s">
        <v>814</v>
      </c>
      <c r="W393" t="s">
        <v>1186</v>
      </c>
      <c r="X393" t="s">
        <v>780</v>
      </c>
      <c r="Y393" t="s">
        <v>793</v>
      </c>
      <c r="AA393" s="31">
        <v>46053</v>
      </c>
      <c r="AB393">
        <v>72080</v>
      </c>
      <c r="AC393">
        <v>18676</v>
      </c>
      <c r="AD393">
        <v>52</v>
      </c>
      <c r="AE393" t="s">
        <v>22</v>
      </c>
      <c r="AF393" s="31">
        <v>46038</v>
      </c>
      <c r="AG393" s="61">
        <v>0.67234953703703704</v>
      </c>
      <c r="AI393" t="s">
        <v>795</v>
      </c>
      <c r="AJ393" s="31">
        <v>46090</v>
      </c>
      <c r="AK393" s="61">
        <v>0.46006944444444442</v>
      </c>
      <c r="AL393" t="s">
        <v>796</v>
      </c>
      <c r="AM393" t="s">
        <v>4729</v>
      </c>
      <c r="AO393" t="s">
        <v>2829</v>
      </c>
      <c r="AP393" t="s">
        <v>44</v>
      </c>
      <c r="AQ393" t="s">
        <v>2829</v>
      </c>
      <c r="AS393" s="31">
        <v>46062</v>
      </c>
      <c r="AY393">
        <v>1</v>
      </c>
    </row>
    <row r="394" spans="1:51" x14ac:dyDescent="0.3">
      <c r="A394" t="s">
        <v>31</v>
      </c>
      <c r="B394">
        <v>818</v>
      </c>
      <c r="D394">
        <v>3101</v>
      </c>
      <c r="E394" t="s">
        <v>2830</v>
      </c>
      <c r="G394" t="s">
        <v>2831</v>
      </c>
      <c r="J394" t="s">
        <v>2832</v>
      </c>
      <c r="K394" t="s">
        <v>2832</v>
      </c>
      <c r="L394">
        <v>17999791171</v>
      </c>
      <c r="N394" t="s">
        <v>2834</v>
      </c>
      <c r="Q394" t="s">
        <v>778</v>
      </c>
      <c r="T394" t="s">
        <v>2541</v>
      </c>
      <c r="W394" t="s">
        <v>2791</v>
      </c>
      <c r="X394" t="s">
        <v>780</v>
      </c>
      <c r="Y394" t="s">
        <v>857</v>
      </c>
      <c r="AA394" s="31">
        <v>46112</v>
      </c>
      <c r="AD394">
        <v>9</v>
      </c>
      <c r="AE394" t="s">
        <v>22</v>
      </c>
      <c r="AF394" s="31">
        <v>46041</v>
      </c>
      <c r="AG394" s="61">
        <v>0.4798263888888889</v>
      </c>
      <c r="AI394" t="s">
        <v>795</v>
      </c>
      <c r="AJ394" s="31">
        <v>46050</v>
      </c>
      <c r="AK394" s="61">
        <v>0.68680555555555556</v>
      </c>
      <c r="AL394" t="s">
        <v>858</v>
      </c>
      <c r="AP394" t="s">
        <v>31</v>
      </c>
      <c r="AS394" s="31">
        <v>46050</v>
      </c>
      <c r="AY394">
        <v>1</v>
      </c>
    </row>
    <row r="395" spans="1:51" x14ac:dyDescent="0.3">
      <c r="A395" t="s">
        <v>44</v>
      </c>
      <c r="B395">
        <v>819</v>
      </c>
      <c r="D395">
        <v>3102</v>
      </c>
      <c r="E395" t="s">
        <v>2835</v>
      </c>
      <c r="G395" t="s">
        <v>2836</v>
      </c>
      <c r="H395">
        <v>49827202000109</v>
      </c>
      <c r="J395" t="s">
        <v>2837</v>
      </c>
      <c r="K395" t="s">
        <v>2837</v>
      </c>
      <c r="L395" t="s">
        <v>2838</v>
      </c>
      <c r="N395" t="s">
        <v>2839</v>
      </c>
      <c r="Q395" t="s">
        <v>778</v>
      </c>
      <c r="R395" t="s">
        <v>2840</v>
      </c>
      <c r="S395" t="s">
        <v>2841</v>
      </c>
      <c r="T395" t="s">
        <v>814</v>
      </c>
      <c r="W395" t="s">
        <v>2842</v>
      </c>
      <c r="X395" t="s">
        <v>780</v>
      </c>
      <c r="Y395" t="s">
        <v>857</v>
      </c>
      <c r="AA395" s="31">
        <v>46053</v>
      </c>
      <c r="AB395">
        <v>72080</v>
      </c>
      <c r="AC395">
        <v>881079</v>
      </c>
      <c r="AD395">
        <v>17</v>
      </c>
      <c r="AE395" t="s">
        <v>22</v>
      </c>
      <c r="AF395" s="31">
        <v>46041</v>
      </c>
      <c r="AG395" s="61">
        <v>0.4817939814814815</v>
      </c>
      <c r="AI395" t="s">
        <v>795</v>
      </c>
      <c r="AJ395" s="31">
        <v>46058</v>
      </c>
      <c r="AK395" s="61">
        <v>0.59219907407407413</v>
      </c>
      <c r="AL395" t="s">
        <v>867</v>
      </c>
      <c r="AM395" t="s">
        <v>2843</v>
      </c>
      <c r="AO395" t="s">
        <v>2829</v>
      </c>
      <c r="AP395" t="s">
        <v>44</v>
      </c>
      <c r="AQ395" t="s">
        <v>2590</v>
      </c>
      <c r="AS395" s="31">
        <v>46048</v>
      </c>
      <c r="AY395">
        <v>1</v>
      </c>
    </row>
    <row r="396" spans="1:51" x14ac:dyDescent="0.3">
      <c r="A396" t="s">
        <v>31</v>
      </c>
      <c r="B396">
        <v>820</v>
      </c>
      <c r="D396">
        <v>3103</v>
      </c>
      <c r="G396" t="s">
        <v>2844</v>
      </c>
      <c r="J396" t="s">
        <v>2845</v>
      </c>
      <c r="K396" t="s">
        <v>2845</v>
      </c>
      <c r="L396">
        <v>3194371833</v>
      </c>
      <c r="N396" t="s">
        <v>2847</v>
      </c>
      <c r="Q396" t="s">
        <v>778</v>
      </c>
      <c r="T396" t="s">
        <v>2541</v>
      </c>
      <c r="W396" t="s">
        <v>2559</v>
      </c>
      <c r="X396" t="s">
        <v>780</v>
      </c>
      <c r="Y396" t="s">
        <v>781</v>
      </c>
      <c r="AA396" s="31">
        <v>46053</v>
      </c>
      <c r="AD396">
        <v>19</v>
      </c>
      <c r="AE396" t="s">
        <v>22</v>
      </c>
      <c r="AF396" s="31">
        <v>46041</v>
      </c>
      <c r="AG396" s="61">
        <v>0.48258101851851848</v>
      </c>
      <c r="AI396" t="s">
        <v>795</v>
      </c>
      <c r="AJ396" s="31">
        <v>46060</v>
      </c>
      <c r="AK396" s="61">
        <v>0.32299768518518518</v>
      </c>
      <c r="AL396" t="s">
        <v>1226</v>
      </c>
      <c r="AP396" t="s">
        <v>31</v>
      </c>
      <c r="AS396" s="31">
        <v>46049</v>
      </c>
      <c r="AY396">
        <v>1</v>
      </c>
    </row>
    <row r="397" spans="1:51" x14ac:dyDescent="0.3">
      <c r="A397" t="s">
        <v>22</v>
      </c>
      <c r="B397">
        <v>821</v>
      </c>
      <c r="D397">
        <v>3119</v>
      </c>
      <c r="E397" t="s">
        <v>2848</v>
      </c>
      <c r="G397" t="s">
        <v>2849</v>
      </c>
      <c r="H397">
        <v>7658378000126</v>
      </c>
      <c r="J397" t="s">
        <v>2850</v>
      </c>
      <c r="K397" t="s">
        <v>2850</v>
      </c>
      <c r="L397" t="s">
        <v>2851</v>
      </c>
      <c r="N397" t="s">
        <v>2852</v>
      </c>
      <c r="Q397" t="s">
        <v>778</v>
      </c>
      <c r="R397" t="s">
        <v>2853</v>
      </c>
      <c r="T397" t="s">
        <v>814</v>
      </c>
      <c r="W397" t="s">
        <v>2391</v>
      </c>
      <c r="X397" t="s">
        <v>780</v>
      </c>
      <c r="Y397" t="s">
        <v>857</v>
      </c>
      <c r="AA397" s="31">
        <v>46053</v>
      </c>
      <c r="AD397">
        <v>24</v>
      </c>
      <c r="AE397" t="s">
        <v>22</v>
      </c>
      <c r="AF397" s="31">
        <v>46042</v>
      </c>
      <c r="AG397" s="61">
        <v>0.36244212962962957</v>
      </c>
      <c r="AI397" t="s">
        <v>795</v>
      </c>
      <c r="AJ397" s="31">
        <v>46066</v>
      </c>
      <c r="AK397" s="61">
        <v>0.73247685185185185</v>
      </c>
      <c r="AL397" t="s">
        <v>796</v>
      </c>
      <c r="AO397" t="s">
        <v>405</v>
      </c>
      <c r="AP397" t="s">
        <v>22</v>
      </c>
      <c r="AQ397" t="s">
        <v>405</v>
      </c>
      <c r="AS397" s="31">
        <v>46045</v>
      </c>
      <c r="AT397">
        <v>30</v>
      </c>
      <c r="AV397" t="s">
        <v>2854</v>
      </c>
      <c r="AY397">
        <v>1</v>
      </c>
    </row>
    <row r="398" spans="1:51" x14ac:dyDescent="0.3">
      <c r="A398" t="s">
        <v>31</v>
      </c>
      <c r="B398">
        <v>823</v>
      </c>
      <c r="D398">
        <v>3118</v>
      </c>
      <c r="E398" t="s">
        <v>4730</v>
      </c>
      <c r="G398" t="s">
        <v>385</v>
      </c>
      <c r="H398">
        <v>44530589000105</v>
      </c>
      <c r="J398" t="s">
        <v>2856</v>
      </c>
      <c r="K398" t="s">
        <v>2856</v>
      </c>
      <c r="L398" t="s">
        <v>2857</v>
      </c>
      <c r="N398" t="s">
        <v>2858</v>
      </c>
      <c r="Q398" t="s">
        <v>778</v>
      </c>
      <c r="R398" t="s">
        <v>993</v>
      </c>
      <c r="S398" t="s">
        <v>932</v>
      </c>
      <c r="T398" t="s">
        <v>814</v>
      </c>
      <c r="W398" t="s">
        <v>2859</v>
      </c>
      <c r="X398" t="s">
        <v>780</v>
      </c>
      <c r="Y398" t="s">
        <v>807</v>
      </c>
      <c r="AA398" s="31">
        <v>46173</v>
      </c>
      <c r="AB398">
        <v>579843</v>
      </c>
      <c r="AC398">
        <v>28845</v>
      </c>
      <c r="AD398">
        <v>69</v>
      </c>
      <c r="AE398" t="s">
        <v>22</v>
      </c>
      <c r="AF398" s="31">
        <v>46042</v>
      </c>
      <c r="AG398" s="61">
        <v>0.36586805555555563</v>
      </c>
      <c r="AI398" t="s">
        <v>795</v>
      </c>
      <c r="AJ398" s="31">
        <v>46111</v>
      </c>
      <c r="AK398" s="61">
        <v>0.65819444444444442</v>
      </c>
      <c r="AL398" t="s">
        <v>796</v>
      </c>
      <c r="AO398" t="s">
        <v>4731</v>
      </c>
      <c r="AP398" t="s">
        <v>31</v>
      </c>
      <c r="AQ398" t="s">
        <v>4732</v>
      </c>
      <c r="AR398" t="s">
        <v>4733</v>
      </c>
      <c r="AS398" s="31">
        <v>46111</v>
      </c>
      <c r="AT398">
        <v>30</v>
      </c>
      <c r="AV398" t="s">
        <v>321</v>
      </c>
      <c r="AY398">
        <v>1</v>
      </c>
    </row>
    <row r="399" spans="1:51" x14ac:dyDescent="0.3">
      <c r="A399" t="s">
        <v>31</v>
      </c>
      <c r="B399">
        <v>847</v>
      </c>
      <c r="D399">
        <v>3129</v>
      </c>
      <c r="E399" t="s">
        <v>2860</v>
      </c>
      <c r="G399" t="s">
        <v>2861</v>
      </c>
      <c r="J399" t="s">
        <v>2862</v>
      </c>
      <c r="K399" t="s">
        <v>2862</v>
      </c>
      <c r="L399">
        <v>6233899200</v>
      </c>
      <c r="N399" t="s">
        <v>2864</v>
      </c>
      <c r="Q399" t="s">
        <v>778</v>
      </c>
      <c r="T399" t="s">
        <v>2541</v>
      </c>
      <c r="W399" t="s">
        <v>2559</v>
      </c>
      <c r="X399" t="s">
        <v>780</v>
      </c>
      <c r="Y399" t="s">
        <v>781</v>
      </c>
      <c r="AA399" s="31">
        <v>46053</v>
      </c>
      <c r="AD399">
        <v>0</v>
      </c>
      <c r="AE399" t="s">
        <v>22</v>
      </c>
      <c r="AF399" s="31">
        <v>46043</v>
      </c>
      <c r="AG399" s="61">
        <v>0.45225694444444442</v>
      </c>
      <c r="AI399" t="s">
        <v>795</v>
      </c>
      <c r="AJ399" s="31">
        <v>46043</v>
      </c>
      <c r="AK399" s="61">
        <v>0.46807870370370369</v>
      </c>
      <c r="AL399" t="s">
        <v>1226</v>
      </c>
      <c r="AP399" t="s">
        <v>31</v>
      </c>
      <c r="AS399" s="31"/>
      <c r="AY399">
        <v>1</v>
      </c>
    </row>
    <row r="400" spans="1:51" x14ac:dyDescent="0.3">
      <c r="A400" t="s">
        <v>44</v>
      </c>
      <c r="B400">
        <v>848</v>
      </c>
      <c r="D400">
        <v>3148</v>
      </c>
      <c r="E400" t="s">
        <v>2865</v>
      </c>
      <c r="G400" t="s">
        <v>2866</v>
      </c>
      <c r="J400" t="s">
        <v>2867</v>
      </c>
      <c r="K400" t="s">
        <v>2867</v>
      </c>
      <c r="L400">
        <v>11971375421</v>
      </c>
      <c r="N400" t="s">
        <v>2869</v>
      </c>
      <c r="Q400" t="s">
        <v>778</v>
      </c>
      <c r="T400" t="s">
        <v>2541</v>
      </c>
      <c r="W400" t="s">
        <v>2559</v>
      </c>
      <c r="X400" t="s">
        <v>780</v>
      </c>
      <c r="Y400" t="s">
        <v>781</v>
      </c>
      <c r="AA400" s="31">
        <v>46053</v>
      </c>
      <c r="AD400">
        <v>15</v>
      </c>
      <c r="AE400" t="s">
        <v>22</v>
      </c>
      <c r="AF400" s="31">
        <v>46043</v>
      </c>
      <c r="AG400" s="61">
        <v>0.45456018518518521</v>
      </c>
      <c r="AI400" t="s">
        <v>795</v>
      </c>
      <c r="AJ400" s="31">
        <v>46058</v>
      </c>
      <c r="AK400" s="61">
        <v>0.51791666666666669</v>
      </c>
      <c r="AL400" t="s">
        <v>1358</v>
      </c>
      <c r="AM400" t="s">
        <v>2870</v>
      </c>
      <c r="AP400" t="s">
        <v>44</v>
      </c>
      <c r="AS400" s="31">
        <v>46045</v>
      </c>
      <c r="AY400">
        <v>1</v>
      </c>
    </row>
    <row r="401" spans="1:51" x14ac:dyDescent="0.3">
      <c r="A401" t="s">
        <v>31</v>
      </c>
      <c r="B401">
        <v>849</v>
      </c>
      <c r="D401">
        <v>3149</v>
      </c>
      <c r="G401" t="s">
        <v>2871</v>
      </c>
      <c r="H401">
        <v>27343071000143</v>
      </c>
      <c r="J401" t="s">
        <v>2872</v>
      </c>
      <c r="K401" t="s">
        <v>2872</v>
      </c>
      <c r="L401">
        <v>11959925385</v>
      </c>
      <c r="N401" t="s">
        <v>2874</v>
      </c>
      <c r="Q401" t="s">
        <v>778</v>
      </c>
      <c r="T401" t="s">
        <v>2541</v>
      </c>
      <c r="W401" t="s">
        <v>2559</v>
      </c>
      <c r="X401" t="s">
        <v>780</v>
      </c>
      <c r="Y401" t="s">
        <v>781</v>
      </c>
      <c r="AA401" s="31">
        <v>46053</v>
      </c>
      <c r="AD401">
        <v>17</v>
      </c>
      <c r="AE401" t="s">
        <v>22</v>
      </c>
      <c r="AF401" s="31">
        <v>46043</v>
      </c>
      <c r="AG401" s="61">
        <v>0.51600694444444439</v>
      </c>
      <c r="AI401" t="s">
        <v>795</v>
      </c>
      <c r="AJ401" s="31">
        <v>46060</v>
      </c>
      <c r="AK401" s="61">
        <v>0.32187500000000002</v>
      </c>
      <c r="AL401" t="s">
        <v>1226</v>
      </c>
      <c r="AP401" t="s">
        <v>31</v>
      </c>
      <c r="AS401" s="31"/>
      <c r="AY401">
        <v>1</v>
      </c>
    </row>
    <row r="402" spans="1:51" x14ac:dyDescent="0.3">
      <c r="A402" t="s">
        <v>31</v>
      </c>
      <c r="B402">
        <v>850</v>
      </c>
      <c r="D402">
        <v>3150</v>
      </c>
      <c r="G402" t="s">
        <v>2871</v>
      </c>
      <c r="H402">
        <v>27343071000143</v>
      </c>
      <c r="J402" t="s">
        <v>2875</v>
      </c>
      <c r="K402" t="s">
        <v>2875</v>
      </c>
      <c r="L402" t="s">
        <v>2876</v>
      </c>
      <c r="N402" t="s">
        <v>2877</v>
      </c>
      <c r="Q402" t="s">
        <v>778</v>
      </c>
      <c r="R402" t="s">
        <v>923</v>
      </c>
      <c r="T402" t="s">
        <v>814</v>
      </c>
      <c r="W402" t="s">
        <v>2878</v>
      </c>
      <c r="X402" t="s">
        <v>780</v>
      </c>
      <c r="Y402" t="s">
        <v>897</v>
      </c>
      <c r="AA402" s="31">
        <v>46053</v>
      </c>
      <c r="AD402">
        <v>1</v>
      </c>
      <c r="AE402" t="s">
        <v>22</v>
      </c>
      <c r="AF402" s="31">
        <v>46043</v>
      </c>
      <c r="AG402" s="61">
        <v>0.5166898148148148</v>
      </c>
      <c r="AI402" t="s">
        <v>795</v>
      </c>
      <c r="AJ402" s="31">
        <v>46044</v>
      </c>
      <c r="AK402" s="61">
        <v>0.41939814814814808</v>
      </c>
      <c r="AL402" t="s">
        <v>867</v>
      </c>
      <c r="AP402" t="s">
        <v>31</v>
      </c>
      <c r="AS402" s="31"/>
      <c r="AY402">
        <v>1</v>
      </c>
    </row>
    <row r="403" spans="1:51" x14ac:dyDescent="0.3">
      <c r="A403" t="s">
        <v>44</v>
      </c>
      <c r="B403">
        <v>851</v>
      </c>
      <c r="D403">
        <v>3151</v>
      </c>
      <c r="E403" t="s">
        <v>2879</v>
      </c>
      <c r="G403" t="s">
        <v>2880</v>
      </c>
      <c r="J403" t="s">
        <v>2881</v>
      </c>
      <c r="K403" t="s">
        <v>2881</v>
      </c>
      <c r="L403">
        <v>12997313349</v>
      </c>
      <c r="N403" t="s">
        <v>2883</v>
      </c>
      <c r="Q403" t="s">
        <v>778</v>
      </c>
      <c r="T403" t="s">
        <v>2541</v>
      </c>
      <c r="W403" t="s">
        <v>2791</v>
      </c>
      <c r="X403" t="s">
        <v>780</v>
      </c>
      <c r="Y403" t="s">
        <v>897</v>
      </c>
      <c r="AA403" s="31">
        <v>46053</v>
      </c>
      <c r="AD403">
        <v>15</v>
      </c>
      <c r="AE403" t="s">
        <v>22</v>
      </c>
      <c r="AF403" s="31">
        <v>46043</v>
      </c>
      <c r="AG403" s="61">
        <v>0.52098379629629632</v>
      </c>
      <c r="AI403" t="s">
        <v>795</v>
      </c>
      <c r="AJ403" s="31">
        <v>46058</v>
      </c>
      <c r="AK403" s="61">
        <v>0.59001157407407412</v>
      </c>
      <c r="AL403" t="s">
        <v>796</v>
      </c>
      <c r="AM403" t="s">
        <v>796</v>
      </c>
      <c r="AP403" t="s">
        <v>44</v>
      </c>
      <c r="AS403" s="31">
        <v>46049</v>
      </c>
      <c r="AY403">
        <v>1</v>
      </c>
    </row>
    <row r="404" spans="1:51" x14ac:dyDescent="0.3">
      <c r="A404" t="s">
        <v>31</v>
      </c>
      <c r="B404">
        <v>853</v>
      </c>
      <c r="D404">
        <v>3154</v>
      </c>
      <c r="E404" t="s">
        <v>2884</v>
      </c>
      <c r="G404" t="s">
        <v>2885</v>
      </c>
      <c r="H404">
        <v>8439142000161</v>
      </c>
      <c r="J404" t="s">
        <v>2886</v>
      </c>
      <c r="K404" t="s">
        <v>2886</v>
      </c>
      <c r="L404">
        <v>62981812473</v>
      </c>
      <c r="N404" t="s">
        <v>2888</v>
      </c>
      <c r="Q404" t="s">
        <v>778</v>
      </c>
      <c r="T404" t="s">
        <v>2541</v>
      </c>
      <c r="W404" t="s">
        <v>2791</v>
      </c>
      <c r="X404" t="s">
        <v>780</v>
      </c>
      <c r="Y404" t="s">
        <v>793</v>
      </c>
      <c r="AA404" s="31">
        <v>46112</v>
      </c>
      <c r="AB404">
        <v>58800</v>
      </c>
      <c r="AC404">
        <v>873144</v>
      </c>
      <c r="AD404">
        <v>8</v>
      </c>
      <c r="AE404" t="s">
        <v>22</v>
      </c>
      <c r="AF404" s="31">
        <v>46043</v>
      </c>
      <c r="AG404" s="61">
        <v>0.91557870370370376</v>
      </c>
      <c r="AI404" t="s">
        <v>795</v>
      </c>
      <c r="AJ404" s="31">
        <v>46051</v>
      </c>
      <c r="AK404" s="61">
        <v>0.67262731481481486</v>
      </c>
      <c r="AL404" t="s">
        <v>867</v>
      </c>
      <c r="AO404" t="s">
        <v>2889</v>
      </c>
      <c r="AP404" t="s">
        <v>31</v>
      </c>
      <c r="AQ404" t="s">
        <v>2890</v>
      </c>
      <c r="AR404" t="s">
        <v>2891</v>
      </c>
      <c r="AS404" s="31">
        <v>46050</v>
      </c>
      <c r="AY404">
        <v>1</v>
      </c>
    </row>
    <row r="405" spans="1:51" x14ac:dyDescent="0.3">
      <c r="A405" t="s">
        <v>31</v>
      </c>
      <c r="B405">
        <v>854</v>
      </c>
      <c r="D405">
        <v>3155</v>
      </c>
      <c r="G405" t="s">
        <v>2892</v>
      </c>
      <c r="J405" t="s">
        <v>2893</v>
      </c>
      <c r="K405" t="s">
        <v>2893</v>
      </c>
      <c r="L405">
        <v>4599648080</v>
      </c>
      <c r="N405" t="s">
        <v>2895</v>
      </c>
      <c r="Q405" t="s">
        <v>778</v>
      </c>
      <c r="T405" t="s">
        <v>2541</v>
      </c>
      <c r="W405" t="s">
        <v>2559</v>
      </c>
      <c r="X405" t="s">
        <v>780</v>
      </c>
      <c r="Y405" t="s">
        <v>781</v>
      </c>
      <c r="AA405" s="31">
        <v>46044</v>
      </c>
      <c r="AD405">
        <v>0</v>
      </c>
      <c r="AE405" t="s">
        <v>22</v>
      </c>
      <c r="AF405" s="31">
        <v>46044</v>
      </c>
      <c r="AG405" s="61">
        <v>0.62604166666666672</v>
      </c>
      <c r="AI405" t="s">
        <v>795</v>
      </c>
      <c r="AJ405" s="31">
        <v>46044</v>
      </c>
      <c r="AK405" s="61">
        <v>0.65458333333333329</v>
      </c>
      <c r="AL405" t="s">
        <v>1226</v>
      </c>
      <c r="AP405" t="s">
        <v>31</v>
      </c>
      <c r="AS405" s="31"/>
      <c r="AY405">
        <v>1</v>
      </c>
    </row>
    <row r="406" spans="1:51" x14ac:dyDescent="0.3">
      <c r="A406" t="s">
        <v>44</v>
      </c>
      <c r="B406">
        <v>860</v>
      </c>
      <c r="D406">
        <v>3164</v>
      </c>
      <c r="E406" t="s">
        <v>2896</v>
      </c>
      <c r="G406" t="s">
        <v>2897</v>
      </c>
      <c r="H406">
        <v>1399482000167</v>
      </c>
      <c r="J406" t="s">
        <v>2898</v>
      </c>
      <c r="K406" t="s">
        <v>2898</v>
      </c>
      <c r="L406">
        <v>24999136531</v>
      </c>
      <c r="N406" t="s">
        <v>2900</v>
      </c>
      <c r="Q406" t="s">
        <v>778</v>
      </c>
      <c r="T406" t="s">
        <v>2541</v>
      </c>
      <c r="W406" t="s">
        <v>2791</v>
      </c>
      <c r="X406" t="s">
        <v>780</v>
      </c>
      <c r="Y406" t="s">
        <v>897</v>
      </c>
      <c r="AA406" s="31">
        <v>46053</v>
      </c>
      <c r="AD406">
        <v>13</v>
      </c>
      <c r="AE406" t="s">
        <v>22</v>
      </c>
      <c r="AF406" s="31">
        <v>46045</v>
      </c>
      <c r="AG406" s="61">
        <v>0.4199074074074074</v>
      </c>
      <c r="AI406" t="s">
        <v>795</v>
      </c>
      <c r="AJ406" s="31">
        <v>46058</v>
      </c>
      <c r="AK406" s="61">
        <v>0.58894675925925921</v>
      </c>
      <c r="AL406" t="s">
        <v>796</v>
      </c>
      <c r="AM406" t="s">
        <v>2901</v>
      </c>
      <c r="AP406" t="s">
        <v>44</v>
      </c>
      <c r="AS406" s="31">
        <v>46051</v>
      </c>
      <c r="AY406">
        <v>1</v>
      </c>
    </row>
    <row r="407" spans="1:51" x14ac:dyDescent="0.3">
      <c r="A407" t="s">
        <v>31</v>
      </c>
      <c r="B407">
        <v>861</v>
      </c>
      <c r="D407">
        <v>3165</v>
      </c>
      <c r="E407" t="s">
        <v>2902</v>
      </c>
      <c r="G407" t="s">
        <v>2903</v>
      </c>
      <c r="J407" t="s">
        <v>2904</v>
      </c>
      <c r="K407" t="s">
        <v>2904</v>
      </c>
      <c r="L407">
        <v>19971619676</v>
      </c>
      <c r="N407" t="s">
        <v>2906</v>
      </c>
      <c r="Q407" t="s">
        <v>778</v>
      </c>
      <c r="T407" t="s">
        <v>2541</v>
      </c>
      <c r="W407" t="s">
        <v>2559</v>
      </c>
      <c r="X407" t="s">
        <v>780</v>
      </c>
      <c r="Y407" t="s">
        <v>781</v>
      </c>
      <c r="AA407" s="31">
        <v>46053</v>
      </c>
      <c r="AD407">
        <v>21</v>
      </c>
      <c r="AE407" t="s">
        <v>22</v>
      </c>
      <c r="AF407" s="31">
        <v>46045</v>
      </c>
      <c r="AG407" s="61">
        <v>0.44262731481481482</v>
      </c>
      <c r="AI407" t="s">
        <v>795</v>
      </c>
      <c r="AJ407" s="31">
        <v>46066</v>
      </c>
      <c r="AK407" s="61">
        <v>0.7257986111111111</v>
      </c>
      <c r="AL407" t="s">
        <v>1226</v>
      </c>
      <c r="AP407" t="s">
        <v>31</v>
      </c>
      <c r="AS407" s="31">
        <v>46066</v>
      </c>
      <c r="AY407">
        <v>1</v>
      </c>
    </row>
    <row r="408" spans="1:51" x14ac:dyDescent="0.3">
      <c r="A408" t="s">
        <v>22</v>
      </c>
      <c r="B408">
        <v>862</v>
      </c>
      <c r="D408">
        <v>3166</v>
      </c>
      <c r="E408" t="s">
        <v>2907</v>
      </c>
      <c r="G408" t="s">
        <v>413</v>
      </c>
      <c r="H408">
        <v>82808122000173</v>
      </c>
      <c r="J408" t="s">
        <v>2908</v>
      </c>
      <c r="K408" t="s">
        <v>2908</v>
      </c>
      <c r="L408" t="s">
        <v>2909</v>
      </c>
      <c r="N408" t="s">
        <v>2910</v>
      </c>
      <c r="Q408" t="s">
        <v>778</v>
      </c>
      <c r="R408" t="s">
        <v>2911</v>
      </c>
      <c r="S408" t="s">
        <v>932</v>
      </c>
      <c r="W408" t="s">
        <v>1419</v>
      </c>
      <c r="X408" t="s">
        <v>780</v>
      </c>
      <c r="Y408" t="s">
        <v>807</v>
      </c>
      <c r="AA408" s="31">
        <v>46081</v>
      </c>
      <c r="AB408">
        <v>987029</v>
      </c>
      <c r="AC408">
        <v>1811884</v>
      </c>
      <c r="AD408">
        <v>34</v>
      </c>
      <c r="AE408" t="s">
        <v>22</v>
      </c>
      <c r="AF408" s="31">
        <v>46045</v>
      </c>
      <c r="AG408" s="61">
        <v>0.47480324074074082</v>
      </c>
      <c r="AI408" t="s">
        <v>818</v>
      </c>
      <c r="AJ408" s="31">
        <v>46079</v>
      </c>
      <c r="AK408" s="61">
        <v>0.91175925925925927</v>
      </c>
      <c r="AO408" t="s">
        <v>384</v>
      </c>
      <c r="AP408" t="s">
        <v>22</v>
      </c>
      <c r="AQ408" t="s">
        <v>384</v>
      </c>
      <c r="AS408" s="31">
        <v>46080</v>
      </c>
      <c r="AT408">
        <v>50</v>
      </c>
      <c r="AU408">
        <v>270</v>
      </c>
      <c r="AV408" t="s">
        <v>2913</v>
      </c>
      <c r="AW408" t="s">
        <v>2914</v>
      </c>
      <c r="AX408" t="s">
        <v>2915</v>
      </c>
      <c r="AY408">
        <v>1</v>
      </c>
    </row>
    <row r="409" spans="1:51" x14ac:dyDescent="0.3">
      <c r="A409" t="s">
        <v>22</v>
      </c>
      <c r="B409">
        <v>864</v>
      </c>
      <c r="D409">
        <v>3169</v>
      </c>
      <c r="E409" t="s">
        <v>4734</v>
      </c>
      <c r="G409" t="s">
        <v>2917</v>
      </c>
      <c r="J409" t="s">
        <v>704</v>
      </c>
      <c r="K409" t="s">
        <v>704</v>
      </c>
      <c r="L409">
        <v>19987126669</v>
      </c>
      <c r="N409" t="s">
        <v>2918</v>
      </c>
      <c r="Q409" t="s">
        <v>778</v>
      </c>
      <c r="T409" t="s">
        <v>2919</v>
      </c>
      <c r="W409" t="s">
        <v>1718</v>
      </c>
      <c r="X409" t="s">
        <v>780</v>
      </c>
      <c r="Y409" t="s">
        <v>816</v>
      </c>
      <c r="AA409" s="31">
        <v>46053</v>
      </c>
      <c r="AB409">
        <v>10000</v>
      </c>
      <c r="AC409">
        <v>2000</v>
      </c>
      <c r="AD409">
        <v>82</v>
      </c>
      <c r="AE409" t="s">
        <v>22</v>
      </c>
      <c r="AF409" s="31">
        <v>46045</v>
      </c>
      <c r="AG409" s="61">
        <v>0.68347222222222226</v>
      </c>
      <c r="AI409" t="s">
        <v>782</v>
      </c>
      <c r="AJ409" s="31"/>
      <c r="AK409" s="61"/>
      <c r="AO409" t="s">
        <v>2920</v>
      </c>
      <c r="AP409" t="s">
        <v>22</v>
      </c>
      <c r="AQ409" t="s">
        <v>2920</v>
      </c>
      <c r="AS409" s="31">
        <v>46101</v>
      </c>
      <c r="AT409">
        <v>30</v>
      </c>
      <c r="AU409">
        <v>20</v>
      </c>
      <c r="AV409" t="s">
        <v>2922</v>
      </c>
      <c r="AW409" t="s">
        <v>2923</v>
      </c>
      <c r="AX409" t="s">
        <v>2924</v>
      </c>
      <c r="AY409">
        <v>1</v>
      </c>
    </row>
    <row r="410" spans="1:51" x14ac:dyDescent="0.3">
      <c r="A410" t="s">
        <v>22</v>
      </c>
      <c r="B410">
        <v>865</v>
      </c>
      <c r="D410">
        <v>3170</v>
      </c>
      <c r="E410" t="s">
        <v>4735</v>
      </c>
      <c r="G410" t="s">
        <v>2926</v>
      </c>
      <c r="H410">
        <v>13303103000172</v>
      </c>
      <c r="J410" t="s">
        <v>2927</v>
      </c>
      <c r="K410" t="s">
        <v>2927</v>
      </c>
      <c r="L410" t="s">
        <v>2928</v>
      </c>
      <c r="N410" t="s">
        <v>2929</v>
      </c>
      <c r="Q410" t="s">
        <v>778</v>
      </c>
      <c r="R410" t="s">
        <v>2930</v>
      </c>
      <c r="S410" t="s">
        <v>932</v>
      </c>
      <c r="T410" t="s">
        <v>1191</v>
      </c>
      <c r="W410" t="s">
        <v>1419</v>
      </c>
      <c r="X410" t="s">
        <v>780</v>
      </c>
      <c r="Y410" t="s">
        <v>807</v>
      </c>
      <c r="AA410" s="31">
        <v>46112</v>
      </c>
      <c r="AB410">
        <v>59184</v>
      </c>
      <c r="AC410">
        <v>488139</v>
      </c>
      <c r="AD410">
        <v>77</v>
      </c>
      <c r="AE410" t="s">
        <v>22</v>
      </c>
      <c r="AF410" s="31">
        <v>46045</v>
      </c>
      <c r="AG410" s="61">
        <v>0.70285879629629633</v>
      </c>
      <c r="AI410" t="s">
        <v>795</v>
      </c>
      <c r="AJ410" s="31">
        <v>46122</v>
      </c>
      <c r="AK410" s="61">
        <v>0.72376157407407404</v>
      </c>
      <c r="AL410" t="s">
        <v>796</v>
      </c>
      <c r="AO410" t="s">
        <v>2920</v>
      </c>
      <c r="AP410" t="s">
        <v>22</v>
      </c>
      <c r="AQ410" t="s">
        <v>2920</v>
      </c>
      <c r="AS410" s="31">
        <v>46101</v>
      </c>
      <c r="AT410">
        <v>50</v>
      </c>
      <c r="AU410">
        <v>320</v>
      </c>
      <c r="AV410" t="s">
        <v>2932</v>
      </c>
      <c r="AW410" t="s">
        <v>2933</v>
      </c>
      <c r="AX410" t="s">
        <v>2934</v>
      </c>
      <c r="AY410">
        <v>1</v>
      </c>
    </row>
    <row r="411" spans="1:51" x14ac:dyDescent="0.3">
      <c r="A411" t="s">
        <v>31</v>
      </c>
      <c r="B411">
        <v>866</v>
      </c>
      <c r="D411">
        <v>3177</v>
      </c>
      <c r="E411" t="s">
        <v>2935</v>
      </c>
      <c r="G411" t="s">
        <v>2936</v>
      </c>
      <c r="J411" t="s">
        <v>2937</v>
      </c>
      <c r="K411" t="s">
        <v>2937</v>
      </c>
      <c r="L411">
        <v>11957608058</v>
      </c>
      <c r="N411" t="s">
        <v>2939</v>
      </c>
      <c r="Q411" t="s">
        <v>778</v>
      </c>
      <c r="T411" t="s">
        <v>2541</v>
      </c>
      <c r="W411" t="s">
        <v>2791</v>
      </c>
      <c r="X411" t="s">
        <v>780</v>
      </c>
      <c r="Y411" t="s">
        <v>781</v>
      </c>
      <c r="AA411" s="31">
        <v>46053</v>
      </c>
      <c r="AD411">
        <v>3</v>
      </c>
      <c r="AE411" t="s">
        <v>22</v>
      </c>
      <c r="AF411" s="31">
        <v>46048</v>
      </c>
      <c r="AG411" s="61">
        <v>0.55048611111111112</v>
      </c>
      <c r="AI411" t="s">
        <v>795</v>
      </c>
      <c r="AJ411" s="31">
        <v>46051</v>
      </c>
      <c r="AK411" s="61">
        <v>0.66991898148148143</v>
      </c>
      <c r="AL411" t="s">
        <v>934</v>
      </c>
      <c r="AP411" t="s">
        <v>31</v>
      </c>
      <c r="AS411" s="31">
        <v>46049</v>
      </c>
      <c r="AY411">
        <v>1</v>
      </c>
    </row>
    <row r="412" spans="1:51" x14ac:dyDescent="0.3">
      <c r="A412" t="s">
        <v>44</v>
      </c>
      <c r="B412">
        <v>867</v>
      </c>
      <c r="D412">
        <v>3176</v>
      </c>
      <c r="E412" t="s">
        <v>4736</v>
      </c>
      <c r="G412" t="s">
        <v>2941</v>
      </c>
      <c r="H412">
        <v>16743404000105</v>
      </c>
      <c r="J412" t="s">
        <v>2942</v>
      </c>
      <c r="K412" t="s">
        <v>2942</v>
      </c>
      <c r="L412">
        <v>3194143043</v>
      </c>
      <c r="N412" t="s">
        <v>2944</v>
      </c>
      <c r="Q412" t="s">
        <v>778</v>
      </c>
      <c r="R412" t="s">
        <v>2945</v>
      </c>
      <c r="S412" t="s">
        <v>1105</v>
      </c>
      <c r="T412" t="s">
        <v>2541</v>
      </c>
      <c r="W412" t="s">
        <v>2542</v>
      </c>
      <c r="X412" t="s">
        <v>780</v>
      </c>
      <c r="Y412" t="s">
        <v>793</v>
      </c>
      <c r="AA412" s="31">
        <v>46081</v>
      </c>
      <c r="AB412">
        <v>61904</v>
      </c>
      <c r="AC412">
        <v>10192</v>
      </c>
      <c r="AD412">
        <v>24</v>
      </c>
      <c r="AE412" t="s">
        <v>22</v>
      </c>
      <c r="AF412" s="31">
        <v>46048</v>
      </c>
      <c r="AG412" s="61">
        <v>0.55230324074074078</v>
      </c>
      <c r="AI412" t="s">
        <v>795</v>
      </c>
      <c r="AJ412" s="31">
        <v>46072</v>
      </c>
      <c r="AK412" s="61">
        <v>0.69184027777777779</v>
      </c>
      <c r="AL412" t="s">
        <v>934</v>
      </c>
      <c r="AM412" t="s">
        <v>4737</v>
      </c>
      <c r="AO412" t="s">
        <v>2889</v>
      </c>
      <c r="AP412" t="s">
        <v>44</v>
      </c>
      <c r="AQ412" t="s">
        <v>2889</v>
      </c>
      <c r="AS412" s="31">
        <v>46072</v>
      </c>
      <c r="AT412">
        <v>30</v>
      </c>
      <c r="AY412">
        <v>1</v>
      </c>
    </row>
    <row r="413" spans="1:51" x14ac:dyDescent="0.3">
      <c r="A413" t="s">
        <v>31</v>
      </c>
      <c r="B413">
        <v>868</v>
      </c>
      <c r="D413">
        <v>3174</v>
      </c>
      <c r="E413" t="s">
        <v>2946</v>
      </c>
      <c r="G413" t="s">
        <v>2947</v>
      </c>
      <c r="J413" t="s">
        <v>2948</v>
      </c>
      <c r="K413" t="s">
        <v>2948</v>
      </c>
      <c r="L413">
        <v>31997703979</v>
      </c>
      <c r="N413" t="s">
        <v>2950</v>
      </c>
      <c r="Q413" t="s">
        <v>778</v>
      </c>
      <c r="T413" t="s">
        <v>2541</v>
      </c>
      <c r="W413" t="s">
        <v>2559</v>
      </c>
      <c r="X413" t="s">
        <v>780</v>
      </c>
      <c r="Y413" t="s">
        <v>781</v>
      </c>
      <c r="AA413" s="31">
        <v>46053</v>
      </c>
      <c r="AD413">
        <v>0</v>
      </c>
      <c r="AE413" t="s">
        <v>22</v>
      </c>
      <c r="AF413" s="31">
        <v>46048</v>
      </c>
      <c r="AG413" s="61">
        <v>0.55403935185185182</v>
      </c>
      <c r="AI413" t="s">
        <v>795</v>
      </c>
      <c r="AJ413" s="31">
        <v>46048</v>
      </c>
      <c r="AK413" s="61">
        <v>0.60412037037037036</v>
      </c>
      <c r="AL413" t="s">
        <v>1226</v>
      </c>
      <c r="AP413" t="s">
        <v>31</v>
      </c>
      <c r="AS413" s="31"/>
      <c r="AY413">
        <v>1</v>
      </c>
    </row>
    <row r="414" spans="1:51" x14ac:dyDescent="0.3">
      <c r="A414" t="s">
        <v>44</v>
      </c>
      <c r="B414">
        <v>869</v>
      </c>
      <c r="D414">
        <v>3175</v>
      </c>
      <c r="E414" t="s">
        <v>2951</v>
      </c>
      <c r="G414" t="s">
        <v>2952</v>
      </c>
      <c r="J414" t="s">
        <v>2953</v>
      </c>
      <c r="K414" t="s">
        <v>2953</v>
      </c>
      <c r="L414">
        <v>11976239673</v>
      </c>
      <c r="N414" t="s">
        <v>2955</v>
      </c>
      <c r="Q414" t="s">
        <v>778</v>
      </c>
      <c r="T414" t="s">
        <v>2541</v>
      </c>
      <c r="W414" t="s">
        <v>2791</v>
      </c>
      <c r="X414" t="s">
        <v>780</v>
      </c>
      <c r="Y414" t="s">
        <v>781</v>
      </c>
      <c r="AA414" s="31">
        <v>46053</v>
      </c>
      <c r="AD414">
        <v>10</v>
      </c>
      <c r="AE414" t="s">
        <v>22</v>
      </c>
      <c r="AF414" s="31">
        <v>46048</v>
      </c>
      <c r="AG414" s="61">
        <v>0.5553703703703704</v>
      </c>
      <c r="AI414" t="s">
        <v>795</v>
      </c>
      <c r="AJ414" s="31">
        <v>46058</v>
      </c>
      <c r="AK414" s="61">
        <v>0.51664351851851853</v>
      </c>
      <c r="AL414" t="s">
        <v>796</v>
      </c>
      <c r="AM414" t="s">
        <v>967</v>
      </c>
      <c r="AP414" t="s">
        <v>44</v>
      </c>
      <c r="AS414" s="31">
        <v>46049</v>
      </c>
      <c r="AY414">
        <v>1</v>
      </c>
    </row>
    <row r="415" spans="1:51" x14ac:dyDescent="0.3">
      <c r="A415" t="s">
        <v>31</v>
      </c>
      <c r="B415">
        <v>870</v>
      </c>
      <c r="D415">
        <v>3173</v>
      </c>
      <c r="E415" t="s">
        <v>2956</v>
      </c>
      <c r="G415" t="s">
        <v>2957</v>
      </c>
      <c r="J415" t="s">
        <v>2958</v>
      </c>
      <c r="K415" t="s">
        <v>2958</v>
      </c>
      <c r="L415">
        <v>16996144458</v>
      </c>
      <c r="N415" t="s">
        <v>2960</v>
      </c>
      <c r="Q415" t="s">
        <v>778</v>
      </c>
      <c r="T415" t="s">
        <v>2541</v>
      </c>
      <c r="W415" t="s">
        <v>2542</v>
      </c>
      <c r="X415" t="s">
        <v>780</v>
      </c>
      <c r="Y415" t="s">
        <v>897</v>
      </c>
      <c r="AA415" s="31">
        <v>46053</v>
      </c>
      <c r="AD415">
        <v>22</v>
      </c>
      <c r="AE415" t="s">
        <v>22</v>
      </c>
      <c r="AF415" s="31">
        <v>46048</v>
      </c>
      <c r="AG415" s="61">
        <v>0.55634259259259256</v>
      </c>
      <c r="AI415" t="s">
        <v>795</v>
      </c>
      <c r="AJ415" s="31">
        <v>46070</v>
      </c>
      <c r="AK415" s="61">
        <v>0.67465277777777777</v>
      </c>
      <c r="AL415" t="s">
        <v>867</v>
      </c>
      <c r="AP415" t="s">
        <v>31</v>
      </c>
      <c r="AS415" s="31">
        <v>46070</v>
      </c>
      <c r="AT415">
        <v>30</v>
      </c>
      <c r="AY415">
        <v>1</v>
      </c>
    </row>
    <row r="416" spans="1:51" x14ac:dyDescent="0.3">
      <c r="A416" t="s">
        <v>22</v>
      </c>
      <c r="B416">
        <v>871</v>
      </c>
      <c r="D416">
        <v>3172</v>
      </c>
      <c r="E416" t="s">
        <v>4738</v>
      </c>
      <c r="G416" t="s">
        <v>2962</v>
      </c>
      <c r="H416">
        <v>19933187000104</v>
      </c>
      <c r="J416" t="s">
        <v>2963</v>
      </c>
      <c r="K416" t="s">
        <v>2963</v>
      </c>
      <c r="L416">
        <v>11918764203</v>
      </c>
      <c r="N416" t="s">
        <v>2965</v>
      </c>
      <c r="Q416" t="s">
        <v>778</v>
      </c>
      <c r="T416" t="s">
        <v>2541</v>
      </c>
      <c r="W416" t="s">
        <v>2542</v>
      </c>
      <c r="X416" t="s">
        <v>780</v>
      </c>
      <c r="Y416" t="s">
        <v>897</v>
      </c>
      <c r="AA416" s="31">
        <v>46053</v>
      </c>
      <c r="AD416">
        <v>45</v>
      </c>
      <c r="AE416" t="s">
        <v>22</v>
      </c>
      <c r="AF416" s="31">
        <v>46048</v>
      </c>
      <c r="AG416" s="61">
        <v>0.55686342592592597</v>
      </c>
      <c r="AI416" t="s">
        <v>795</v>
      </c>
      <c r="AJ416" s="31">
        <v>46093</v>
      </c>
      <c r="AK416" s="61">
        <v>0.7288310185185185</v>
      </c>
      <c r="AL416" t="s">
        <v>1226</v>
      </c>
      <c r="AP416" t="s">
        <v>22</v>
      </c>
      <c r="AS416" s="31">
        <v>46093</v>
      </c>
      <c r="AT416">
        <v>30</v>
      </c>
      <c r="AY416">
        <v>1</v>
      </c>
    </row>
    <row r="417" spans="1:51" x14ac:dyDescent="0.3">
      <c r="A417" t="s">
        <v>22</v>
      </c>
      <c r="B417">
        <v>872</v>
      </c>
      <c r="D417">
        <v>3178</v>
      </c>
      <c r="E417" t="s">
        <v>4739</v>
      </c>
      <c r="G417" t="s">
        <v>422</v>
      </c>
      <c r="J417" t="s">
        <v>2967</v>
      </c>
      <c r="K417" t="s">
        <v>2967</v>
      </c>
      <c r="L417" t="s">
        <v>2968</v>
      </c>
      <c r="N417" t="s">
        <v>2969</v>
      </c>
      <c r="Q417" t="s">
        <v>778</v>
      </c>
      <c r="R417" t="s">
        <v>923</v>
      </c>
      <c r="T417" t="s">
        <v>814</v>
      </c>
      <c r="W417" t="s">
        <v>2970</v>
      </c>
      <c r="X417" t="s">
        <v>780</v>
      </c>
      <c r="Y417" t="s">
        <v>807</v>
      </c>
      <c r="AA417" s="31">
        <v>46081</v>
      </c>
      <c r="AB417">
        <v>701343</v>
      </c>
      <c r="AC417">
        <v>17345</v>
      </c>
      <c r="AD417">
        <v>32</v>
      </c>
      <c r="AE417" t="s">
        <v>22</v>
      </c>
      <c r="AF417" s="31">
        <v>46048</v>
      </c>
      <c r="AG417" s="61">
        <v>0.71504629629629635</v>
      </c>
      <c r="AI417" t="s">
        <v>795</v>
      </c>
      <c r="AJ417" s="31">
        <v>46080</v>
      </c>
      <c r="AK417" s="61">
        <v>0.88954861111111116</v>
      </c>
      <c r="AL417" t="s">
        <v>796</v>
      </c>
      <c r="AO417" t="s">
        <v>423</v>
      </c>
      <c r="AP417" t="s">
        <v>22</v>
      </c>
      <c r="AQ417" t="s">
        <v>423</v>
      </c>
      <c r="AS417" s="31">
        <v>46079</v>
      </c>
      <c r="AT417">
        <v>50</v>
      </c>
      <c r="AU417">
        <v>330</v>
      </c>
      <c r="AV417" t="s">
        <v>2972</v>
      </c>
      <c r="AW417" t="s">
        <v>2973</v>
      </c>
      <c r="AX417" t="s">
        <v>2974</v>
      </c>
      <c r="AY417">
        <v>1</v>
      </c>
    </row>
    <row r="418" spans="1:51" x14ac:dyDescent="0.3">
      <c r="A418" t="s">
        <v>44</v>
      </c>
      <c r="B418">
        <v>873</v>
      </c>
      <c r="D418">
        <v>3179</v>
      </c>
      <c r="E418" t="s">
        <v>2975</v>
      </c>
      <c r="G418" t="s">
        <v>2976</v>
      </c>
      <c r="J418" t="s">
        <v>2977</v>
      </c>
      <c r="K418" t="s">
        <v>2977</v>
      </c>
      <c r="L418">
        <v>11992758370</v>
      </c>
      <c r="N418" t="s">
        <v>2979</v>
      </c>
      <c r="Q418" t="s">
        <v>778</v>
      </c>
      <c r="T418" t="s">
        <v>2541</v>
      </c>
      <c r="W418" t="s">
        <v>2791</v>
      </c>
      <c r="X418" t="s">
        <v>780</v>
      </c>
      <c r="Y418" t="s">
        <v>781</v>
      </c>
      <c r="AA418" s="31"/>
      <c r="AD418">
        <v>9</v>
      </c>
      <c r="AE418" t="s">
        <v>22</v>
      </c>
      <c r="AF418" s="31">
        <v>46049</v>
      </c>
      <c r="AG418" s="61">
        <v>0.36055555555555557</v>
      </c>
      <c r="AI418" t="s">
        <v>795</v>
      </c>
      <c r="AJ418" s="31">
        <v>46058</v>
      </c>
      <c r="AK418" s="61">
        <v>0.5122916666666667</v>
      </c>
      <c r="AL418" t="s">
        <v>796</v>
      </c>
      <c r="AM418" t="s">
        <v>2980</v>
      </c>
      <c r="AP418" t="s">
        <v>44</v>
      </c>
      <c r="AS418" s="31">
        <v>46051</v>
      </c>
      <c r="AY418">
        <v>1</v>
      </c>
    </row>
    <row r="419" spans="1:51" x14ac:dyDescent="0.3">
      <c r="A419" t="s">
        <v>31</v>
      </c>
      <c r="B419">
        <v>874</v>
      </c>
      <c r="D419">
        <v>3180</v>
      </c>
      <c r="G419" t="s">
        <v>2981</v>
      </c>
      <c r="J419" t="s">
        <v>2982</v>
      </c>
      <c r="K419" t="s">
        <v>2982</v>
      </c>
      <c r="L419">
        <v>11999733410</v>
      </c>
      <c r="N419" t="s">
        <v>2984</v>
      </c>
      <c r="Q419" t="s">
        <v>778</v>
      </c>
      <c r="T419" t="s">
        <v>2541</v>
      </c>
      <c r="W419" t="s">
        <v>2559</v>
      </c>
      <c r="X419" t="s">
        <v>780</v>
      </c>
      <c r="Y419" t="s">
        <v>781</v>
      </c>
      <c r="AA419" s="31">
        <v>46053</v>
      </c>
      <c r="AD419">
        <v>2</v>
      </c>
      <c r="AE419" t="s">
        <v>22</v>
      </c>
      <c r="AF419" s="31">
        <v>46049</v>
      </c>
      <c r="AG419" s="61">
        <v>0.36130787037037038</v>
      </c>
      <c r="AI419" t="s">
        <v>795</v>
      </c>
      <c r="AJ419" s="31">
        <v>46051</v>
      </c>
      <c r="AK419" s="61">
        <v>0.66635416666666669</v>
      </c>
      <c r="AL419" t="s">
        <v>1226</v>
      </c>
      <c r="AP419" t="s">
        <v>31</v>
      </c>
      <c r="AS419" s="31"/>
      <c r="AY419">
        <v>1</v>
      </c>
    </row>
    <row r="420" spans="1:51" x14ac:dyDescent="0.3">
      <c r="A420" t="s">
        <v>44</v>
      </c>
      <c r="B420">
        <v>876</v>
      </c>
      <c r="D420">
        <v>3182</v>
      </c>
      <c r="F420" t="s">
        <v>2985</v>
      </c>
      <c r="G420" t="s">
        <v>2986</v>
      </c>
      <c r="H420">
        <v>5937946000100</v>
      </c>
      <c r="J420" t="s">
        <v>2985</v>
      </c>
      <c r="K420" t="s">
        <v>2985</v>
      </c>
      <c r="L420" t="s">
        <v>2987</v>
      </c>
      <c r="N420" t="s">
        <v>2988</v>
      </c>
      <c r="Q420" t="s">
        <v>778</v>
      </c>
      <c r="R420" t="s">
        <v>2989</v>
      </c>
      <c r="S420" t="s">
        <v>932</v>
      </c>
      <c r="T420" t="s">
        <v>805</v>
      </c>
      <c r="W420" t="s">
        <v>1581</v>
      </c>
      <c r="X420" t="s">
        <v>780</v>
      </c>
      <c r="Y420" t="s">
        <v>816</v>
      </c>
      <c r="AA420" s="31">
        <v>46081</v>
      </c>
      <c r="AB420">
        <v>16960</v>
      </c>
      <c r="AC420">
        <v>32775</v>
      </c>
      <c r="AD420">
        <v>16</v>
      </c>
      <c r="AE420" t="s">
        <v>44</v>
      </c>
      <c r="AF420" s="31">
        <v>46050</v>
      </c>
      <c r="AG420" s="61">
        <v>0.37962962962962971</v>
      </c>
      <c r="AI420" t="s">
        <v>818</v>
      </c>
      <c r="AJ420" s="31">
        <v>46066</v>
      </c>
      <c r="AK420" s="61">
        <v>0.51166666666666671</v>
      </c>
      <c r="AO420" t="s">
        <v>2990</v>
      </c>
      <c r="AP420" t="s">
        <v>44</v>
      </c>
      <c r="AQ420" t="s">
        <v>2991</v>
      </c>
      <c r="AS420" s="31"/>
      <c r="AT420">
        <v>80</v>
      </c>
      <c r="AY420">
        <v>1</v>
      </c>
    </row>
    <row r="421" spans="1:51" x14ac:dyDescent="0.3">
      <c r="A421" t="s">
        <v>22</v>
      </c>
      <c r="B421">
        <v>877</v>
      </c>
      <c r="D421">
        <v>3187</v>
      </c>
      <c r="E421" t="s">
        <v>4740</v>
      </c>
      <c r="G421" t="s">
        <v>430</v>
      </c>
      <c r="J421" t="s">
        <v>2993</v>
      </c>
      <c r="K421" t="s">
        <v>2993</v>
      </c>
      <c r="L421">
        <v>47992119052</v>
      </c>
      <c r="N421" t="s">
        <v>1111</v>
      </c>
      <c r="Q421" t="s">
        <v>778</v>
      </c>
      <c r="T421" t="s">
        <v>2919</v>
      </c>
      <c r="W421" t="s">
        <v>1704</v>
      </c>
      <c r="X421" t="s">
        <v>780</v>
      </c>
      <c r="Y421" t="s">
        <v>816</v>
      </c>
      <c r="AA421" s="31">
        <v>46112</v>
      </c>
      <c r="AB421">
        <v>12000</v>
      </c>
      <c r="AC421">
        <v>1700</v>
      </c>
      <c r="AD421">
        <v>77</v>
      </c>
      <c r="AE421" t="s">
        <v>22</v>
      </c>
      <c r="AF421" s="31">
        <v>46050</v>
      </c>
      <c r="AG421" s="61">
        <v>0.66311342592592593</v>
      </c>
      <c r="AI421" t="s">
        <v>782</v>
      </c>
      <c r="AJ421" s="31"/>
      <c r="AK421" s="61"/>
      <c r="AO421" t="s">
        <v>384</v>
      </c>
      <c r="AP421" t="s">
        <v>22</v>
      </c>
      <c r="AQ421" t="s">
        <v>449</v>
      </c>
      <c r="AS421" s="31">
        <v>46101</v>
      </c>
      <c r="AT421">
        <v>80</v>
      </c>
      <c r="AU421">
        <v>24</v>
      </c>
      <c r="AV421" t="s">
        <v>69</v>
      </c>
      <c r="AW421" t="s">
        <v>4741</v>
      </c>
      <c r="AX421" t="s">
        <v>4741</v>
      </c>
      <c r="AY421">
        <v>1</v>
      </c>
    </row>
    <row r="422" spans="1:51" x14ac:dyDescent="0.3">
      <c r="A422" t="s">
        <v>44</v>
      </c>
      <c r="B422">
        <v>879</v>
      </c>
      <c r="D422">
        <v>3192</v>
      </c>
      <c r="E422" t="s">
        <v>2996</v>
      </c>
      <c r="F422" t="s">
        <v>2997</v>
      </c>
      <c r="G422" t="s">
        <v>2998</v>
      </c>
      <c r="H422">
        <v>42371959000183</v>
      </c>
      <c r="J422" t="s">
        <v>2997</v>
      </c>
      <c r="K422" t="s">
        <v>2997</v>
      </c>
      <c r="L422" t="s">
        <v>2999</v>
      </c>
      <c r="N422" t="s">
        <v>3000</v>
      </c>
      <c r="Q422" t="s">
        <v>778</v>
      </c>
      <c r="R422" t="s">
        <v>1596</v>
      </c>
      <c r="S422" t="s">
        <v>790</v>
      </c>
      <c r="T422" t="s">
        <v>805</v>
      </c>
      <c r="W422" t="s">
        <v>1718</v>
      </c>
      <c r="X422" t="s">
        <v>780</v>
      </c>
      <c r="Y422" t="s">
        <v>793</v>
      </c>
      <c r="AA422" s="31">
        <v>46081</v>
      </c>
      <c r="AB422">
        <v>79958</v>
      </c>
      <c r="AC422">
        <v>45432</v>
      </c>
      <c r="AD422">
        <v>25</v>
      </c>
      <c r="AE422" t="s">
        <v>44</v>
      </c>
      <c r="AF422" s="31">
        <v>46051</v>
      </c>
      <c r="AG422" s="61">
        <v>0.41417824074074072</v>
      </c>
      <c r="AI422" t="s">
        <v>795</v>
      </c>
      <c r="AJ422" s="31">
        <v>46076</v>
      </c>
      <c r="AK422" s="61">
        <v>0.62991898148148151</v>
      </c>
      <c r="AL422" t="s">
        <v>934</v>
      </c>
      <c r="AM422" t="s">
        <v>4742</v>
      </c>
      <c r="AO422" t="s">
        <v>2889</v>
      </c>
      <c r="AP422" t="s">
        <v>44</v>
      </c>
      <c r="AQ422" t="s">
        <v>2890</v>
      </c>
      <c r="AS422" s="31"/>
      <c r="AT422">
        <v>30</v>
      </c>
      <c r="AY422">
        <v>1</v>
      </c>
    </row>
    <row r="423" spans="1:51" x14ac:dyDescent="0.3">
      <c r="A423" t="s">
        <v>44</v>
      </c>
      <c r="B423">
        <v>882</v>
      </c>
      <c r="D423">
        <v>3199</v>
      </c>
      <c r="E423" t="s">
        <v>3001</v>
      </c>
      <c r="G423" t="s">
        <v>3002</v>
      </c>
      <c r="J423" t="s">
        <v>3003</v>
      </c>
      <c r="K423" t="s">
        <v>3003</v>
      </c>
      <c r="L423">
        <v>75981412000</v>
      </c>
      <c r="N423" t="s">
        <v>1111</v>
      </c>
      <c r="Q423" t="s">
        <v>778</v>
      </c>
      <c r="W423" t="s">
        <v>1419</v>
      </c>
      <c r="X423" t="s">
        <v>780</v>
      </c>
      <c r="Y423" t="s">
        <v>807</v>
      </c>
      <c r="AA423" s="31">
        <v>46081</v>
      </c>
      <c r="AB423">
        <v>90000</v>
      </c>
      <c r="AC423">
        <v>921279</v>
      </c>
      <c r="AD423">
        <v>15</v>
      </c>
      <c r="AE423" t="s">
        <v>44</v>
      </c>
      <c r="AF423" s="31">
        <v>46051</v>
      </c>
      <c r="AG423" s="61">
        <v>0.67391203703703706</v>
      </c>
      <c r="AI423" t="s">
        <v>795</v>
      </c>
      <c r="AJ423" s="31">
        <v>46066</v>
      </c>
      <c r="AK423" s="61">
        <v>0.51680555555555552</v>
      </c>
      <c r="AL423" t="s">
        <v>858</v>
      </c>
      <c r="AM423" t="s">
        <v>3001</v>
      </c>
      <c r="AO423" t="s">
        <v>2576</v>
      </c>
      <c r="AP423" t="s">
        <v>44</v>
      </c>
      <c r="AQ423" t="s">
        <v>2576</v>
      </c>
      <c r="AS423" s="31">
        <v>46066</v>
      </c>
      <c r="AT423">
        <v>50</v>
      </c>
      <c r="AY423">
        <v>1</v>
      </c>
    </row>
    <row r="424" spans="1:51" x14ac:dyDescent="0.3">
      <c r="A424" t="s">
        <v>44</v>
      </c>
      <c r="B424">
        <v>883</v>
      </c>
      <c r="D424">
        <v>3200</v>
      </c>
      <c r="E424" t="s">
        <v>3001</v>
      </c>
      <c r="G424" t="s">
        <v>1469</v>
      </c>
      <c r="J424" t="s">
        <v>3004</v>
      </c>
      <c r="K424" t="s">
        <v>3004</v>
      </c>
      <c r="L424">
        <v>75981412000</v>
      </c>
      <c r="N424" t="s">
        <v>1111</v>
      </c>
      <c r="Q424" t="s">
        <v>778</v>
      </c>
      <c r="W424" t="s">
        <v>1419</v>
      </c>
      <c r="X424" t="s">
        <v>780</v>
      </c>
      <c r="Y424" t="s">
        <v>807</v>
      </c>
      <c r="AA424" s="31">
        <v>46081</v>
      </c>
      <c r="AB424">
        <v>1600</v>
      </c>
      <c r="AC424">
        <v>599515</v>
      </c>
      <c r="AD424">
        <v>15</v>
      </c>
      <c r="AE424" t="s">
        <v>44</v>
      </c>
      <c r="AF424" s="31">
        <v>46051</v>
      </c>
      <c r="AG424" s="61">
        <v>0.6811342592592593</v>
      </c>
      <c r="AI424" t="s">
        <v>795</v>
      </c>
      <c r="AJ424" s="31">
        <v>46066</v>
      </c>
      <c r="AK424" s="61">
        <v>0.51790509259259254</v>
      </c>
      <c r="AL424" t="s">
        <v>858</v>
      </c>
      <c r="AM424" t="s">
        <v>3001</v>
      </c>
      <c r="AO424" t="s">
        <v>2576</v>
      </c>
      <c r="AP424" t="s">
        <v>44</v>
      </c>
      <c r="AQ424" t="s">
        <v>2576</v>
      </c>
      <c r="AS424" s="31">
        <v>46066</v>
      </c>
      <c r="AT424">
        <v>50</v>
      </c>
      <c r="AY424">
        <v>1</v>
      </c>
    </row>
    <row r="425" spans="1:51" x14ac:dyDescent="0.3">
      <c r="A425" t="s">
        <v>44</v>
      </c>
      <c r="B425">
        <v>884</v>
      </c>
      <c r="D425">
        <v>3202</v>
      </c>
      <c r="E425" t="s">
        <v>4743</v>
      </c>
      <c r="G425" t="s">
        <v>3005</v>
      </c>
      <c r="J425" t="s">
        <v>3004</v>
      </c>
      <c r="K425" t="s">
        <v>3004</v>
      </c>
      <c r="L425">
        <v>75981412000</v>
      </c>
      <c r="N425" t="s">
        <v>1111</v>
      </c>
      <c r="Q425" t="s">
        <v>778</v>
      </c>
      <c r="W425" t="s">
        <v>1419</v>
      </c>
      <c r="X425" t="s">
        <v>780</v>
      </c>
      <c r="Y425" t="s">
        <v>816</v>
      </c>
      <c r="AA425" s="31">
        <v>46112</v>
      </c>
      <c r="AB425">
        <v>149248</v>
      </c>
      <c r="AC425">
        <v>29499</v>
      </c>
      <c r="AD425">
        <v>62</v>
      </c>
      <c r="AE425" t="s">
        <v>44</v>
      </c>
      <c r="AF425" s="31">
        <v>46051</v>
      </c>
      <c r="AG425" s="61">
        <v>0.69284722222222217</v>
      </c>
      <c r="AI425" t="s">
        <v>818</v>
      </c>
      <c r="AJ425" s="31">
        <v>46113</v>
      </c>
      <c r="AK425" s="61">
        <v>0.64675925925925926</v>
      </c>
      <c r="AO425" t="s">
        <v>2889</v>
      </c>
      <c r="AP425" t="s">
        <v>44</v>
      </c>
      <c r="AQ425" t="s">
        <v>2576</v>
      </c>
      <c r="AR425" t="s">
        <v>403</v>
      </c>
      <c r="AS425" s="31">
        <v>46062</v>
      </c>
      <c r="AT425">
        <v>50</v>
      </c>
      <c r="AY425">
        <v>1</v>
      </c>
    </row>
    <row r="426" spans="1:51" x14ac:dyDescent="0.3">
      <c r="A426" t="s">
        <v>44</v>
      </c>
      <c r="B426">
        <v>885</v>
      </c>
      <c r="D426">
        <v>3205</v>
      </c>
      <c r="E426" t="s">
        <v>3006</v>
      </c>
      <c r="G426" t="s">
        <v>3007</v>
      </c>
      <c r="H426">
        <v>4312818000109</v>
      </c>
      <c r="J426" t="s">
        <v>3008</v>
      </c>
      <c r="K426" t="s">
        <v>3008</v>
      </c>
      <c r="Q426" t="s">
        <v>778</v>
      </c>
      <c r="R426" t="s">
        <v>1094</v>
      </c>
      <c r="S426" t="s">
        <v>790</v>
      </c>
      <c r="W426" t="s">
        <v>1718</v>
      </c>
      <c r="X426" t="s">
        <v>780</v>
      </c>
      <c r="Y426" t="s">
        <v>807</v>
      </c>
      <c r="AA426" s="31">
        <v>46081</v>
      </c>
      <c r="AB426">
        <v>1600</v>
      </c>
      <c r="AC426">
        <v>384454</v>
      </c>
      <c r="AD426">
        <v>20</v>
      </c>
      <c r="AE426" t="s">
        <v>44</v>
      </c>
      <c r="AF426" s="31">
        <v>46052</v>
      </c>
      <c r="AG426" s="61">
        <v>0.61850694444444443</v>
      </c>
      <c r="AI426" t="s">
        <v>795</v>
      </c>
      <c r="AJ426" s="31">
        <v>46072</v>
      </c>
      <c r="AK426" s="61">
        <v>0.68957175925925929</v>
      </c>
      <c r="AL426" t="s">
        <v>858</v>
      </c>
      <c r="AM426" t="s">
        <v>4744</v>
      </c>
      <c r="AO426" t="s">
        <v>2829</v>
      </c>
      <c r="AP426" t="s">
        <v>44</v>
      </c>
      <c r="AS426" s="31">
        <v>46072</v>
      </c>
      <c r="AT426">
        <v>30</v>
      </c>
      <c r="AY426">
        <v>1</v>
      </c>
    </row>
    <row r="427" spans="1:51" x14ac:dyDescent="0.3">
      <c r="A427" t="s">
        <v>44</v>
      </c>
      <c r="B427">
        <v>886</v>
      </c>
      <c r="D427">
        <v>3207</v>
      </c>
      <c r="E427" t="s">
        <v>4729</v>
      </c>
      <c r="G427" t="s">
        <v>3009</v>
      </c>
      <c r="J427" t="s">
        <v>3010</v>
      </c>
      <c r="K427" t="s">
        <v>3010</v>
      </c>
      <c r="L427">
        <v>43996693593</v>
      </c>
      <c r="N427" t="s">
        <v>2827</v>
      </c>
      <c r="Q427" t="s">
        <v>778</v>
      </c>
      <c r="W427" t="s">
        <v>2791</v>
      </c>
      <c r="X427" t="s">
        <v>780</v>
      </c>
      <c r="Y427" t="s">
        <v>793</v>
      </c>
      <c r="AA427" s="31"/>
      <c r="AB427">
        <v>1600</v>
      </c>
      <c r="AC427">
        <v>252471</v>
      </c>
      <c r="AD427">
        <v>38</v>
      </c>
      <c r="AE427" t="s">
        <v>44</v>
      </c>
      <c r="AF427" s="31">
        <v>46052</v>
      </c>
      <c r="AG427" s="61">
        <v>0.64193287037037039</v>
      </c>
      <c r="AI427" t="s">
        <v>795</v>
      </c>
      <c r="AJ427" s="31">
        <v>46090</v>
      </c>
      <c r="AK427" s="61">
        <v>0.46104166666666668</v>
      </c>
      <c r="AL427" t="s">
        <v>796</v>
      </c>
      <c r="AM427" t="s">
        <v>4729</v>
      </c>
      <c r="AO427" t="s">
        <v>2829</v>
      </c>
      <c r="AS427" s="31">
        <v>46062</v>
      </c>
      <c r="AY427">
        <v>1</v>
      </c>
    </row>
    <row r="428" spans="1:51" x14ac:dyDescent="0.3">
      <c r="A428" t="s">
        <v>44</v>
      </c>
      <c r="B428">
        <v>887</v>
      </c>
      <c r="D428">
        <v>3208</v>
      </c>
      <c r="G428" t="s">
        <v>3012</v>
      </c>
      <c r="J428" t="s">
        <v>3013</v>
      </c>
      <c r="K428" t="s">
        <v>3013</v>
      </c>
      <c r="L428">
        <v>9384064995</v>
      </c>
      <c r="N428" t="s">
        <v>2839</v>
      </c>
      <c r="Q428" t="s">
        <v>778</v>
      </c>
      <c r="W428" t="s">
        <v>3015</v>
      </c>
      <c r="X428" t="s">
        <v>780</v>
      </c>
      <c r="Y428" t="s">
        <v>857</v>
      </c>
      <c r="AA428" s="31"/>
      <c r="AB428">
        <v>1600</v>
      </c>
      <c r="AC428">
        <v>254271</v>
      </c>
      <c r="AD428">
        <v>6</v>
      </c>
      <c r="AE428" t="s">
        <v>44</v>
      </c>
      <c r="AF428" s="31">
        <v>46052</v>
      </c>
      <c r="AG428" s="61">
        <v>0.66526620370370371</v>
      </c>
      <c r="AI428" t="s">
        <v>795</v>
      </c>
      <c r="AJ428" s="31">
        <v>46058</v>
      </c>
      <c r="AK428" s="61">
        <v>0.59289351851851857</v>
      </c>
      <c r="AL428" t="s">
        <v>867</v>
      </c>
      <c r="AM428" t="s">
        <v>2843</v>
      </c>
      <c r="AO428" t="s">
        <v>2829</v>
      </c>
      <c r="AQ428" t="s">
        <v>2590</v>
      </c>
      <c r="AS428" s="31">
        <v>46048</v>
      </c>
      <c r="AY428">
        <v>1</v>
      </c>
    </row>
    <row r="429" spans="1:51" x14ac:dyDescent="0.3">
      <c r="A429" t="s">
        <v>44</v>
      </c>
      <c r="B429">
        <v>888</v>
      </c>
      <c r="D429">
        <v>3209</v>
      </c>
      <c r="G429" t="s">
        <v>3016</v>
      </c>
      <c r="J429" t="s">
        <v>3017</v>
      </c>
      <c r="K429" t="s">
        <v>3017</v>
      </c>
      <c r="L429">
        <v>3284083586</v>
      </c>
      <c r="N429" t="s">
        <v>2636</v>
      </c>
      <c r="Q429" t="s">
        <v>778</v>
      </c>
      <c r="W429" t="s">
        <v>2791</v>
      </c>
      <c r="X429" t="s">
        <v>780</v>
      </c>
      <c r="Y429" t="s">
        <v>857</v>
      </c>
      <c r="AA429" s="31"/>
      <c r="AB429">
        <v>1600</v>
      </c>
      <c r="AC429">
        <v>252471</v>
      </c>
      <c r="AD429">
        <v>6</v>
      </c>
      <c r="AE429" t="s">
        <v>44</v>
      </c>
      <c r="AF429" s="31">
        <v>46052</v>
      </c>
      <c r="AG429" s="61">
        <v>0.67311342592592593</v>
      </c>
      <c r="AI429" t="s">
        <v>795</v>
      </c>
      <c r="AJ429" s="31">
        <v>46058</v>
      </c>
      <c r="AK429" s="61">
        <v>0.51517361111111115</v>
      </c>
      <c r="AL429" t="s">
        <v>934</v>
      </c>
      <c r="AM429" t="s">
        <v>3019</v>
      </c>
      <c r="AO429" t="s">
        <v>2591</v>
      </c>
      <c r="AQ429" t="s">
        <v>2591</v>
      </c>
      <c r="AS429" s="31">
        <v>46051</v>
      </c>
      <c r="AY429">
        <v>1</v>
      </c>
    </row>
    <row r="430" spans="1:51" x14ac:dyDescent="0.3">
      <c r="A430" t="s">
        <v>44</v>
      </c>
      <c r="B430">
        <v>889</v>
      </c>
      <c r="D430">
        <v>3210</v>
      </c>
      <c r="E430" t="s">
        <v>4737</v>
      </c>
      <c r="G430" t="s">
        <v>3020</v>
      </c>
      <c r="J430" t="s">
        <v>3021</v>
      </c>
      <c r="K430" t="s">
        <v>3021</v>
      </c>
      <c r="L430">
        <v>3194143043</v>
      </c>
      <c r="N430" t="s">
        <v>2944</v>
      </c>
      <c r="Q430" t="s">
        <v>778</v>
      </c>
      <c r="W430" t="s">
        <v>2542</v>
      </c>
      <c r="X430" t="s">
        <v>780</v>
      </c>
      <c r="Y430" t="s">
        <v>793</v>
      </c>
      <c r="AA430" s="31"/>
      <c r="AB430">
        <v>1600</v>
      </c>
      <c r="AC430">
        <v>252471</v>
      </c>
      <c r="AD430">
        <v>20</v>
      </c>
      <c r="AE430" t="s">
        <v>44</v>
      </c>
      <c r="AF430" s="31">
        <v>46052</v>
      </c>
      <c r="AG430" s="61">
        <v>0.69487268518518519</v>
      </c>
      <c r="AI430" t="s">
        <v>795</v>
      </c>
      <c r="AJ430" s="31">
        <v>46072</v>
      </c>
      <c r="AK430" s="61">
        <v>0.69290509259259259</v>
      </c>
      <c r="AL430" t="s">
        <v>934</v>
      </c>
      <c r="AM430" t="s">
        <v>4737</v>
      </c>
      <c r="AO430" t="s">
        <v>2889</v>
      </c>
      <c r="AP430" t="s">
        <v>44</v>
      </c>
      <c r="AQ430" t="s">
        <v>2889</v>
      </c>
      <c r="AS430" s="31">
        <v>46072</v>
      </c>
      <c r="AT430">
        <v>30</v>
      </c>
      <c r="AY430">
        <v>1</v>
      </c>
    </row>
    <row r="431" spans="1:51" x14ac:dyDescent="0.3">
      <c r="A431" t="s">
        <v>44</v>
      </c>
      <c r="B431">
        <v>890</v>
      </c>
      <c r="D431">
        <v>3190</v>
      </c>
      <c r="E431" t="s">
        <v>3022</v>
      </c>
      <c r="G431" t="s">
        <v>3023</v>
      </c>
      <c r="H431">
        <v>747901000222</v>
      </c>
      <c r="J431" t="s">
        <v>3024</v>
      </c>
      <c r="K431" t="s">
        <v>3024</v>
      </c>
      <c r="L431">
        <v>19995356201</v>
      </c>
      <c r="N431" t="s">
        <v>3026</v>
      </c>
      <c r="Q431" t="s">
        <v>778</v>
      </c>
      <c r="T431" t="s">
        <v>2541</v>
      </c>
      <c r="W431" t="s">
        <v>2542</v>
      </c>
      <c r="X431" t="s">
        <v>780</v>
      </c>
      <c r="Y431" t="s">
        <v>857</v>
      </c>
      <c r="AA431" s="31">
        <v>46081</v>
      </c>
      <c r="AD431">
        <v>38</v>
      </c>
      <c r="AE431" t="s">
        <v>22</v>
      </c>
      <c r="AF431" s="31">
        <v>46052</v>
      </c>
      <c r="AG431" s="61">
        <v>0.70134259259259257</v>
      </c>
      <c r="AI431" t="s">
        <v>795</v>
      </c>
      <c r="AJ431" s="31">
        <v>46090</v>
      </c>
      <c r="AK431" s="61">
        <v>0.40456018518518522</v>
      </c>
      <c r="AL431" t="s">
        <v>796</v>
      </c>
      <c r="AM431" t="s">
        <v>4745</v>
      </c>
      <c r="AP431" t="s">
        <v>44</v>
      </c>
      <c r="AS431" s="31">
        <v>46090</v>
      </c>
      <c r="AT431">
        <v>30</v>
      </c>
      <c r="AY431">
        <v>1</v>
      </c>
    </row>
    <row r="432" spans="1:51" x14ac:dyDescent="0.3">
      <c r="A432" t="s">
        <v>31</v>
      </c>
      <c r="B432">
        <v>891</v>
      </c>
      <c r="D432">
        <v>3191</v>
      </c>
      <c r="E432" t="s">
        <v>3027</v>
      </c>
      <c r="G432" t="s">
        <v>3028</v>
      </c>
      <c r="J432" t="s">
        <v>3029</v>
      </c>
      <c r="K432" t="s">
        <v>3029</v>
      </c>
      <c r="L432">
        <v>3335294949</v>
      </c>
      <c r="N432" t="s">
        <v>3031</v>
      </c>
      <c r="Q432" t="s">
        <v>778</v>
      </c>
      <c r="T432" t="s">
        <v>2541</v>
      </c>
      <c r="W432" t="s">
        <v>2542</v>
      </c>
      <c r="X432" t="s">
        <v>780</v>
      </c>
      <c r="Y432" t="s">
        <v>793</v>
      </c>
      <c r="AA432" s="31">
        <v>46081</v>
      </c>
      <c r="AD432">
        <v>26</v>
      </c>
      <c r="AE432" t="s">
        <v>22</v>
      </c>
      <c r="AF432" s="31">
        <v>46052</v>
      </c>
      <c r="AG432" s="61">
        <v>0.70265046296296296</v>
      </c>
      <c r="AI432" t="s">
        <v>795</v>
      </c>
      <c r="AJ432" s="31">
        <v>46078</v>
      </c>
      <c r="AK432" s="61">
        <v>0.43755787037037042</v>
      </c>
      <c r="AL432" t="s">
        <v>808</v>
      </c>
      <c r="AP432" t="s">
        <v>31</v>
      </c>
      <c r="AS432" s="31">
        <v>46071</v>
      </c>
      <c r="AT432">
        <v>30</v>
      </c>
      <c r="AY432">
        <v>1</v>
      </c>
    </row>
    <row r="433" spans="1:51" x14ac:dyDescent="0.3">
      <c r="A433" t="s">
        <v>44</v>
      </c>
      <c r="B433">
        <v>892</v>
      </c>
      <c r="D433">
        <v>3196</v>
      </c>
      <c r="E433" t="s">
        <v>4746</v>
      </c>
      <c r="G433" t="s">
        <v>397</v>
      </c>
      <c r="H433">
        <v>54888350000165</v>
      </c>
      <c r="J433" t="s">
        <v>3033</v>
      </c>
      <c r="K433" t="s">
        <v>3033</v>
      </c>
      <c r="L433">
        <v>21999778181</v>
      </c>
      <c r="N433" t="s">
        <v>3035</v>
      </c>
      <c r="Q433" t="s">
        <v>778</v>
      </c>
      <c r="T433" t="s">
        <v>2541</v>
      </c>
      <c r="W433" t="s">
        <v>2542</v>
      </c>
      <c r="X433" t="s">
        <v>780</v>
      </c>
      <c r="Y433" t="s">
        <v>807</v>
      </c>
      <c r="AA433" s="31">
        <v>46112</v>
      </c>
      <c r="AB433">
        <v>1148572</v>
      </c>
      <c r="AC433">
        <v>71924</v>
      </c>
      <c r="AD433">
        <v>45</v>
      </c>
      <c r="AE433" t="s">
        <v>22</v>
      </c>
      <c r="AF433" s="31">
        <v>46052</v>
      </c>
      <c r="AG433" s="61">
        <v>0.70391203703703709</v>
      </c>
      <c r="AI433" t="s">
        <v>795</v>
      </c>
      <c r="AJ433" s="31">
        <v>46097</v>
      </c>
      <c r="AK433" s="61">
        <v>0.50124999999999997</v>
      </c>
      <c r="AL433" t="s">
        <v>796</v>
      </c>
      <c r="AM433" t="s">
        <v>4747</v>
      </c>
      <c r="AO433" t="s">
        <v>4748</v>
      </c>
      <c r="AP433" t="s">
        <v>44</v>
      </c>
      <c r="AQ433" t="s">
        <v>4748</v>
      </c>
      <c r="AS433" s="31">
        <v>46097</v>
      </c>
      <c r="AT433">
        <v>30</v>
      </c>
      <c r="AY433">
        <v>1</v>
      </c>
    </row>
    <row r="434" spans="1:51" x14ac:dyDescent="0.3">
      <c r="A434" t="s">
        <v>22</v>
      </c>
      <c r="B434">
        <v>893</v>
      </c>
      <c r="D434">
        <v>3203</v>
      </c>
      <c r="E434" t="s">
        <v>4749</v>
      </c>
      <c r="G434" t="s">
        <v>3037</v>
      </c>
      <c r="H434">
        <v>10258712000169</v>
      </c>
      <c r="J434" t="s">
        <v>3038</v>
      </c>
      <c r="K434" t="s">
        <v>3038</v>
      </c>
      <c r="L434" t="s">
        <v>3039</v>
      </c>
      <c r="N434" t="s">
        <v>3040</v>
      </c>
      <c r="Q434" t="s">
        <v>778</v>
      </c>
      <c r="R434" t="s">
        <v>923</v>
      </c>
      <c r="T434" t="s">
        <v>814</v>
      </c>
      <c r="W434" t="s">
        <v>4750</v>
      </c>
      <c r="X434" t="s">
        <v>780</v>
      </c>
      <c r="Y434" t="s">
        <v>816</v>
      </c>
      <c r="AA434" s="31">
        <v>46112</v>
      </c>
      <c r="AB434">
        <v>1301786</v>
      </c>
      <c r="AC434">
        <v>2713706</v>
      </c>
      <c r="AD434">
        <v>70</v>
      </c>
      <c r="AE434" t="s">
        <v>22</v>
      </c>
      <c r="AF434" s="31">
        <v>46052</v>
      </c>
      <c r="AG434" s="61">
        <v>0.7107175925925926</v>
      </c>
      <c r="AI434" t="s">
        <v>795</v>
      </c>
      <c r="AJ434" s="31">
        <v>46122</v>
      </c>
      <c r="AK434" s="61">
        <v>0.66462962962962968</v>
      </c>
      <c r="AL434" t="s">
        <v>858</v>
      </c>
      <c r="AO434" t="s">
        <v>395</v>
      </c>
      <c r="AP434" t="s">
        <v>22</v>
      </c>
      <c r="AQ434" t="s">
        <v>395</v>
      </c>
      <c r="AS434" s="31">
        <v>46101</v>
      </c>
      <c r="AT434">
        <v>30</v>
      </c>
      <c r="AV434" t="s">
        <v>4751</v>
      </c>
      <c r="AY434">
        <v>1</v>
      </c>
    </row>
    <row r="435" spans="1:51" x14ac:dyDescent="0.3">
      <c r="A435" t="s">
        <v>22</v>
      </c>
      <c r="B435">
        <v>894</v>
      </c>
      <c r="D435">
        <v>3204</v>
      </c>
      <c r="E435" t="s">
        <v>4752</v>
      </c>
      <c r="G435" t="s">
        <v>3042</v>
      </c>
      <c r="J435" t="s">
        <v>3043</v>
      </c>
      <c r="K435" t="s">
        <v>3043</v>
      </c>
      <c r="L435">
        <v>13997072312</v>
      </c>
      <c r="N435" t="s">
        <v>3045</v>
      </c>
      <c r="Q435" t="s">
        <v>778</v>
      </c>
      <c r="T435" t="s">
        <v>2541</v>
      </c>
      <c r="W435" t="s">
        <v>2542</v>
      </c>
      <c r="X435" t="s">
        <v>780</v>
      </c>
      <c r="Y435" t="s">
        <v>781</v>
      </c>
      <c r="AA435" s="31">
        <v>46081</v>
      </c>
      <c r="AD435">
        <v>27</v>
      </c>
      <c r="AE435" t="s">
        <v>22</v>
      </c>
      <c r="AF435" s="31">
        <v>46052</v>
      </c>
      <c r="AG435" s="61">
        <v>0.71299768518518514</v>
      </c>
      <c r="AI435" t="s">
        <v>795</v>
      </c>
      <c r="AJ435" s="31">
        <v>46079</v>
      </c>
      <c r="AK435" s="61">
        <v>0.77196759259259262</v>
      </c>
      <c r="AL435" t="s">
        <v>974</v>
      </c>
      <c r="AM435" t="s">
        <v>4752</v>
      </c>
      <c r="AP435" t="s">
        <v>22</v>
      </c>
      <c r="AS435" s="31">
        <v>46079</v>
      </c>
      <c r="AT435">
        <v>30</v>
      </c>
      <c r="AV435" t="s">
        <v>47</v>
      </c>
      <c r="AY435">
        <v>1</v>
      </c>
    </row>
    <row r="436" spans="1:51" x14ac:dyDescent="0.3">
      <c r="A436" t="s">
        <v>31</v>
      </c>
      <c r="B436">
        <v>895</v>
      </c>
      <c r="D436">
        <v>3201</v>
      </c>
      <c r="E436" t="s">
        <v>4753</v>
      </c>
      <c r="F436" t="s">
        <v>3046</v>
      </c>
      <c r="G436" t="s">
        <v>3047</v>
      </c>
      <c r="H436">
        <v>28229707000193</v>
      </c>
      <c r="J436" t="s">
        <v>3046</v>
      </c>
      <c r="K436" t="s">
        <v>3046</v>
      </c>
      <c r="L436" t="s">
        <v>3048</v>
      </c>
      <c r="N436" t="s">
        <v>3049</v>
      </c>
      <c r="Q436" t="s">
        <v>778</v>
      </c>
      <c r="R436" t="s">
        <v>1837</v>
      </c>
      <c r="S436" t="s">
        <v>790</v>
      </c>
      <c r="T436" t="s">
        <v>805</v>
      </c>
      <c r="W436" t="s">
        <v>2859</v>
      </c>
      <c r="X436" t="s">
        <v>780</v>
      </c>
      <c r="Y436" t="s">
        <v>857</v>
      </c>
      <c r="AA436" s="31">
        <v>46142</v>
      </c>
      <c r="AD436">
        <v>64</v>
      </c>
      <c r="AE436" t="s">
        <v>31</v>
      </c>
      <c r="AF436" s="31">
        <v>46055</v>
      </c>
      <c r="AG436" s="61">
        <v>0.40783564814814821</v>
      </c>
      <c r="AI436" t="s">
        <v>795</v>
      </c>
      <c r="AJ436" s="31">
        <v>46119</v>
      </c>
      <c r="AK436" s="61">
        <v>0.45613425925925932</v>
      </c>
      <c r="AL436" t="s">
        <v>858</v>
      </c>
      <c r="AP436" t="s">
        <v>31</v>
      </c>
      <c r="AQ436" t="s">
        <v>403</v>
      </c>
      <c r="AS436" s="31">
        <v>46070</v>
      </c>
      <c r="AT436">
        <v>30</v>
      </c>
      <c r="AV436" t="s">
        <v>3050</v>
      </c>
      <c r="AY436">
        <v>1</v>
      </c>
    </row>
    <row r="437" spans="1:51" x14ac:dyDescent="0.3">
      <c r="A437" t="s">
        <v>31</v>
      </c>
      <c r="B437">
        <v>901</v>
      </c>
      <c r="D437">
        <v>3218</v>
      </c>
      <c r="E437" t="s">
        <v>3051</v>
      </c>
      <c r="G437" t="s">
        <v>3052</v>
      </c>
      <c r="J437" t="s">
        <v>3053</v>
      </c>
      <c r="K437" t="s">
        <v>3053</v>
      </c>
      <c r="L437">
        <v>87988082642</v>
      </c>
      <c r="N437" t="s">
        <v>3055</v>
      </c>
      <c r="Q437" t="s">
        <v>778</v>
      </c>
      <c r="T437" t="s">
        <v>2541</v>
      </c>
      <c r="W437" t="s">
        <v>2632</v>
      </c>
      <c r="X437" t="s">
        <v>780</v>
      </c>
      <c r="Y437" t="s">
        <v>897</v>
      </c>
      <c r="AA437" s="31">
        <v>46081</v>
      </c>
      <c r="AD437">
        <v>2</v>
      </c>
      <c r="AE437" t="s">
        <v>22</v>
      </c>
      <c r="AF437" s="31">
        <v>46058</v>
      </c>
      <c r="AG437" s="61">
        <v>0.35667824074074073</v>
      </c>
      <c r="AI437" t="s">
        <v>795</v>
      </c>
      <c r="AJ437" s="31">
        <v>46060</v>
      </c>
      <c r="AK437" s="61">
        <v>0.89652777777777781</v>
      </c>
      <c r="AL437" t="s">
        <v>1226</v>
      </c>
      <c r="AP437" t="s">
        <v>31</v>
      </c>
      <c r="AS437" s="31"/>
      <c r="AT437">
        <v>30</v>
      </c>
      <c r="AY437">
        <v>1</v>
      </c>
    </row>
    <row r="438" spans="1:51" x14ac:dyDescent="0.3">
      <c r="A438" t="s">
        <v>44</v>
      </c>
      <c r="B438">
        <v>902</v>
      </c>
      <c r="D438">
        <v>3211</v>
      </c>
      <c r="G438" t="s">
        <v>3056</v>
      </c>
      <c r="H438">
        <v>7324070000144</v>
      </c>
      <c r="J438" t="s">
        <v>3057</v>
      </c>
      <c r="K438" t="s">
        <v>3057</v>
      </c>
      <c r="L438">
        <v>8391128022</v>
      </c>
      <c r="N438" t="s">
        <v>3059</v>
      </c>
      <c r="Q438" t="s">
        <v>778</v>
      </c>
      <c r="R438" t="s">
        <v>2812</v>
      </c>
      <c r="S438" t="s">
        <v>1067</v>
      </c>
      <c r="T438" t="s">
        <v>2541</v>
      </c>
      <c r="W438" t="s">
        <v>2542</v>
      </c>
      <c r="X438" t="s">
        <v>780</v>
      </c>
      <c r="Y438" t="s">
        <v>897</v>
      </c>
      <c r="AA438" s="31">
        <v>46081</v>
      </c>
      <c r="AD438">
        <v>14</v>
      </c>
      <c r="AE438" t="s">
        <v>22</v>
      </c>
      <c r="AF438" s="31">
        <v>46058</v>
      </c>
      <c r="AG438" s="61">
        <v>0.35793981481481479</v>
      </c>
      <c r="AI438" t="s">
        <v>795</v>
      </c>
      <c r="AJ438" s="31">
        <v>46072</v>
      </c>
      <c r="AK438" s="61">
        <v>0.45859953703703699</v>
      </c>
      <c r="AL438" t="s">
        <v>796</v>
      </c>
      <c r="AM438" t="s">
        <v>4754</v>
      </c>
      <c r="AP438" t="s">
        <v>44</v>
      </c>
      <c r="AS438" s="31">
        <v>46072</v>
      </c>
      <c r="AT438">
        <v>30</v>
      </c>
      <c r="AY438">
        <v>1</v>
      </c>
    </row>
    <row r="439" spans="1:51" x14ac:dyDescent="0.3">
      <c r="A439" t="s">
        <v>22</v>
      </c>
      <c r="B439">
        <v>903</v>
      </c>
      <c r="D439">
        <v>3217</v>
      </c>
      <c r="E439" t="s">
        <v>3060</v>
      </c>
      <c r="G439" t="s">
        <v>3061</v>
      </c>
      <c r="J439" t="s">
        <v>3062</v>
      </c>
      <c r="K439" t="s">
        <v>3062</v>
      </c>
      <c r="L439">
        <v>6184085792</v>
      </c>
      <c r="N439" t="s">
        <v>3064</v>
      </c>
      <c r="Q439" t="s">
        <v>778</v>
      </c>
      <c r="T439" t="s">
        <v>2541</v>
      </c>
      <c r="W439" t="s">
        <v>2542</v>
      </c>
      <c r="X439" t="s">
        <v>780</v>
      </c>
      <c r="Y439" t="s">
        <v>897</v>
      </c>
      <c r="AA439" s="31">
        <v>46081</v>
      </c>
      <c r="AD439">
        <v>12</v>
      </c>
      <c r="AE439" t="s">
        <v>22</v>
      </c>
      <c r="AF439" s="31">
        <v>46058</v>
      </c>
      <c r="AG439" s="61">
        <v>0.36140046296296302</v>
      </c>
      <c r="AI439" t="s">
        <v>795</v>
      </c>
      <c r="AJ439" s="31">
        <v>46070</v>
      </c>
      <c r="AK439" s="61">
        <v>0.49578703703703703</v>
      </c>
      <c r="AL439" t="s">
        <v>796</v>
      </c>
      <c r="AP439" t="s">
        <v>22</v>
      </c>
      <c r="AS439" s="31"/>
      <c r="AT439">
        <v>30</v>
      </c>
      <c r="AY439">
        <v>1</v>
      </c>
    </row>
    <row r="440" spans="1:51" x14ac:dyDescent="0.3">
      <c r="A440" t="s">
        <v>22</v>
      </c>
      <c r="B440">
        <v>906</v>
      </c>
      <c r="D440">
        <v>3226</v>
      </c>
      <c r="E440" t="s">
        <v>4755</v>
      </c>
      <c r="G440" t="s">
        <v>3065</v>
      </c>
      <c r="J440" t="s">
        <v>3066</v>
      </c>
      <c r="K440" t="s">
        <v>3066</v>
      </c>
      <c r="L440">
        <v>11985858558</v>
      </c>
      <c r="N440" t="s">
        <v>3068</v>
      </c>
      <c r="Q440" t="s">
        <v>778</v>
      </c>
      <c r="T440" t="s">
        <v>2541</v>
      </c>
      <c r="W440" t="s">
        <v>2542</v>
      </c>
      <c r="X440" t="s">
        <v>780</v>
      </c>
      <c r="Y440" t="s">
        <v>857</v>
      </c>
      <c r="AA440" s="31">
        <v>46081</v>
      </c>
      <c r="AD440">
        <v>24</v>
      </c>
      <c r="AE440" t="s">
        <v>22</v>
      </c>
      <c r="AF440" s="31">
        <v>46060</v>
      </c>
      <c r="AG440" s="61">
        <v>0.29451388888888891</v>
      </c>
      <c r="AI440" t="s">
        <v>795</v>
      </c>
      <c r="AJ440" s="31">
        <v>46084</v>
      </c>
      <c r="AK440" s="61">
        <v>0.89817129629629633</v>
      </c>
      <c r="AL440" t="s">
        <v>1226</v>
      </c>
      <c r="AP440" t="s">
        <v>22</v>
      </c>
      <c r="AS440" s="31"/>
      <c r="AT440">
        <v>30</v>
      </c>
      <c r="AV440" t="s">
        <v>321</v>
      </c>
      <c r="AY440">
        <v>1</v>
      </c>
    </row>
    <row r="441" spans="1:51" x14ac:dyDescent="0.3">
      <c r="A441" t="s">
        <v>22</v>
      </c>
      <c r="B441">
        <v>907</v>
      </c>
      <c r="D441">
        <v>3222</v>
      </c>
      <c r="E441" t="s">
        <v>3069</v>
      </c>
      <c r="G441" t="s">
        <v>3070</v>
      </c>
      <c r="J441" t="s">
        <v>3071</v>
      </c>
      <c r="K441" t="s">
        <v>3071</v>
      </c>
      <c r="L441" t="s">
        <v>3072</v>
      </c>
      <c r="N441" t="s">
        <v>3073</v>
      </c>
      <c r="Q441" t="s">
        <v>778</v>
      </c>
      <c r="R441" t="s">
        <v>923</v>
      </c>
      <c r="T441" t="s">
        <v>814</v>
      </c>
      <c r="W441" t="s">
        <v>2391</v>
      </c>
      <c r="X441" t="s">
        <v>780</v>
      </c>
      <c r="Y441" t="s">
        <v>857</v>
      </c>
      <c r="AA441" s="31">
        <v>46081</v>
      </c>
      <c r="AD441">
        <v>12</v>
      </c>
      <c r="AE441" t="s">
        <v>22</v>
      </c>
      <c r="AF441" s="31">
        <v>46060</v>
      </c>
      <c r="AG441" s="61">
        <v>0.30134259259259261</v>
      </c>
      <c r="AI441" t="s">
        <v>795</v>
      </c>
      <c r="AJ441" s="31">
        <v>46072</v>
      </c>
      <c r="AK441" s="61">
        <v>0.72991898148148149</v>
      </c>
      <c r="AL441" t="s">
        <v>796</v>
      </c>
      <c r="AM441" t="s">
        <v>4756</v>
      </c>
      <c r="AP441" t="s">
        <v>22</v>
      </c>
      <c r="AQ441" t="s">
        <v>405</v>
      </c>
      <c r="AS441" s="31"/>
      <c r="AT441">
        <v>30</v>
      </c>
      <c r="AY441">
        <v>1</v>
      </c>
    </row>
    <row r="442" spans="1:51" x14ac:dyDescent="0.3">
      <c r="A442" t="s">
        <v>22</v>
      </c>
      <c r="B442">
        <v>908</v>
      </c>
      <c r="D442">
        <v>3228</v>
      </c>
      <c r="E442" t="s">
        <v>3074</v>
      </c>
      <c r="G442" t="s">
        <v>445</v>
      </c>
      <c r="J442" t="s">
        <v>3075</v>
      </c>
      <c r="K442" t="s">
        <v>3075</v>
      </c>
      <c r="L442">
        <v>49988720298</v>
      </c>
      <c r="N442" t="s">
        <v>1111</v>
      </c>
      <c r="Q442" t="s">
        <v>778</v>
      </c>
      <c r="T442" t="s">
        <v>933</v>
      </c>
      <c r="W442" t="s">
        <v>1419</v>
      </c>
      <c r="X442" t="s">
        <v>780</v>
      </c>
      <c r="Y442" t="s">
        <v>807</v>
      </c>
      <c r="AA442" s="31">
        <v>46081</v>
      </c>
      <c r="AB442">
        <v>987029</v>
      </c>
      <c r="AC442">
        <v>1228454</v>
      </c>
      <c r="AD442">
        <v>19</v>
      </c>
      <c r="AE442" t="s">
        <v>22</v>
      </c>
      <c r="AF442" s="31">
        <v>46060</v>
      </c>
      <c r="AG442" s="61">
        <v>0.41621527777777778</v>
      </c>
      <c r="AI442" t="s">
        <v>818</v>
      </c>
      <c r="AJ442" s="31">
        <v>46079</v>
      </c>
      <c r="AK442" s="61">
        <v>0.91343750000000001</v>
      </c>
      <c r="AO442" t="s">
        <v>384</v>
      </c>
      <c r="AP442" t="s">
        <v>22</v>
      </c>
      <c r="AQ442" t="s">
        <v>384</v>
      </c>
      <c r="AS442" s="31">
        <v>46079</v>
      </c>
      <c r="AT442">
        <v>50</v>
      </c>
      <c r="AU442">
        <v>270</v>
      </c>
      <c r="AV442" t="s">
        <v>2913</v>
      </c>
      <c r="AW442" t="s">
        <v>3077</v>
      </c>
      <c r="AX442" t="s">
        <v>3078</v>
      </c>
      <c r="AY442">
        <v>1</v>
      </c>
    </row>
    <row r="443" spans="1:51" x14ac:dyDescent="0.3">
      <c r="A443" t="s">
        <v>22</v>
      </c>
      <c r="B443">
        <v>909</v>
      </c>
      <c r="D443">
        <v>3229</v>
      </c>
      <c r="E443" t="s">
        <v>3079</v>
      </c>
      <c r="G443" t="s">
        <v>451</v>
      </c>
      <c r="J443" t="s">
        <v>3080</v>
      </c>
      <c r="K443" t="s">
        <v>3080</v>
      </c>
      <c r="L443">
        <v>49998015654</v>
      </c>
      <c r="N443" t="s">
        <v>1111</v>
      </c>
      <c r="Q443" t="s">
        <v>778</v>
      </c>
      <c r="W443" t="s">
        <v>1419</v>
      </c>
      <c r="X443" t="s">
        <v>780</v>
      </c>
      <c r="Y443" t="s">
        <v>816</v>
      </c>
      <c r="AA443" s="31">
        <v>46081</v>
      </c>
      <c r="AB443">
        <v>7470289</v>
      </c>
      <c r="AC443">
        <v>1038848</v>
      </c>
      <c r="AD443">
        <v>19</v>
      </c>
      <c r="AE443" t="s">
        <v>22</v>
      </c>
      <c r="AF443" s="31">
        <v>46060</v>
      </c>
      <c r="AG443" s="61">
        <v>0.41700231481481481</v>
      </c>
      <c r="AI443" t="s">
        <v>818</v>
      </c>
      <c r="AJ443" s="31">
        <v>46079</v>
      </c>
      <c r="AK443" s="61">
        <v>0.90869212962962964</v>
      </c>
      <c r="AO443" t="s">
        <v>452</v>
      </c>
      <c r="AP443" t="s">
        <v>22</v>
      </c>
      <c r="AQ443" t="s">
        <v>452</v>
      </c>
      <c r="AS443" s="31">
        <v>46079</v>
      </c>
      <c r="AT443">
        <v>50</v>
      </c>
      <c r="AU443">
        <v>150</v>
      </c>
      <c r="AV443" t="s">
        <v>2913</v>
      </c>
      <c r="AW443" t="s">
        <v>2914</v>
      </c>
      <c r="AX443" t="s">
        <v>3083</v>
      </c>
      <c r="AY443">
        <v>1</v>
      </c>
    </row>
    <row r="444" spans="1:51" x14ac:dyDescent="0.3">
      <c r="A444" t="s">
        <v>44</v>
      </c>
      <c r="B444">
        <v>912</v>
      </c>
      <c r="D444">
        <v>3248</v>
      </c>
      <c r="E444" t="s">
        <v>4757</v>
      </c>
      <c r="F444" t="s">
        <v>3085</v>
      </c>
      <c r="G444" t="s">
        <v>227</v>
      </c>
      <c r="H444">
        <v>12391174000101</v>
      </c>
      <c r="J444" t="s">
        <v>3085</v>
      </c>
      <c r="K444" t="s">
        <v>3085</v>
      </c>
      <c r="L444" t="s">
        <v>3087</v>
      </c>
      <c r="N444" t="s">
        <v>3088</v>
      </c>
      <c r="Q444" t="s">
        <v>778</v>
      </c>
      <c r="R444" t="s">
        <v>3089</v>
      </c>
      <c r="S444" t="s">
        <v>932</v>
      </c>
      <c r="T444" t="s">
        <v>805</v>
      </c>
      <c r="X444" t="s">
        <v>780</v>
      </c>
      <c r="Y444" t="s">
        <v>857</v>
      </c>
      <c r="AA444" s="31">
        <v>46173</v>
      </c>
      <c r="AB444">
        <v>831608</v>
      </c>
      <c r="AC444">
        <v>4898</v>
      </c>
      <c r="AD444">
        <v>63</v>
      </c>
      <c r="AE444" t="s">
        <v>44</v>
      </c>
      <c r="AF444" s="31">
        <v>46064</v>
      </c>
      <c r="AG444" s="61">
        <v>0.41652777777777777</v>
      </c>
      <c r="AI444" t="s">
        <v>782</v>
      </c>
      <c r="AJ444" s="31"/>
      <c r="AK444" s="61"/>
      <c r="AO444" t="s">
        <v>393</v>
      </c>
      <c r="AQ444" t="s">
        <v>393</v>
      </c>
      <c r="AS444" s="31">
        <v>46126</v>
      </c>
      <c r="AT444">
        <v>50</v>
      </c>
      <c r="AY444">
        <v>1</v>
      </c>
    </row>
    <row r="445" spans="1:51" x14ac:dyDescent="0.3">
      <c r="A445" t="s">
        <v>44</v>
      </c>
      <c r="B445">
        <v>915</v>
      </c>
      <c r="D445">
        <v>3253</v>
      </c>
      <c r="E445" t="s">
        <v>3090</v>
      </c>
      <c r="G445" t="s">
        <v>402</v>
      </c>
      <c r="J445" t="s">
        <v>3091</v>
      </c>
      <c r="K445" t="s">
        <v>3091</v>
      </c>
      <c r="L445">
        <v>14996930353</v>
      </c>
      <c r="N445" t="s">
        <v>1326</v>
      </c>
      <c r="Q445" t="s">
        <v>778</v>
      </c>
      <c r="W445" t="s">
        <v>1718</v>
      </c>
      <c r="X445" t="s">
        <v>780</v>
      </c>
      <c r="Y445" t="s">
        <v>793</v>
      </c>
      <c r="AA445" s="31">
        <v>46142</v>
      </c>
      <c r="AB445">
        <v>10240</v>
      </c>
      <c r="AC445">
        <v>2000</v>
      </c>
      <c r="AD445">
        <v>63</v>
      </c>
      <c r="AE445" t="s">
        <v>44</v>
      </c>
      <c r="AF445" s="31">
        <v>46064</v>
      </c>
      <c r="AG445" s="61">
        <v>0.43546296296296289</v>
      </c>
      <c r="AI445" t="s">
        <v>782</v>
      </c>
      <c r="AJ445" s="31"/>
      <c r="AK445" s="61"/>
      <c r="AO445" t="s">
        <v>403</v>
      </c>
      <c r="AQ445" t="s">
        <v>403</v>
      </c>
      <c r="AS445" s="31"/>
      <c r="AT445">
        <v>30</v>
      </c>
      <c r="AY445">
        <v>1</v>
      </c>
    </row>
    <row r="446" spans="1:51" x14ac:dyDescent="0.3">
      <c r="A446" t="s">
        <v>22</v>
      </c>
      <c r="B446">
        <v>919</v>
      </c>
      <c r="D446">
        <v>3227</v>
      </c>
      <c r="E446" t="s">
        <v>4758</v>
      </c>
      <c r="G446" t="s">
        <v>459</v>
      </c>
      <c r="J446" t="s">
        <v>4759</v>
      </c>
      <c r="K446" t="s">
        <v>4759</v>
      </c>
      <c r="L446">
        <v>17996751231</v>
      </c>
      <c r="N446" t="s">
        <v>3094</v>
      </c>
      <c r="Q446" t="s">
        <v>778</v>
      </c>
      <c r="T446" t="s">
        <v>2541</v>
      </c>
      <c r="W446" t="s">
        <v>2791</v>
      </c>
      <c r="X446" t="s">
        <v>780</v>
      </c>
      <c r="Y446" t="s">
        <v>857</v>
      </c>
      <c r="AA446" s="31"/>
      <c r="AD446">
        <v>29</v>
      </c>
      <c r="AE446" t="s">
        <v>22</v>
      </c>
      <c r="AF446" s="31">
        <v>46064</v>
      </c>
      <c r="AG446" s="61">
        <v>0.4732986111111111</v>
      </c>
      <c r="AI446" t="s">
        <v>795</v>
      </c>
      <c r="AJ446" s="31">
        <v>46093</v>
      </c>
      <c r="AK446" s="61">
        <v>0.72518518518518515</v>
      </c>
      <c r="AL446" t="s">
        <v>1226</v>
      </c>
      <c r="AO446" t="s">
        <v>395</v>
      </c>
      <c r="AP446" t="s">
        <v>22</v>
      </c>
      <c r="AQ446" t="s">
        <v>395</v>
      </c>
      <c r="AS446" s="31">
        <v>46112</v>
      </c>
      <c r="AT446">
        <v>30</v>
      </c>
      <c r="AV446" t="s">
        <v>47</v>
      </c>
      <c r="AY446">
        <v>1</v>
      </c>
    </row>
    <row r="447" spans="1:51" x14ac:dyDescent="0.3">
      <c r="A447" t="s">
        <v>31</v>
      </c>
      <c r="B447">
        <v>920</v>
      </c>
      <c r="D447">
        <v>3230</v>
      </c>
      <c r="E447" t="s">
        <v>3095</v>
      </c>
      <c r="G447" t="s">
        <v>379</v>
      </c>
      <c r="H447">
        <v>36377920000170</v>
      </c>
      <c r="J447" t="s">
        <v>3096</v>
      </c>
      <c r="K447" t="s">
        <v>3096</v>
      </c>
      <c r="L447" t="s">
        <v>4760</v>
      </c>
      <c r="N447" t="s">
        <v>3098</v>
      </c>
      <c r="Q447" t="s">
        <v>778</v>
      </c>
      <c r="R447" t="s">
        <v>4761</v>
      </c>
      <c r="S447" t="s">
        <v>1105</v>
      </c>
      <c r="T447" t="s">
        <v>2541</v>
      </c>
      <c r="W447" t="s">
        <v>2791</v>
      </c>
      <c r="X447" t="s">
        <v>780</v>
      </c>
      <c r="Y447" t="s">
        <v>793</v>
      </c>
      <c r="AA447" s="31">
        <v>46142</v>
      </c>
      <c r="AB447">
        <v>7784244</v>
      </c>
      <c r="AC447">
        <v>144748</v>
      </c>
      <c r="AD447">
        <v>14</v>
      </c>
      <c r="AE447" t="s">
        <v>22</v>
      </c>
      <c r="AF447" s="31">
        <v>46064</v>
      </c>
      <c r="AG447" s="61">
        <v>0.47391203703703699</v>
      </c>
      <c r="AI447" t="s">
        <v>795</v>
      </c>
      <c r="AJ447" s="31">
        <v>46078</v>
      </c>
      <c r="AK447" s="61">
        <v>0.43623842592592588</v>
      </c>
      <c r="AL447" t="s">
        <v>867</v>
      </c>
      <c r="AO447" t="s">
        <v>380</v>
      </c>
      <c r="AP447" t="s">
        <v>31</v>
      </c>
      <c r="AQ447" t="s">
        <v>4762</v>
      </c>
      <c r="AS447" s="31">
        <v>46077</v>
      </c>
      <c r="AT447">
        <v>30</v>
      </c>
      <c r="AV447" t="s">
        <v>321</v>
      </c>
      <c r="AY447">
        <v>1</v>
      </c>
    </row>
    <row r="448" spans="1:51" x14ac:dyDescent="0.3">
      <c r="A448" t="s">
        <v>22</v>
      </c>
      <c r="B448">
        <v>921</v>
      </c>
      <c r="D448">
        <v>3231</v>
      </c>
      <c r="E448" t="s">
        <v>4763</v>
      </c>
      <c r="G448" t="s">
        <v>3099</v>
      </c>
      <c r="J448" t="s">
        <v>3100</v>
      </c>
      <c r="K448" t="s">
        <v>3100</v>
      </c>
      <c r="L448">
        <v>85996031544</v>
      </c>
      <c r="N448" t="s">
        <v>3102</v>
      </c>
      <c r="Q448" t="s">
        <v>778</v>
      </c>
      <c r="T448" t="s">
        <v>2541</v>
      </c>
      <c r="W448" t="s">
        <v>2559</v>
      </c>
      <c r="X448" t="s">
        <v>780</v>
      </c>
      <c r="Y448" t="s">
        <v>897</v>
      </c>
      <c r="AA448" s="31">
        <v>46081</v>
      </c>
      <c r="AD448">
        <v>16</v>
      </c>
      <c r="AE448" t="s">
        <v>22</v>
      </c>
      <c r="AF448" s="31">
        <v>46064</v>
      </c>
      <c r="AG448" s="61">
        <v>0.47487268518518522</v>
      </c>
      <c r="AI448" t="s">
        <v>795</v>
      </c>
      <c r="AJ448" s="31">
        <v>46080</v>
      </c>
      <c r="AK448" s="61">
        <v>0.89760416666666665</v>
      </c>
      <c r="AL448" t="s">
        <v>1226</v>
      </c>
      <c r="AP448" t="s">
        <v>22</v>
      </c>
      <c r="AS448" s="31">
        <v>46079</v>
      </c>
      <c r="AT448">
        <v>30</v>
      </c>
      <c r="AY448">
        <v>1</v>
      </c>
    </row>
    <row r="449" spans="1:51" x14ac:dyDescent="0.3">
      <c r="A449" t="s">
        <v>22</v>
      </c>
      <c r="B449">
        <v>922</v>
      </c>
      <c r="D449">
        <v>3232</v>
      </c>
      <c r="E449" t="s">
        <v>4764</v>
      </c>
      <c r="G449" t="s">
        <v>3103</v>
      </c>
      <c r="J449" t="s">
        <v>3104</v>
      </c>
      <c r="K449" t="s">
        <v>3104</v>
      </c>
      <c r="L449">
        <v>41987097843</v>
      </c>
      <c r="N449" t="s">
        <v>3106</v>
      </c>
      <c r="Q449" t="s">
        <v>778</v>
      </c>
      <c r="T449" t="s">
        <v>2541</v>
      </c>
      <c r="W449" t="s">
        <v>2791</v>
      </c>
      <c r="X449" t="s">
        <v>780</v>
      </c>
      <c r="Y449" t="s">
        <v>857</v>
      </c>
      <c r="AA449" s="31">
        <v>46080</v>
      </c>
      <c r="AD449">
        <v>16</v>
      </c>
      <c r="AE449" t="s">
        <v>22</v>
      </c>
      <c r="AF449" s="31">
        <v>46064</v>
      </c>
      <c r="AG449" s="61">
        <v>0.47547453703703701</v>
      </c>
      <c r="AI449" t="s">
        <v>795</v>
      </c>
      <c r="AJ449" s="31">
        <v>46080</v>
      </c>
      <c r="AK449" s="61">
        <v>0.89387731481481481</v>
      </c>
      <c r="AL449" t="s">
        <v>1226</v>
      </c>
      <c r="AP449" t="s">
        <v>22</v>
      </c>
      <c r="AS449" s="31"/>
      <c r="AT449">
        <v>30</v>
      </c>
      <c r="AY449">
        <v>1</v>
      </c>
    </row>
    <row r="450" spans="1:51" x14ac:dyDescent="0.3">
      <c r="A450" t="s">
        <v>31</v>
      </c>
      <c r="B450">
        <v>923</v>
      </c>
      <c r="D450">
        <v>3236</v>
      </c>
      <c r="G450" t="s">
        <v>3107</v>
      </c>
      <c r="J450" t="s">
        <v>3108</v>
      </c>
      <c r="K450" t="s">
        <v>3108</v>
      </c>
      <c r="L450">
        <v>61984251198</v>
      </c>
      <c r="N450" t="s">
        <v>3110</v>
      </c>
      <c r="Q450" t="s">
        <v>778</v>
      </c>
      <c r="T450" t="s">
        <v>2541</v>
      </c>
      <c r="W450" t="s">
        <v>2791</v>
      </c>
      <c r="X450" t="s">
        <v>780</v>
      </c>
      <c r="Y450" t="s">
        <v>897</v>
      </c>
      <c r="AA450" s="31">
        <v>46142</v>
      </c>
      <c r="AD450">
        <v>16</v>
      </c>
      <c r="AE450" t="s">
        <v>22</v>
      </c>
      <c r="AF450" s="31">
        <v>46064</v>
      </c>
      <c r="AG450" s="61">
        <v>0.47722222222222221</v>
      </c>
      <c r="AI450" t="s">
        <v>795</v>
      </c>
      <c r="AJ450" s="31">
        <v>46080</v>
      </c>
      <c r="AK450" s="61">
        <v>0.7245949074074074</v>
      </c>
      <c r="AL450" t="s">
        <v>867</v>
      </c>
      <c r="AP450" t="s">
        <v>31</v>
      </c>
      <c r="AQ450" t="s">
        <v>458</v>
      </c>
      <c r="AS450" s="31">
        <v>46078</v>
      </c>
      <c r="AT450">
        <v>30</v>
      </c>
      <c r="AV450" t="s">
        <v>4765</v>
      </c>
      <c r="AY450">
        <v>1</v>
      </c>
    </row>
    <row r="451" spans="1:51" x14ac:dyDescent="0.3">
      <c r="A451" t="s">
        <v>44</v>
      </c>
      <c r="B451">
        <v>924</v>
      </c>
      <c r="D451">
        <v>3238</v>
      </c>
      <c r="E451" t="s">
        <v>4766</v>
      </c>
      <c r="G451" t="s">
        <v>3112</v>
      </c>
      <c r="J451" t="s">
        <v>3112</v>
      </c>
      <c r="K451" t="s">
        <v>3112</v>
      </c>
      <c r="L451">
        <v>11910369959</v>
      </c>
      <c r="N451" t="s">
        <v>3114</v>
      </c>
      <c r="Q451" t="s">
        <v>778</v>
      </c>
      <c r="T451" t="s">
        <v>2541</v>
      </c>
      <c r="W451" t="s">
        <v>2559</v>
      </c>
      <c r="X451" t="s">
        <v>780</v>
      </c>
      <c r="Y451" t="s">
        <v>897</v>
      </c>
      <c r="AA451" s="31"/>
      <c r="AD451">
        <v>15</v>
      </c>
      <c r="AE451" t="s">
        <v>22</v>
      </c>
      <c r="AF451" s="31">
        <v>46064</v>
      </c>
      <c r="AG451" s="61">
        <v>0.47901620370370368</v>
      </c>
      <c r="AI451" t="s">
        <v>795</v>
      </c>
      <c r="AJ451" s="31">
        <v>46079</v>
      </c>
      <c r="AK451" s="61">
        <v>0.9643518518518519</v>
      </c>
      <c r="AL451" t="s">
        <v>1226</v>
      </c>
      <c r="AS451" s="31">
        <v>46072</v>
      </c>
      <c r="AT451">
        <v>30</v>
      </c>
      <c r="AY451">
        <v>1</v>
      </c>
    </row>
    <row r="452" spans="1:51" x14ac:dyDescent="0.3">
      <c r="A452" t="s">
        <v>44</v>
      </c>
      <c r="B452">
        <v>925</v>
      </c>
      <c r="D452">
        <v>3244</v>
      </c>
      <c r="E452" t="s">
        <v>4767</v>
      </c>
      <c r="G452" t="s">
        <v>4768</v>
      </c>
      <c r="H452">
        <v>32534969000139</v>
      </c>
      <c r="J452" t="s">
        <v>3117</v>
      </c>
      <c r="K452" t="s">
        <v>3117</v>
      </c>
      <c r="L452">
        <v>6392247104</v>
      </c>
      <c r="N452" t="s">
        <v>3119</v>
      </c>
      <c r="Q452" t="s">
        <v>778</v>
      </c>
      <c r="S452" t="s">
        <v>3120</v>
      </c>
      <c r="T452" t="s">
        <v>1191</v>
      </c>
      <c r="W452" t="s">
        <v>2791</v>
      </c>
      <c r="X452" t="s">
        <v>780</v>
      </c>
      <c r="Y452" t="s">
        <v>793</v>
      </c>
      <c r="AA452" s="31">
        <v>46142</v>
      </c>
      <c r="AB452">
        <v>16960</v>
      </c>
      <c r="AC452">
        <v>32775</v>
      </c>
      <c r="AD452">
        <v>41</v>
      </c>
      <c r="AE452" t="s">
        <v>22</v>
      </c>
      <c r="AF452" s="31">
        <v>46064</v>
      </c>
      <c r="AG452" s="61">
        <v>0.47952546296296289</v>
      </c>
      <c r="AI452" t="s">
        <v>795</v>
      </c>
      <c r="AJ452" s="31">
        <v>46105</v>
      </c>
      <c r="AK452" s="61">
        <v>0.66938657407407409</v>
      </c>
      <c r="AL452" t="s">
        <v>796</v>
      </c>
      <c r="AM452" t="s">
        <v>4769</v>
      </c>
      <c r="AO452" t="s">
        <v>392</v>
      </c>
      <c r="AQ452" t="s">
        <v>403</v>
      </c>
      <c r="AR452" t="s">
        <v>4770</v>
      </c>
      <c r="AS452" s="31">
        <v>46090</v>
      </c>
      <c r="AT452">
        <v>30</v>
      </c>
      <c r="AY452">
        <v>1</v>
      </c>
    </row>
    <row r="453" spans="1:51" x14ac:dyDescent="0.3">
      <c r="A453" t="s">
        <v>44</v>
      </c>
      <c r="B453">
        <v>926</v>
      </c>
      <c r="D453">
        <v>3237</v>
      </c>
      <c r="E453" t="s">
        <v>3121</v>
      </c>
      <c r="G453" t="s">
        <v>3122</v>
      </c>
      <c r="J453" t="s">
        <v>3123</v>
      </c>
      <c r="K453" t="s">
        <v>3123</v>
      </c>
      <c r="L453">
        <v>81996498759</v>
      </c>
      <c r="N453" t="s">
        <v>3125</v>
      </c>
      <c r="Q453" t="s">
        <v>778</v>
      </c>
      <c r="T453" t="s">
        <v>2541</v>
      </c>
      <c r="W453" t="s">
        <v>2559</v>
      </c>
      <c r="X453" t="s">
        <v>780</v>
      </c>
      <c r="Y453" t="s">
        <v>897</v>
      </c>
      <c r="AA453" s="31"/>
      <c r="AD453">
        <v>28</v>
      </c>
      <c r="AE453" t="s">
        <v>22</v>
      </c>
      <c r="AF453" s="31">
        <v>46064</v>
      </c>
      <c r="AG453" s="61">
        <v>0.48769675925925932</v>
      </c>
      <c r="AI453" t="s">
        <v>795</v>
      </c>
      <c r="AJ453" s="31">
        <v>46092</v>
      </c>
      <c r="AK453" s="61">
        <v>0.51811342592592591</v>
      </c>
      <c r="AL453" t="s">
        <v>796</v>
      </c>
      <c r="AS453" s="31">
        <v>46072</v>
      </c>
      <c r="AT453">
        <v>30</v>
      </c>
      <c r="AY453">
        <v>1</v>
      </c>
    </row>
    <row r="454" spans="1:51" x14ac:dyDescent="0.3">
      <c r="A454" t="s">
        <v>31</v>
      </c>
      <c r="B454">
        <v>927</v>
      </c>
      <c r="D454">
        <v>3239</v>
      </c>
      <c r="E454" t="s">
        <v>3126</v>
      </c>
      <c r="G454" t="s">
        <v>3127</v>
      </c>
      <c r="J454" t="s">
        <v>3128</v>
      </c>
      <c r="K454" t="s">
        <v>3128</v>
      </c>
      <c r="L454">
        <v>6596196462</v>
      </c>
      <c r="N454" t="s">
        <v>3130</v>
      </c>
      <c r="Q454" t="s">
        <v>778</v>
      </c>
      <c r="T454" t="s">
        <v>2541</v>
      </c>
      <c r="W454" t="s">
        <v>2559</v>
      </c>
      <c r="X454" t="s">
        <v>780</v>
      </c>
      <c r="Y454" t="s">
        <v>781</v>
      </c>
      <c r="AA454" s="31"/>
      <c r="AD454">
        <v>2</v>
      </c>
      <c r="AE454" t="s">
        <v>22</v>
      </c>
      <c r="AF454" s="31">
        <v>46064</v>
      </c>
      <c r="AG454" s="61">
        <v>0.48925925925925928</v>
      </c>
      <c r="AI454" t="s">
        <v>795</v>
      </c>
      <c r="AJ454" s="31">
        <v>46066</v>
      </c>
      <c r="AK454" s="61">
        <v>0.72755787037037034</v>
      </c>
      <c r="AL454" t="s">
        <v>1226</v>
      </c>
      <c r="AP454" t="s">
        <v>31</v>
      </c>
      <c r="AS454" s="31">
        <v>46066</v>
      </c>
      <c r="AT454">
        <v>30</v>
      </c>
      <c r="AY454">
        <v>1</v>
      </c>
    </row>
    <row r="455" spans="1:51" x14ac:dyDescent="0.3">
      <c r="A455" t="s">
        <v>44</v>
      </c>
      <c r="B455">
        <v>928</v>
      </c>
      <c r="D455">
        <v>3242</v>
      </c>
      <c r="E455" t="s">
        <v>3131</v>
      </c>
      <c r="G455" t="s">
        <v>2809</v>
      </c>
      <c r="H455">
        <v>9205460000120</v>
      </c>
      <c r="J455" t="s">
        <v>2810</v>
      </c>
      <c r="K455" t="s">
        <v>2810</v>
      </c>
      <c r="L455" t="s">
        <v>2811</v>
      </c>
      <c r="Q455" t="s">
        <v>778</v>
      </c>
      <c r="R455" t="s">
        <v>2812</v>
      </c>
      <c r="S455" t="s">
        <v>1067</v>
      </c>
      <c r="T455" t="s">
        <v>1191</v>
      </c>
      <c r="W455" t="s">
        <v>2791</v>
      </c>
      <c r="X455" t="s">
        <v>780</v>
      </c>
      <c r="Y455" t="s">
        <v>897</v>
      </c>
      <c r="AA455" s="31"/>
      <c r="AD455">
        <v>8</v>
      </c>
      <c r="AE455" t="s">
        <v>22</v>
      </c>
      <c r="AF455" s="31">
        <v>46064</v>
      </c>
      <c r="AG455" s="61">
        <v>0.49402777777777779</v>
      </c>
      <c r="AI455" t="s">
        <v>795</v>
      </c>
      <c r="AJ455" s="31">
        <v>46072</v>
      </c>
      <c r="AK455" s="61">
        <v>0.41185185185185191</v>
      </c>
      <c r="AL455" t="s">
        <v>1358</v>
      </c>
      <c r="AM455" t="s">
        <v>4771</v>
      </c>
      <c r="AS455" s="31">
        <v>46071</v>
      </c>
      <c r="AT455">
        <v>30</v>
      </c>
      <c r="AY455">
        <v>1</v>
      </c>
    </row>
    <row r="456" spans="1:51" x14ac:dyDescent="0.3">
      <c r="A456" t="s">
        <v>44</v>
      </c>
      <c r="B456">
        <v>929</v>
      </c>
      <c r="D456">
        <v>3235</v>
      </c>
      <c r="E456" t="s">
        <v>4772</v>
      </c>
      <c r="G456" t="s">
        <v>421</v>
      </c>
      <c r="J456" t="s">
        <v>3133</v>
      </c>
      <c r="K456" t="s">
        <v>3133</v>
      </c>
      <c r="L456" t="s">
        <v>3134</v>
      </c>
      <c r="N456" t="s">
        <v>3135</v>
      </c>
      <c r="Q456" t="s">
        <v>778</v>
      </c>
      <c r="R456" t="s">
        <v>1765</v>
      </c>
      <c r="T456" t="s">
        <v>814</v>
      </c>
      <c r="W456" t="s">
        <v>1186</v>
      </c>
      <c r="X456" t="s">
        <v>780</v>
      </c>
      <c r="Y456" t="s">
        <v>807</v>
      </c>
      <c r="AA456" s="31"/>
      <c r="AB456">
        <v>41040</v>
      </c>
      <c r="AC456">
        <v>384858</v>
      </c>
      <c r="AD456">
        <v>29</v>
      </c>
      <c r="AE456" t="s">
        <v>22</v>
      </c>
      <c r="AF456" s="31">
        <v>46064</v>
      </c>
      <c r="AG456" s="61">
        <v>0.49530092592592601</v>
      </c>
      <c r="AI456" t="s">
        <v>795</v>
      </c>
      <c r="AJ456" s="31">
        <v>46093</v>
      </c>
      <c r="AK456" s="61">
        <v>0.59311342592592597</v>
      </c>
      <c r="AL456" t="s">
        <v>858</v>
      </c>
      <c r="AM456" t="s">
        <v>4772</v>
      </c>
      <c r="AO456" t="s">
        <v>393</v>
      </c>
      <c r="AQ456" t="s">
        <v>420</v>
      </c>
      <c r="AR456" t="s">
        <v>480</v>
      </c>
      <c r="AS456" s="31">
        <v>46093</v>
      </c>
      <c r="AT456">
        <v>30</v>
      </c>
      <c r="AY456">
        <v>1</v>
      </c>
    </row>
    <row r="457" spans="1:51" x14ac:dyDescent="0.3">
      <c r="A457" t="s">
        <v>31</v>
      </c>
      <c r="B457">
        <v>930</v>
      </c>
      <c r="D457">
        <v>3243</v>
      </c>
      <c r="E457" t="s">
        <v>4773</v>
      </c>
      <c r="G457" t="s">
        <v>3137</v>
      </c>
      <c r="H457">
        <v>14590342000113</v>
      </c>
      <c r="J457" t="s">
        <v>3138</v>
      </c>
      <c r="K457" t="s">
        <v>3138</v>
      </c>
      <c r="L457" t="s">
        <v>3139</v>
      </c>
      <c r="N457" t="s">
        <v>3140</v>
      </c>
      <c r="Q457" t="s">
        <v>778</v>
      </c>
      <c r="R457" t="s">
        <v>3141</v>
      </c>
      <c r="T457" t="s">
        <v>814</v>
      </c>
      <c r="W457" t="s">
        <v>2842</v>
      </c>
      <c r="X457" t="s">
        <v>780</v>
      </c>
      <c r="Y457" t="s">
        <v>793</v>
      </c>
      <c r="AA457" s="31"/>
      <c r="AD457">
        <v>47</v>
      </c>
      <c r="AE457" t="s">
        <v>22</v>
      </c>
      <c r="AF457" s="31">
        <v>46064</v>
      </c>
      <c r="AG457" s="61">
        <v>0.49583333333333329</v>
      </c>
      <c r="AI457" t="s">
        <v>795</v>
      </c>
      <c r="AJ457" s="31">
        <v>46111</v>
      </c>
      <c r="AK457" s="61">
        <v>0.65975694444444444</v>
      </c>
      <c r="AL457" t="s">
        <v>796</v>
      </c>
      <c r="AP457" t="s">
        <v>31</v>
      </c>
      <c r="AQ457" t="s">
        <v>4664</v>
      </c>
      <c r="AS457" s="31">
        <v>46111</v>
      </c>
      <c r="AT457">
        <v>30</v>
      </c>
      <c r="AV457" t="s">
        <v>3142</v>
      </c>
      <c r="AY457">
        <v>1</v>
      </c>
    </row>
    <row r="458" spans="1:51" x14ac:dyDescent="0.3">
      <c r="A458" t="s">
        <v>44</v>
      </c>
      <c r="B458">
        <v>931</v>
      </c>
      <c r="D458">
        <v>3233</v>
      </c>
      <c r="E458" t="s">
        <v>3143</v>
      </c>
      <c r="G458" t="s">
        <v>3144</v>
      </c>
      <c r="H458">
        <v>36096287000142</v>
      </c>
      <c r="J458" t="s">
        <v>3145</v>
      </c>
      <c r="K458" t="s">
        <v>3145</v>
      </c>
      <c r="L458" t="s">
        <v>3146</v>
      </c>
      <c r="N458" t="s">
        <v>3147</v>
      </c>
      <c r="Q458" t="s">
        <v>778</v>
      </c>
      <c r="R458" t="s">
        <v>3148</v>
      </c>
      <c r="T458" t="s">
        <v>814</v>
      </c>
      <c r="W458" t="s">
        <v>3149</v>
      </c>
      <c r="X458" t="s">
        <v>780</v>
      </c>
      <c r="Y458" t="s">
        <v>897</v>
      </c>
      <c r="AA458" s="31"/>
      <c r="AD458">
        <v>0</v>
      </c>
      <c r="AE458" t="s">
        <v>22</v>
      </c>
      <c r="AF458" s="31">
        <v>46064</v>
      </c>
      <c r="AG458" s="61">
        <v>0.49716435185185193</v>
      </c>
      <c r="AI458" t="s">
        <v>795</v>
      </c>
      <c r="AJ458" s="31">
        <v>46064</v>
      </c>
      <c r="AK458" s="61">
        <v>0.64505787037037032</v>
      </c>
      <c r="AL458" t="s">
        <v>1226</v>
      </c>
      <c r="AM458" t="s">
        <v>2245</v>
      </c>
      <c r="AS458" s="31"/>
      <c r="AT458">
        <v>30</v>
      </c>
      <c r="AY458">
        <v>1</v>
      </c>
    </row>
    <row r="459" spans="1:51" x14ac:dyDescent="0.3">
      <c r="A459" t="s">
        <v>31</v>
      </c>
      <c r="B459">
        <v>932</v>
      </c>
      <c r="D459">
        <v>3234</v>
      </c>
      <c r="E459" t="s">
        <v>4774</v>
      </c>
      <c r="G459" t="s">
        <v>391</v>
      </c>
      <c r="H459">
        <v>1498495000193</v>
      </c>
      <c r="J459" t="s">
        <v>3151</v>
      </c>
      <c r="K459" t="s">
        <v>3151</v>
      </c>
      <c r="L459" t="s">
        <v>3152</v>
      </c>
      <c r="N459" t="s">
        <v>3153</v>
      </c>
      <c r="Q459" t="s">
        <v>778</v>
      </c>
      <c r="R459" t="s">
        <v>3154</v>
      </c>
      <c r="T459" t="s">
        <v>814</v>
      </c>
      <c r="W459" t="s">
        <v>2878</v>
      </c>
      <c r="X459" t="s">
        <v>780</v>
      </c>
      <c r="Y459" t="s">
        <v>807</v>
      </c>
      <c r="AA459" s="31">
        <v>46142</v>
      </c>
      <c r="AB459">
        <v>16143</v>
      </c>
      <c r="AC459">
        <v>690</v>
      </c>
      <c r="AD459">
        <v>63</v>
      </c>
      <c r="AE459" t="s">
        <v>22</v>
      </c>
      <c r="AF459" s="31">
        <v>46064</v>
      </c>
      <c r="AG459" s="61">
        <v>0.49763888888888891</v>
      </c>
      <c r="AI459" t="s">
        <v>782</v>
      </c>
      <c r="AJ459" s="31"/>
      <c r="AK459" s="61"/>
      <c r="AO459" t="s">
        <v>392</v>
      </c>
      <c r="AP459" t="s">
        <v>31</v>
      </c>
      <c r="AQ459" t="s">
        <v>392</v>
      </c>
      <c r="AS459" s="31">
        <v>46127</v>
      </c>
      <c r="AT459">
        <v>30</v>
      </c>
      <c r="AV459" t="s">
        <v>63</v>
      </c>
      <c r="AY459">
        <v>1</v>
      </c>
    </row>
    <row r="460" spans="1:51" x14ac:dyDescent="0.3">
      <c r="A460" t="s">
        <v>44</v>
      </c>
      <c r="B460">
        <v>933</v>
      </c>
      <c r="D460">
        <v>3262</v>
      </c>
      <c r="F460" t="s">
        <v>3155</v>
      </c>
      <c r="G460" t="s">
        <v>222</v>
      </c>
      <c r="H460">
        <v>35754976000215</v>
      </c>
      <c r="J460" t="s">
        <v>3155</v>
      </c>
      <c r="K460" t="s">
        <v>3155</v>
      </c>
      <c r="L460" t="s">
        <v>3156</v>
      </c>
      <c r="N460" t="s">
        <v>3157</v>
      </c>
      <c r="Q460" t="s">
        <v>778</v>
      </c>
      <c r="R460" t="s">
        <v>3158</v>
      </c>
      <c r="S460" t="s">
        <v>932</v>
      </c>
      <c r="T460" t="s">
        <v>805</v>
      </c>
      <c r="X460" t="s">
        <v>780</v>
      </c>
      <c r="Y460" t="s">
        <v>857</v>
      </c>
      <c r="AA460" s="31"/>
      <c r="AB460">
        <v>9109003</v>
      </c>
      <c r="AC460">
        <v>54126</v>
      </c>
      <c r="AD460">
        <v>63</v>
      </c>
      <c r="AE460" t="s">
        <v>44</v>
      </c>
      <c r="AF460" s="31">
        <v>46064</v>
      </c>
      <c r="AG460" s="61">
        <v>0.75549768518518523</v>
      </c>
      <c r="AI460" t="s">
        <v>782</v>
      </c>
      <c r="AJ460" s="31"/>
      <c r="AK460" s="61"/>
      <c r="AO460" t="s">
        <v>403</v>
      </c>
      <c r="AQ460" t="s">
        <v>403</v>
      </c>
      <c r="AR460" t="s">
        <v>480</v>
      </c>
      <c r="AS460" s="31"/>
      <c r="AT460">
        <v>50</v>
      </c>
      <c r="AY460">
        <v>1</v>
      </c>
    </row>
    <row r="461" spans="1:51" x14ac:dyDescent="0.3">
      <c r="A461" t="s">
        <v>44</v>
      </c>
      <c r="B461">
        <v>934</v>
      </c>
      <c r="D461">
        <v>3263</v>
      </c>
      <c r="E461" t="s">
        <v>4775</v>
      </c>
      <c r="F461" t="s">
        <v>3159</v>
      </c>
      <c r="G461" t="s">
        <v>437</v>
      </c>
      <c r="H461">
        <v>51540058000169</v>
      </c>
      <c r="J461" t="s">
        <v>3159</v>
      </c>
      <c r="K461" t="s">
        <v>3159</v>
      </c>
      <c r="L461" t="s">
        <v>4776</v>
      </c>
      <c r="Q461" t="s">
        <v>778</v>
      </c>
      <c r="R461" t="s">
        <v>1094</v>
      </c>
      <c r="S461" t="s">
        <v>790</v>
      </c>
      <c r="T461" t="s">
        <v>805</v>
      </c>
      <c r="X461" t="s">
        <v>780</v>
      </c>
      <c r="Y461" t="s">
        <v>816</v>
      </c>
      <c r="AA461" s="31"/>
      <c r="AB461">
        <v>68400</v>
      </c>
      <c r="AC461">
        <v>114607</v>
      </c>
      <c r="AD461">
        <v>49</v>
      </c>
      <c r="AE461" t="s">
        <v>44</v>
      </c>
      <c r="AF461" s="31">
        <v>46064</v>
      </c>
      <c r="AG461" s="61">
        <v>0.76371527777777781</v>
      </c>
      <c r="AI461" t="s">
        <v>818</v>
      </c>
      <c r="AJ461" s="31">
        <v>46113</v>
      </c>
      <c r="AK461" s="61">
        <v>0.44179398148148152</v>
      </c>
      <c r="AO461" t="s">
        <v>403</v>
      </c>
      <c r="AQ461" t="s">
        <v>403</v>
      </c>
      <c r="AR461" t="s">
        <v>4668</v>
      </c>
      <c r="AS461" s="31">
        <v>46086</v>
      </c>
      <c r="AT461">
        <v>70</v>
      </c>
      <c r="AY461">
        <v>1</v>
      </c>
    </row>
    <row r="462" spans="1:51" x14ac:dyDescent="0.3">
      <c r="A462" t="s">
        <v>22</v>
      </c>
      <c r="B462">
        <v>935</v>
      </c>
      <c r="D462">
        <v>3259</v>
      </c>
      <c r="E462" t="s">
        <v>3164</v>
      </c>
      <c r="G462" t="s">
        <v>3165</v>
      </c>
      <c r="J462" t="s">
        <v>3166</v>
      </c>
      <c r="K462" t="s">
        <v>3166</v>
      </c>
      <c r="L462" t="s">
        <v>3167</v>
      </c>
      <c r="N462" t="s">
        <v>3168</v>
      </c>
      <c r="Q462" t="s">
        <v>778</v>
      </c>
      <c r="R462" t="s">
        <v>3169</v>
      </c>
      <c r="T462" t="s">
        <v>814</v>
      </c>
      <c r="W462" t="s">
        <v>1186</v>
      </c>
      <c r="X462" t="s">
        <v>780</v>
      </c>
      <c r="Y462" t="s">
        <v>897</v>
      </c>
      <c r="AA462" s="31">
        <v>46081</v>
      </c>
      <c r="AD462">
        <v>1</v>
      </c>
      <c r="AE462" t="s">
        <v>22</v>
      </c>
      <c r="AF462" s="31">
        <v>46065</v>
      </c>
      <c r="AG462" s="61">
        <v>0.1035185185185185</v>
      </c>
      <c r="AI462" t="s">
        <v>795</v>
      </c>
      <c r="AJ462" s="31">
        <v>46066</v>
      </c>
      <c r="AK462" s="61">
        <v>0.72414351851851855</v>
      </c>
      <c r="AL462" t="s">
        <v>867</v>
      </c>
      <c r="AP462" t="s">
        <v>22</v>
      </c>
      <c r="AQ462" t="s">
        <v>405</v>
      </c>
      <c r="AS462" s="31"/>
      <c r="AT462">
        <v>30</v>
      </c>
      <c r="AV462" t="s">
        <v>321</v>
      </c>
      <c r="AY462">
        <v>1</v>
      </c>
    </row>
    <row r="463" spans="1:51" x14ac:dyDescent="0.3">
      <c r="A463" t="s">
        <v>44</v>
      </c>
      <c r="B463">
        <v>936</v>
      </c>
      <c r="D463">
        <v>3268</v>
      </c>
      <c r="E463" t="s">
        <v>4777</v>
      </c>
      <c r="G463" t="s">
        <v>3170</v>
      </c>
      <c r="J463" t="s">
        <v>3171</v>
      </c>
      <c r="K463" t="s">
        <v>3171</v>
      </c>
      <c r="L463">
        <v>14998549863</v>
      </c>
      <c r="N463" t="s">
        <v>3135</v>
      </c>
      <c r="Q463" t="s">
        <v>778</v>
      </c>
      <c r="X463" t="s">
        <v>780</v>
      </c>
      <c r="Y463" t="s">
        <v>807</v>
      </c>
      <c r="AA463" s="31"/>
      <c r="AD463">
        <v>27</v>
      </c>
      <c r="AE463" t="s">
        <v>44</v>
      </c>
      <c r="AF463" s="31">
        <v>46066</v>
      </c>
      <c r="AG463" s="61">
        <v>0.61993055555555554</v>
      </c>
      <c r="AI463" t="s">
        <v>795</v>
      </c>
      <c r="AJ463" s="31">
        <v>46093</v>
      </c>
      <c r="AK463" s="61">
        <v>0.59215277777777775</v>
      </c>
      <c r="AL463" t="s">
        <v>858</v>
      </c>
      <c r="AM463" t="s">
        <v>4772</v>
      </c>
      <c r="AQ463" t="s">
        <v>405</v>
      </c>
      <c r="AS463" s="31">
        <v>46093</v>
      </c>
      <c r="AT463">
        <v>50</v>
      </c>
      <c r="AY463">
        <v>1</v>
      </c>
    </row>
    <row r="464" spans="1:51" x14ac:dyDescent="0.3">
      <c r="A464" t="s">
        <v>44</v>
      </c>
      <c r="B464">
        <v>937</v>
      </c>
      <c r="D464">
        <v>3267</v>
      </c>
      <c r="E464" t="s">
        <v>4778</v>
      </c>
      <c r="G464" t="s">
        <v>3173</v>
      </c>
      <c r="H464">
        <v>3318893000106</v>
      </c>
      <c r="J464" t="s">
        <v>3174</v>
      </c>
      <c r="K464" t="s">
        <v>3174</v>
      </c>
      <c r="L464">
        <v>19974151604</v>
      </c>
      <c r="N464" t="s">
        <v>3176</v>
      </c>
      <c r="Q464" t="s">
        <v>778</v>
      </c>
      <c r="T464" t="s">
        <v>2541</v>
      </c>
      <c r="W464" t="s">
        <v>2791</v>
      </c>
      <c r="X464" t="s">
        <v>780</v>
      </c>
      <c r="Y464" t="s">
        <v>897</v>
      </c>
      <c r="AA464" s="31">
        <v>46081</v>
      </c>
      <c r="AD464">
        <v>13</v>
      </c>
      <c r="AE464" t="s">
        <v>22</v>
      </c>
      <c r="AF464" s="31">
        <v>46066</v>
      </c>
      <c r="AG464" s="61">
        <v>0.91548611111111111</v>
      </c>
      <c r="AI464" t="s">
        <v>795</v>
      </c>
      <c r="AJ464" s="31">
        <v>46079</v>
      </c>
      <c r="AK464" s="61">
        <v>0.96547453703703701</v>
      </c>
      <c r="AL464" t="s">
        <v>1226</v>
      </c>
      <c r="AP464" t="s">
        <v>44</v>
      </c>
      <c r="AS464" s="31">
        <v>46072</v>
      </c>
      <c r="AT464">
        <v>30</v>
      </c>
      <c r="AY464">
        <v>1</v>
      </c>
    </row>
    <row r="465" spans="1:51" x14ac:dyDescent="0.3">
      <c r="A465" t="s">
        <v>22</v>
      </c>
      <c r="B465">
        <v>938</v>
      </c>
      <c r="D465">
        <v>3266</v>
      </c>
      <c r="E465" t="s">
        <v>4779</v>
      </c>
      <c r="G465" t="s">
        <v>3178</v>
      </c>
      <c r="H465">
        <v>11994847000155</v>
      </c>
      <c r="J465" t="s">
        <v>3179</v>
      </c>
      <c r="K465" t="s">
        <v>3179</v>
      </c>
      <c r="L465" t="s">
        <v>3180</v>
      </c>
      <c r="N465" t="s">
        <v>3181</v>
      </c>
      <c r="Q465" t="s">
        <v>778</v>
      </c>
      <c r="R465" t="s">
        <v>3182</v>
      </c>
      <c r="T465" t="s">
        <v>814</v>
      </c>
      <c r="W465" t="s">
        <v>1198</v>
      </c>
      <c r="X465" t="s">
        <v>780</v>
      </c>
      <c r="Y465" t="s">
        <v>857</v>
      </c>
      <c r="AA465" s="31">
        <v>46081</v>
      </c>
      <c r="AD465">
        <v>6</v>
      </c>
      <c r="AE465" t="s">
        <v>22</v>
      </c>
      <c r="AF465" s="31">
        <v>46066</v>
      </c>
      <c r="AG465" s="61">
        <v>0.91730324074074077</v>
      </c>
      <c r="AI465" t="s">
        <v>795</v>
      </c>
      <c r="AJ465" s="31">
        <v>46072</v>
      </c>
      <c r="AK465" s="61">
        <v>0.72584490740740737</v>
      </c>
      <c r="AL465" t="s">
        <v>1358</v>
      </c>
      <c r="AM465" t="s">
        <v>4779</v>
      </c>
      <c r="AP465" t="s">
        <v>22</v>
      </c>
      <c r="AS465" s="31"/>
      <c r="AT465">
        <v>30</v>
      </c>
      <c r="AY465">
        <v>1</v>
      </c>
    </row>
    <row r="466" spans="1:51" x14ac:dyDescent="0.3">
      <c r="A466" t="s">
        <v>31</v>
      </c>
      <c r="B466">
        <v>945</v>
      </c>
      <c r="D466">
        <v>3271</v>
      </c>
      <c r="G466" t="s">
        <v>3183</v>
      </c>
      <c r="J466" t="s">
        <v>3184</v>
      </c>
      <c r="K466" t="s">
        <v>3184</v>
      </c>
      <c r="L466" t="s">
        <v>3185</v>
      </c>
      <c r="N466" t="s">
        <v>3186</v>
      </c>
      <c r="Q466" t="s">
        <v>778</v>
      </c>
      <c r="R466" t="s">
        <v>3187</v>
      </c>
      <c r="T466" t="s">
        <v>814</v>
      </c>
      <c r="W466" t="s">
        <v>1186</v>
      </c>
      <c r="X466" t="s">
        <v>780</v>
      </c>
      <c r="Y466" t="s">
        <v>781</v>
      </c>
      <c r="AA466" s="31"/>
      <c r="AD466">
        <v>2</v>
      </c>
      <c r="AE466" t="s">
        <v>22</v>
      </c>
      <c r="AF466" s="31">
        <v>46070</v>
      </c>
      <c r="AG466" s="61">
        <v>0.74156250000000001</v>
      </c>
      <c r="AI466" t="s">
        <v>795</v>
      </c>
      <c r="AJ466" s="31">
        <v>46072</v>
      </c>
      <c r="AK466" s="61">
        <v>0.37849537037037029</v>
      </c>
      <c r="AL466" t="s">
        <v>808</v>
      </c>
      <c r="AP466" t="s">
        <v>31</v>
      </c>
      <c r="AS466" s="31">
        <v>46071</v>
      </c>
      <c r="AT466">
        <v>30</v>
      </c>
      <c r="AV466" t="s">
        <v>47</v>
      </c>
      <c r="AY466">
        <v>1</v>
      </c>
    </row>
    <row r="467" spans="1:51" x14ac:dyDescent="0.3">
      <c r="A467" t="s">
        <v>22</v>
      </c>
      <c r="B467">
        <v>946</v>
      </c>
      <c r="D467">
        <v>3270</v>
      </c>
      <c r="E467" t="s">
        <v>4780</v>
      </c>
      <c r="G467" t="s">
        <v>3188</v>
      </c>
      <c r="J467" t="s">
        <v>3189</v>
      </c>
      <c r="K467" t="s">
        <v>3189</v>
      </c>
      <c r="L467">
        <v>71982084451</v>
      </c>
      <c r="N467" t="s">
        <v>3191</v>
      </c>
      <c r="Q467" t="s">
        <v>778</v>
      </c>
      <c r="T467" t="s">
        <v>2541</v>
      </c>
      <c r="W467" t="s">
        <v>2791</v>
      </c>
      <c r="X467" t="s">
        <v>780</v>
      </c>
      <c r="Y467" t="s">
        <v>897</v>
      </c>
      <c r="AA467" s="31">
        <v>46112</v>
      </c>
      <c r="AD467">
        <v>22</v>
      </c>
      <c r="AE467" t="s">
        <v>22</v>
      </c>
      <c r="AF467" s="31">
        <v>46071</v>
      </c>
      <c r="AG467" s="61">
        <v>0.36913194444444453</v>
      </c>
      <c r="AI467" t="s">
        <v>795</v>
      </c>
      <c r="AJ467" s="31">
        <v>46093</v>
      </c>
      <c r="AK467" s="61">
        <v>0.73062499999999997</v>
      </c>
      <c r="AL467" t="s">
        <v>1226</v>
      </c>
      <c r="AP467" t="s">
        <v>22</v>
      </c>
      <c r="AS467" s="31">
        <v>46093</v>
      </c>
      <c r="AT467">
        <v>30</v>
      </c>
      <c r="AV467" t="s">
        <v>321</v>
      </c>
      <c r="AY467">
        <v>1</v>
      </c>
    </row>
    <row r="468" spans="1:51" x14ac:dyDescent="0.3">
      <c r="A468" t="s">
        <v>44</v>
      </c>
      <c r="B468">
        <v>948</v>
      </c>
      <c r="D468">
        <v>3278</v>
      </c>
      <c r="E468" t="s">
        <v>4781</v>
      </c>
      <c r="G468" t="s">
        <v>444</v>
      </c>
      <c r="J468" t="s">
        <v>3192</v>
      </c>
      <c r="K468" t="s">
        <v>3192</v>
      </c>
      <c r="L468">
        <v>21995112577</v>
      </c>
      <c r="N468" t="s">
        <v>3194</v>
      </c>
      <c r="Q468" t="s">
        <v>778</v>
      </c>
      <c r="T468" t="s">
        <v>2541</v>
      </c>
      <c r="W468" t="s">
        <v>2791</v>
      </c>
      <c r="X468" t="s">
        <v>780</v>
      </c>
      <c r="Y468" t="s">
        <v>793</v>
      </c>
      <c r="AA468" s="31">
        <v>46081</v>
      </c>
      <c r="AB468">
        <v>16960</v>
      </c>
      <c r="AC468">
        <v>575</v>
      </c>
      <c r="AD468">
        <v>21</v>
      </c>
      <c r="AE468" t="s">
        <v>22</v>
      </c>
      <c r="AF468" s="31">
        <v>46072</v>
      </c>
      <c r="AG468" s="61">
        <v>0.34339120370370368</v>
      </c>
      <c r="AI468" t="s">
        <v>795</v>
      </c>
      <c r="AJ468" s="31">
        <v>46093</v>
      </c>
      <c r="AK468" s="61">
        <v>0.64043981481481482</v>
      </c>
      <c r="AL468" t="s">
        <v>934</v>
      </c>
      <c r="AM468" t="s">
        <v>4782</v>
      </c>
      <c r="AO468" t="s">
        <v>380</v>
      </c>
      <c r="AP468" t="s">
        <v>44</v>
      </c>
      <c r="AQ468" t="s">
        <v>393</v>
      </c>
      <c r="AS468" s="31">
        <v>46090</v>
      </c>
      <c r="AT468">
        <v>31</v>
      </c>
      <c r="AY468">
        <v>1</v>
      </c>
    </row>
    <row r="469" spans="1:51" x14ac:dyDescent="0.3">
      <c r="A469" t="s">
        <v>31</v>
      </c>
      <c r="B469">
        <v>949</v>
      </c>
      <c r="D469">
        <v>3279</v>
      </c>
      <c r="G469" t="s">
        <v>2704</v>
      </c>
      <c r="J469" t="s">
        <v>334</v>
      </c>
      <c r="K469" t="s">
        <v>334</v>
      </c>
      <c r="L469">
        <v>6596658787</v>
      </c>
      <c r="N469" t="s">
        <v>3196</v>
      </c>
      <c r="Q469" t="s">
        <v>778</v>
      </c>
      <c r="S469" t="s">
        <v>3197</v>
      </c>
      <c r="T469" t="s">
        <v>1191</v>
      </c>
      <c r="W469" t="s">
        <v>2559</v>
      </c>
      <c r="X469" t="s">
        <v>780</v>
      </c>
      <c r="Y469" t="s">
        <v>781</v>
      </c>
      <c r="AA469" s="31">
        <v>46081</v>
      </c>
      <c r="AD469">
        <v>4</v>
      </c>
      <c r="AE469" t="s">
        <v>22</v>
      </c>
      <c r="AF469" s="31">
        <v>46072</v>
      </c>
      <c r="AG469" s="61">
        <v>0.3442013888888889</v>
      </c>
      <c r="AI469" t="s">
        <v>795</v>
      </c>
      <c r="AJ469" s="31">
        <v>46076</v>
      </c>
      <c r="AK469" s="61">
        <v>0.67480324074074072</v>
      </c>
      <c r="AL469" t="s">
        <v>1226</v>
      </c>
      <c r="AP469" t="s">
        <v>31</v>
      </c>
      <c r="AS469" s="31"/>
      <c r="AT469">
        <v>30</v>
      </c>
      <c r="AY469">
        <v>1</v>
      </c>
    </row>
    <row r="470" spans="1:51" x14ac:dyDescent="0.3">
      <c r="A470" t="s">
        <v>31</v>
      </c>
      <c r="B470">
        <v>950</v>
      </c>
      <c r="D470">
        <v>3280</v>
      </c>
      <c r="E470" t="s">
        <v>4783</v>
      </c>
      <c r="G470" t="s">
        <v>3198</v>
      </c>
      <c r="H470">
        <v>3459449000100</v>
      </c>
      <c r="J470" t="s">
        <v>3199</v>
      </c>
      <c r="K470" t="s">
        <v>3199</v>
      </c>
      <c r="L470">
        <v>75998542317</v>
      </c>
      <c r="N470" t="s">
        <v>3201</v>
      </c>
      <c r="Q470" t="s">
        <v>778</v>
      </c>
      <c r="T470" t="s">
        <v>2541</v>
      </c>
      <c r="W470" t="s">
        <v>2791</v>
      </c>
      <c r="X470" t="s">
        <v>780</v>
      </c>
      <c r="Y470" t="s">
        <v>857</v>
      </c>
      <c r="AA470" s="31">
        <v>46142</v>
      </c>
      <c r="AD470">
        <v>22</v>
      </c>
      <c r="AE470" t="s">
        <v>22</v>
      </c>
      <c r="AF470" s="31">
        <v>46072</v>
      </c>
      <c r="AG470" s="61">
        <v>0.34534722222222219</v>
      </c>
      <c r="AI470" t="s">
        <v>795</v>
      </c>
      <c r="AJ470" s="31">
        <v>46094</v>
      </c>
      <c r="AK470" s="61">
        <v>0.44105324074074082</v>
      </c>
      <c r="AL470" t="s">
        <v>858</v>
      </c>
      <c r="AP470" t="s">
        <v>31</v>
      </c>
      <c r="AS470" s="31">
        <v>46094</v>
      </c>
      <c r="AT470">
        <v>31</v>
      </c>
      <c r="AV470" t="s">
        <v>4784</v>
      </c>
      <c r="AY470">
        <v>1</v>
      </c>
    </row>
    <row r="471" spans="1:51" x14ac:dyDescent="0.3">
      <c r="A471" t="s">
        <v>44</v>
      </c>
      <c r="B471">
        <v>951</v>
      </c>
      <c r="D471">
        <v>3282</v>
      </c>
      <c r="E471" t="s">
        <v>4785</v>
      </c>
      <c r="G471" t="s">
        <v>3202</v>
      </c>
      <c r="J471" t="s">
        <v>3203</v>
      </c>
      <c r="K471" t="s">
        <v>3203</v>
      </c>
      <c r="L471">
        <v>16993027000</v>
      </c>
      <c r="N471" t="s">
        <v>3205</v>
      </c>
      <c r="Q471" t="s">
        <v>778</v>
      </c>
      <c r="T471" t="s">
        <v>2541</v>
      </c>
      <c r="W471" t="s">
        <v>2559</v>
      </c>
      <c r="X471" t="s">
        <v>780</v>
      </c>
      <c r="Y471" t="s">
        <v>897</v>
      </c>
      <c r="AA471" s="31">
        <v>46072</v>
      </c>
      <c r="AD471">
        <v>7</v>
      </c>
      <c r="AE471" t="s">
        <v>22</v>
      </c>
      <c r="AF471" s="31">
        <v>46072</v>
      </c>
      <c r="AG471" s="61">
        <v>0.3463310185185185</v>
      </c>
      <c r="AI471" t="s">
        <v>795</v>
      </c>
      <c r="AJ471" s="31">
        <v>46079</v>
      </c>
      <c r="AK471" s="61">
        <v>0.96490740740740744</v>
      </c>
      <c r="AL471" t="s">
        <v>1226</v>
      </c>
      <c r="AP471" t="s">
        <v>44</v>
      </c>
      <c r="AS471" s="31"/>
      <c r="AT471">
        <v>30</v>
      </c>
      <c r="AY471">
        <v>1</v>
      </c>
    </row>
    <row r="472" spans="1:51" x14ac:dyDescent="0.3">
      <c r="A472" t="s">
        <v>22</v>
      </c>
      <c r="B472">
        <v>952</v>
      </c>
      <c r="D472">
        <v>3283</v>
      </c>
      <c r="E472" t="s">
        <v>4786</v>
      </c>
      <c r="G472" t="s">
        <v>387</v>
      </c>
      <c r="J472" t="s">
        <v>4787</v>
      </c>
      <c r="K472" t="s">
        <v>4787</v>
      </c>
      <c r="L472">
        <v>49999890528</v>
      </c>
      <c r="N472" t="s">
        <v>3208</v>
      </c>
      <c r="Q472" t="s">
        <v>778</v>
      </c>
      <c r="T472" t="s">
        <v>2541</v>
      </c>
      <c r="W472" t="s">
        <v>2791</v>
      </c>
      <c r="X472" t="s">
        <v>780</v>
      </c>
      <c r="Y472" t="s">
        <v>807</v>
      </c>
      <c r="AA472" s="31">
        <v>46112</v>
      </c>
      <c r="AB472">
        <v>862043</v>
      </c>
      <c r="AC472">
        <v>34937</v>
      </c>
      <c r="AD472">
        <v>40</v>
      </c>
      <c r="AE472" t="s">
        <v>22</v>
      </c>
      <c r="AF472" s="31">
        <v>46072</v>
      </c>
      <c r="AG472" s="61">
        <v>0.34706018518518522</v>
      </c>
      <c r="AI472" t="s">
        <v>795</v>
      </c>
      <c r="AJ472" s="31">
        <v>46112</v>
      </c>
      <c r="AK472" s="61">
        <v>0.68877314814814816</v>
      </c>
      <c r="AL472" t="s">
        <v>867</v>
      </c>
      <c r="AO472" t="s">
        <v>4788</v>
      </c>
      <c r="AP472" t="s">
        <v>22</v>
      </c>
      <c r="AS472" s="31">
        <v>46101</v>
      </c>
      <c r="AT472">
        <v>30</v>
      </c>
      <c r="AV472" t="s">
        <v>321</v>
      </c>
      <c r="AY472">
        <v>1</v>
      </c>
    </row>
    <row r="473" spans="1:51" x14ac:dyDescent="0.3">
      <c r="A473" t="s">
        <v>22</v>
      </c>
      <c r="B473">
        <v>953</v>
      </c>
      <c r="D473">
        <v>3284</v>
      </c>
      <c r="E473" t="s">
        <v>4789</v>
      </c>
      <c r="G473" t="s">
        <v>3209</v>
      </c>
      <c r="J473" t="s">
        <v>3210</v>
      </c>
      <c r="K473" t="s">
        <v>3210</v>
      </c>
      <c r="L473">
        <v>1140227929</v>
      </c>
      <c r="N473" t="s">
        <v>3212</v>
      </c>
      <c r="Q473" t="s">
        <v>778</v>
      </c>
      <c r="T473" t="s">
        <v>2541</v>
      </c>
      <c r="W473" t="s">
        <v>2559</v>
      </c>
      <c r="X473" t="s">
        <v>780</v>
      </c>
      <c r="Y473" t="s">
        <v>897</v>
      </c>
      <c r="AA473" s="31">
        <v>46081</v>
      </c>
      <c r="AD473">
        <v>12</v>
      </c>
      <c r="AE473" t="s">
        <v>22</v>
      </c>
      <c r="AF473" s="31">
        <v>46072</v>
      </c>
      <c r="AG473" s="61">
        <v>0.34765046296296298</v>
      </c>
      <c r="AI473" t="s">
        <v>795</v>
      </c>
      <c r="AJ473" s="31">
        <v>46084</v>
      </c>
      <c r="AK473" s="61">
        <v>0.8923726851851852</v>
      </c>
      <c r="AL473" t="s">
        <v>1226</v>
      </c>
      <c r="AP473" t="s">
        <v>22</v>
      </c>
      <c r="AS473" s="31"/>
      <c r="AT473">
        <v>32</v>
      </c>
      <c r="AY473">
        <v>1</v>
      </c>
    </row>
    <row r="474" spans="1:51" x14ac:dyDescent="0.3">
      <c r="A474" t="s">
        <v>31</v>
      </c>
      <c r="B474">
        <v>956</v>
      </c>
      <c r="D474">
        <v>3286</v>
      </c>
      <c r="E474" t="s">
        <v>4790</v>
      </c>
      <c r="G474" t="s">
        <v>4791</v>
      </c>
      <c r="J474" t="s">
        <v>4792</v>
      </c>
      <c r="K474" t="s">
        <v>4792</v>
      </c>
      <c r="L474">
        <v>92992307944</v>
      </c>
      <c r="N474" t="s">
        <v>4793</v>
      </c>
      <c r="Q474" t="s">
        <v>778</v>
      </c>
      <c r="T474" t="s">
        <v>2541</v>
      </c>
      <c r="W474" t="s">
        <v>2559</v>
      </c>
      <c r="X474" t="s">
        <v>780</v>
      </c>
      <c r="Y474" t="s">
        <v>781</v>
      </c>
      <c r="AA474" s="31">
        <v>46081</v>
      </c>
      <c r="AD474">
        <v>3</v>
      </c>
      <c r="AE474" t="s">
        <v>22</v>
      </c>
      <c r="AF474" s="31">
        <v>46073</v>
      </c>
      <c r="AG474" s="61">
        <v>0.57908564814814811</v>
      </c>
      <c r="AI474" t="s">
        <v>795</v>
      </c>
      <c r="AJ474" s="31">
        <v>46076</v>
      </c>
      <c r="AK474" s="61">
        <v>0.67215277777777782</v>
      </c>
      <c r="AL474" t="s">
        <v>1226</v>
      </c>
      <c r="AP474" t="s">
        <v>31</v>
      </c>
      <c r="AS474" s="31">
        <v>46076</v>
      </c>
      <c r="AT474">
        <v>30</v>
      </c>
      <c r="AY474">
        <v>1</v>
      </c>
    </row>
    <row r="475" spans="1:51" x14ac:dyDescent="0.3">
      <c r="A475" t="s">
        <v>31</v>
      </c>
      <c r="B475">
        <v>959</v>
      </c>
      <c r="D475">
        <v>3298</v>
      </c>
      <c r="E475" t="s">
        <v>4794</v>
      </c>
      <c r="G475" t="s">
        <v>400</v>
      </c>
      <c r="J475" t="s">
        <v>4795</v>
      </c>
      <c r="K475" t="s">
        <v>4795</v>
      </c>
      <c r="L475">
        <v>11988461881</v>
      </c>
      <c r="N475" t="s">
        <v>4796</v>
      </c>
      <c r="Q475" t="s">
        <v>778</v>
      </c>
      <c r="X475" t="s">
        <v>780</v>
      </c>
      <c r="Y475" t="s">
        <v>807</v>
      </c>
      <c r="AA475" s="31">
        <v>46173</v>
      </c>
      <c r="AB475">
        <v>963186</v>
      </c>
      <c r="AC475">
        <v>62062</v>
      </c>
      <c r="AD475">
        <v>51</v>
      </c>
      <c r="AE475" t="s">
        <v>31</v>
      </c>
      <c r="AF475" s="31">
        <v>46076</v>
      </c>
      <c r="AG475" s="61">
        <v>0.49402777777777779</v>
      </c>
      <c r="AI475" t="s">
        <v>782</v>
      </c>
      <c r="AJ475" s="31"/>
      <c r="AK475" s="61"/>
      <c r="AO475" t="s">
        <v>401</v>
      </c>
      <c r="AP475" t="s">
        <v>31</v>
      </c>
      <c r="AQ475" t="s">
        <v>401</v>
      </c>
      <c r="AS475" s="31">
        <v>46105</v>
      </c>
      <c r="AT475">
        <v>30</v>
      </c>
      <c r="AV475" t="s">
        <v>47</v>
      </c>
      <c r="AY475">
        <v>1</v>
      </c>
    </row>
    <row r="476" spans="1:51" x14ac:dyDescent="0.3">
      <c r="A476" t="s">
        <v>31</v>
      </c>
      <c r="B476">
        <v>960</v>
      </c>
      <c r="D476">
        <v>3299</v>
      </c>
      <c r="E476" t="s">
        <v>4797</v>
      </c>
      <c r="G476" t="s">
        <v>411</v>
      </c>
      <c r="J476" t="s">
        <v>4798</v>
      </c>
      <c r="K476" t="s">
        <v>4798</v>
      </c>
      <c r="L476">
        <v>11988461881</v>
      </c>
      <c r="N476" t="s">
        <v>4796</v>
      </c>
      <c r="Q476" t="s">
        <v>778</v>
      </c>
      <c r="X476" t="s">
        <v>780</v>
      </c>
      <c r="Y476" t="s">
        <v>807</v>
      </c>
      <c r="AA476" s="31">
        <v>46142</v>
      </c>
      <c r="AB476">
        <v>27150</v>
      </c>
      <c r="AC476">
        <v>3450</v>
      </c>
      <c r="AD476">
        <v>51</v>
      </c>
      <c r="AE476" t="s">
        <v>31</v>
      </c>
      <c r="AF476" s="31">
        <v>46076</v>
      </c>
      <c r="AG476" s="61">
        <v>0.50876157407407407</v>
      </c>
      <c r="AI476" t="s">
        <v>782</v>
      </c>
      <c r="AJ476" s="31"/>
      <c r="AK476" s="61"/>
      <c r="AO476" t="s">
        <v>401</v>
      </c>
      <c r="AP476" t="s">
        <v>31</v>
      </c>
      <c r="AQ476" t="s">
        <v>401</v>
      </c>
      <c r="AS476" s="31">
        <v>46105</v>
      </c>
      <c r="AT476">
        <v>30</v>
      </c>
      <c r="AV476" t="s">
        <v>63</v>
      </c>
      <c r="AY476">
        <v>1</v>
      </c>
    </row>
    <row r="477" spans="1:51" x14ac:dyDescent="0.3">
      <c r="A477" t="s">
        <v>44</v>
      </c>
      <c r="B477">
        <v>961</v>
      </c>
      <c r="D477">
        <v>3287</v>
      </c>
      <c r="E477" t="s">
        <v>4799</v>
      </c>
      <c r="G477" t="s">
        <v>4800</v>
      </c>
      <c r="H477">
        <v>56556830000154</v>
      </c>
      <c r="J477" t="s">
        <v>4801</v>
      </c>
      <c r="K477" t="s">
        <v>4801</v>
      </c>
      <c r="L477">
        <v>19992189262</v>
      </c>
      <c r="N477" t="s">
        <v>4802</v>
      </c>
      <c r="Q477" t="s">
        <v>778</v>
      </c>
      <c r="T477" t="s">
        <v>2541</v>
      </c>
      <c r="W477" t="s">
        <v>2559</v>
      </c>
      <c r="X477" t="s">
        <v>780</v>
      </c>
      <c r="Y477" t="s">
        <v>897</v>
      </c>
      <c r="AA477" s="31">
        <v>46081</v>
      </c>
      <c r="AD477">
        <v>2</v>
      </c>
      <c r="AE477" t="s">
        <v>22</v>
      </c>
      <c r="AF477" s="31">
        <v>46077</v>
      </c>
      <c r="AG477" s="61">
        <v>0.40216435185185179</v>
      </c>
      <c r="AI477" t="s">
        <v>795</v>
      </c>
      <c r="AJ477" s="31">
        <v>46079</v>
      </c>
      <c r="AK477" s="61">
        <v>0.96589120370370374</v>
      </c>
      <c r="AL477" t="s">
        <v>1226</v>
      </c>
      <c r="AP477" t="s">
        <v>44</v>
      </c>
      <c r="AS477" s="31">
        <v>46078</v>
      </c>
      <c r="AT477">
        <v>30</v>
      </c>
      <c r="AY477">
        <v>1</v>
      </c>
    </row>
    <row r="478" spans="1:51" x14ac:dyDescent="0.3">
      <c r="A478" t="s">
        <v>31</v>
      </c>
      <c r="B478">
        <v>962</v>
      </c>
      <c r="D478">
        <v>3290</v>
      </c>
      <c r="E478" t="s">
        <v>4803</v>
      </c>
      <c r="G478" t="s">
        <v>4804</v>
      </c>
      <c r="J478" t="s">
        <v>923</v>
      </c>
      <c r="K478" t="s">
        <v>923</v>
      </c>
      <c r="L478">
        <v>11991241336</v>
      </c>
      <c r="N478" t="s">
        <v>4805</v>
      </c>
      <c r="Q478" t="s">
        <v>778</v>
      </c>
      <c r="T478" t="s">
        <v>2541</v>
      </c>
      <c r="W478" t="s">
        <v>2791</v>
      </c>
      <c r="X478" t="s">
        <v>780</v>
      </c>
      <c r="Y478" t="s">
        <v>781</v>
      </c>
      <c r="AA478" s="31">
        <v>46081</v>
      </c>
      <c r="AD478">
        <v>2</v>
      </c>
      <c r="AE478" t="s">
        <v>22</v>
      </c>
      <c r="AF478" s="31">
        <v>46077</v>
      </c>
      <c r="AG478" s="61">
        <v>0.40444444444444438</v>
      </c>
      <c r="AI478" t="s">
        <v>795</v>
      </c>
      <c r="AJ478" s="31">
        <v>46079</v>
      </c>
      <c r="AK478" s="61">
        <v>0.75096064814814811</v>
      </c>
      <c r="AL478" t="s">
        <v>1358</v>
      </c>
      <c r="AP478" t="s">
        <v>31</v>
      </c>
      <c r="AS478" s="31">
        <v>46079</v>
      </c>
      <c r="AT478">
        <v>30</v>
      </c>
      <c r="AY478">
        <v>1</v>
      </c>
    </row>
    <row r="479" spans="1:51" x14ac:dyDescent="0.3">
      <c r="A479" t="s">
        <v>22</v>
      </c>
      <c r="B479">
        <v>963</v>
      </c>
      <c r="D479">
        <v>3293</v>
      </c>
      <c r="E479" t="s">
        <v>4806</v>
      </c>
      <c r="G479" t="s">
        <v>4807</v>
      </c>
      <c r="J479" t="s">
        <v>4808</v>
      </c>
      <c r="K479" t="s">
        <v>4808</v>
      </c>
      <c r="L479">
        <v>13981286699</v>
      </c>
      <c r="N479" t="s">
        <v>4809</v>
      </c>
      <c r="Q479" t="s">
        <v>778</v>
      </c>
      <c r="T479" t="s">
        <v>2541</v>
      </c>
      <c r="W479" t="s">
        <v>2559</v>
      </c>
      <c r="X479" t="s">
        <v>780</v>
      </c>
      <c r="Y479" t="s">
        <v>781</v>
      </c>
      <c r="AA479" s="31">
        <v>46081</v>
      </c>
      <c r="AD479">
        <v>2</v>
      </c>
      <c r="AE479" t="s">
        <v>22</v>
      </c>
      <c r="AF479" s="31">
        <v>46077</v>
      </c>
      <c r="AG479" s="61">
        <v>0.40696759259259258</v>
      </c>
      <c r="AI479" t="s">
        <v>795</v>
      </c>
      <c r="AJ479" s="31">
        <v>46079</v>
      </c>
      <c r="AK479" s="61">
        <v>0.72960648148148144</v>
      </c>
      <c r="AL479" t="s">
        <v>1226</v>
      </c>
      <c r="AM479" t="s">
        <v>4806</v>
      </c>
      <c r="AP479" t="s">
        <v>22</v>
      </c>
      <c r="AS479" s="31"/>
      <c r="AT479">
        <v>30</v>
      </c>
      <c r="AV479" t="s">
        <v>578</v>
      </c>
      <c r="AY479">
        <v>1</v>
      </c>
    </row>
    <row r="480" spans="1:51" x14ac:dyDescent="0.3">
      <c r="A480" t="s">
        <v>22</v>
      </c>
      <c r="B480">
        <v>964</v>
      </c>
      <c r="D480">
        <v>3294</v>
      </c>
      <c r="E480" t="s">
        <v>4810</v>
      </c>
      <c r="G480" t="s">
        <v>4811</v>
      </c>
      <c r="J480" t="s">
        <v>3600</v>
      </c>
      <c r="K480" t="s">
        <v>3600</v>
      </c>
      <c r="L480" t="s">
        <v>4812</v>
      </c>
      <c r="N480" t="s">
        <v>4813</v>
      </c>
      <c r="Q480" t="s">
        <v>778</v>
      </c>
      <c r="R480" t="s">
        <v>1523</v>
      </c>
      <c r="T480" t="s">
        <v>814</v>
      </c>
      <c r="W480" t="s">
        <v>4814</v>
      </c>
      <c r="X480" t="s">
        <v>780</v>
      </c>
      <c r="Y480" t="s">
        <v>897</v>
      </c>
      <c r="AA480" s="31">
        <v>46081</v>
      </c>
      <c r="AD480">
        <v>16</v>
      </c>
      <c r="AE480" t="s">
        <v>22</v>
      </c>
      <c r="AF480" s="31">
        <v>46077</v>
      </c>
      <c r="AG480" s="61">
        <v>0.4085300925925926</v>
      </c>
      <c r="AI480" t="s">
        <v>795</v>
      </c>
      <c r="AJ480" s="31">
        <v>46093</v>
      </c>
      <c r="AK480" s="61">
        <v>0.72965277777777782</v>
      </c>
      <c r="AL480" t="s">
        <v>1226</v>
      </c>
      <c r="AP480" t="s">
        <v>22</v>
      </c>
      <c r="AQ480" t="s">
        <v>458</v>
      </c>
      <c r="AS480" s="31">
        <v>46093</v>
      </c>
      <c r="AT480">
        <v>30</v>
      </c>
      <c r="AY480">
        <v>1</v>
      </c>
    </row>
    <row r="481" spans="1:51" x14ac:dyDescent="0.3">
      <c r="A481" t="s">
        <v>44</v>
      </c>
      <c r="B481">
        <v>965</v>
      </c>
      <c r="D481">
        <v>3295</v>
      </c>
      <c r="E481" t="s">
        <v>4815</v>
      </c>
      <c r="G481" t="s">
        <v>4816</v>
      </c>
      <c r="J481" t="s">
        <v>4817</v>
      </c>
      <c r="K481" t="s">
        <v>4817</v>
      </c>
      <c r="L481">
        <v>81986574539</v>
      </c>
      <c r="N481" t="s">
        <v>4818</v>
      </c>
      <c r="Q481" t="s">
        <v>778</v>
      </c>
      <c r="T481" t="s">
        <v>2541</v>
      </c>
      <c r="W481" t="s">
        <v>2559</v>
      </c>
      <c r="X481" t="s">
        <v>780</v>
      </c>
      <c r="Y481" t="s">
        <v>897</v>
      </c>
      <c r="AA481" s="31">
        <v>46081</v>
      </c>
      <c r="AD481">
        <v>1</v>
      </c>
      <c r="AE481" t="s">
        <v>22</v>
      </c>
      <c r="AF481" s="31">
        <v>46077</v>
      </c>
      <c r="AG481" s="61">
        <v>0.40925925925925932</v>
      </c>
      <c r="AI481" t="s">
        <v>795</v>
      </c>
      <c r="AJ481" s="31">
        <v>46078</v>
      </c>
      <c r="AK481" s="61">
        <v>0.45694444444444438</v>
      </c>
      <c r="AL481" t="s">
        <v>1226</v>
      </c>
      <c r="AM481" t="s">
        <v>4819</v>
      </c>
      <c r="AP481" t="s">
        <v>44</v>
      </c>
      <c r="AS481" s="31">
        <v>46078</v>
      </c>
      <c r="AT481">
        <v>30</v>
      </c>
      <c r="AY481">
        <v>1</v>
      </c>
    </row>
    <row r="482" spans="1:51" x14ac:dyDescent="0.3">
      <c r="A482" t="s">
        <v>31</v>
      </c>
      <c r="B482">
        <v>966</v>
      </c>
      <c r="D482">
        <v>3296</v>
      </c>
      <c r="G482" t="s">
        <v>4820</v>
      </c>
      <c r="J482" t="s">
        <v>4821</v>
      </c>
      <c r="K482" t="s">
        <v>4821</v>
      </c>
      <c r="L482">
        <v>62992132212</v>
      </c>
      <c r="N482" t="s">
        <v>4822</v>
      </c>
      <c r="Q482" t="s">
        <v>778</v>
      </c>
      <c r="T482" t="s">
        <v>2541</v>
      </c>
      <c r="W482" t="s">
        <v>4823</v>
      </c>
      <c r="X482" t="s">
        <v>780</v>
      </c>
      <c r="Y482" t="s">
        <v>781</v>
      </c>
      <c r="AA482" s="31">
        <v>46112</v>
      </c>
      <c r="AD482">
        <v>13</v>
      </c>
      <c r="AE482" t="s">
        <v>22</v>
      </c>
      <c r="AF482" s="31">
        <v>46077</v>
      </c>
      <c r="AG482" s="61">
        <v>0.41028935185185178</v>
      </c>
      <c r="AI482" t="s">
        <v>795</v>
      </c>
      <c r="AJ482" s="31">
        <v>46090</v>
      </c>
      <c r="AK482" s="61">
        <v>0.61659722222222224</v>
      </c>
      <c r="AL482" t="s">
        <v>796</v>
      </c>
      <c r="AP482" t="s">
        <v>31</v>
      </c>
      <c r="AS482" s="31">
        <v>46090</v>
      </c>
      <c r="AT482">
        <v>30</v>
      </c>
      <c r="AY482">
        <v>1</v>
      </c>
    </row>
    <row r="483" spans="1:51" x14ac:dyDescent="0.3">
      <c r="A483" t="s">
        <v>44</v>
      </c>
      <c r="B483">
        <v>967</v>
      </c>
      <c r="D483">
        <v>3300</v>
      </c>
      <c r="E483" t="s">
        <v>4824</v>
      </c>
      <c r="G483" t="s">
        <v>450</v>
      </c>
      <c r="J483" t="s">
        <v>4825</v>
      </c>
      <c r="K483" t="s">
        <v>4825</v>
      </c>
      <c r="L483">
        <v>67992079099</v>
      </c>
      <c r="N483" t="s">
        <v>4826</v>
      </c>
      <c r="Q483" t="s">
        <v>778</v>
      </c>
      <c r="T483" t="s">
        <v>2541</v>
      </c>
      <c r="W483" t="s">
        <v>2542</v>
      </c>
      <c r="X483" t="s">
        <v>780</v>
      </c>
      <c r="Y483" t="s">
        <v>793</v>
      </c>
      <c r="AA483" s="31">
        <v>46111</v>
      </c>
      <c r="AB483">
        <v>758068</v>
      </c>
      <c r="AC483">
        <v>9596</v>
      </c>
      <c r="AD483">
        <v>13</v>
      </c>
      <c r="AE483" t="s">
        <v>22</v>
      </c>
      <c r="AF483" s="31">
        <v>46077</v>
      </c>
      <c r="AG483" s="61">
        <v>0.4112615740740741</v>
      </c>
      <c r="AI483" t="s">
        <v>795</v>
      </c>
      <c r="AJ483" s="31">
        <v>46090</v>
      </c>
      <c r="AK483" s="61">
        <v>0.44912037037037039</v>
      </c>
      <c r="AL483" t="s">
        <v>796</v>
      </c>
      <c r="AM483" t="s">
        <v>4827</v>
      </c>
      <c r="AO483" t="s">
        <v>380</v>
      </c>
      <c r="AP483" t="s">
        <v>44</v>
      </c>
      <c r="AQ483" t="s">
        <v>4762</v>
      </c>
      <c r="AS483" s="31">
        <v>46090</v>
      </c>
      <c r="AT483">
        <v>30</v>
      </c>
      <c r="AY483">
        <v>1</v>
      </c>
    </row>
    <row r="484" spans="1:51" x14ac:dyDescent="0.3">
      <c r="A484" t="s">
        <v>22</v>
      </c>
      <c r="B484">
        <v>968</v>
      </c>
      <c r="D484">
        <v>3288</v>
      </c>
      <c r="E484" t="s">
        <v>4828</v>
      </c>
      <c r="G484" t="s">
        <v>4829</v>
      </c>
      <c r="J484" t="s">
        <v>4830</v>
      </c>
      <c r="K484" t="s">
        <v>4830</v>
      </c>
      <c r="L484" t="s">
        <v>4831</v>
      </c>
      <c r="N484" t="s">
        <v>4832</v>
      </c>
      <c r="Q484" t="s">
        <v>778</v>
      </c>
      <c r="R484" t="s">
        <v>4833</v>
      </c>
      <c r="T484" t="s">
        <v>814</v>
      </c>
      <c r="W484" t="s">
        <v>1198</v>
      </c>
      <c r="X484" t="s">
        <v>780</v>
      </c>
      <c r="Y484" t="s">
        <v>897</v>
      </c>
      <c r="AA484" s="31">
        <v>46081</v>
      </c>
      <c r="AD484">
        <v>2</v>
      </c>
      <c r="AE484" t="s">
        <v>22</v>
      </c>
      <c r="AF484" s="31">
        <v>46077</v>
      </c>
      <c r="AG484" s="61">
        <v>0.41268518518518521</v>
      </c>
      <c r="AI484" t="s">
        <v>795</v>
      </c>
      <c r="AJ484" s="31">
        <v>46079</v>
      </c>
      <c r="AK484" s="61">
        <v>0.77306712962962965</v>
      </c>
      <c r="AL484" t="s">
        <v>1226</v>
      </c>
      <c r="AP484" t="s">
        <v>22</v>
      </c>
      <c r="AS484" s="31"/>
      <c r="AT484">
        <v>30</v>
      </c>
      <c r="AY484">
        <v>1</v>
      </c>
    </row>
    <row r="485" spans="1:51" x14ac:dyDescent="0.3">
      <c r="A485" t="s">
        <v>31</v>
      </c>
      <c r="B485">
        <v>969</v>
      </c>
      <c r="D485">
        <v>3304</v>
      </c>
      <c r="G485" t="s">
        <v>396</v>
      </c>
      <c r="H485">
        <v>64688089000103</v>
      </c>
      <c r="J485" t="s">
        <v>4834</v>
      </c>
      <c r="K485" t="s">
        <v>4834</v>
      </c>
      <c r="L485" t="s">
        <v>3905</v>
      </c>
      <c r="N485" t="s">
        <v>4835</v>
      </c>
      <c r="Q485" t="s">
        <v>778</v>
      </c>
      <c r="R485" t="s">
        <v>993</v>
      </c>
      <c r="S485" t="s">
        <v>932</v>
      </c>
      <c r="X485" t="s">
        <v>780</v>
      </c>
      <c r="Y485" t="s">
        <v>793</v>
      </c>
      <c r="AA485" s="31">
        <v>46203</v>
      </c>
      <c r="AB485">
        <v>5191686</v>
      </c>
      <c r="AC485">
        <v>50562</v>
      </c>
      <c r="AD485">
        <v>16</v>
      </c>
      <c r="AE485" t="s">
        <v>31</v>
      </c>
      <c r="AF485" s="31">
        <v>46077</v>
      </c>
      <c r="AG485" s="61">
        <v>0.5290393518518518</v>
      </c>
      <c r="AI485" t="s">
        <v>795</v>
      </c>
      <c r="AJ485" s="31">
        <v>46093</v>
      </c>
      <c r="AK485" s="61">
        <v>0.71856481481481482</v>
      </c>
      <c r="AL485" t="s">
        <v>867</v>
      </c>
      <c r="AO485" t="s">
        <v>4836</v>
      </c>
      <c r="AP485" t="s">
        <v>31</v>
      </c>
      <c r="AQ485" t="s">
        <v>4668</v>
      </c>
      <c r="AS485" s="31">
        <v>46093</v>
      </c>
      <c r="AT485">
        <v>30</v>
      </c>
      <c r="AV485" t="s">
        <v>321</v>
      </c>
      <c r="AY485">
        <v>1</v>
      </c>
    </row>
    <row r="486" spans="1:51" x14ac:dyDescent="0.3">
      <c r="A486" t="s">
        <v>31</v>
      </c>
      <c r="B486">
        <v>971</v>
      </c>
      <c r="D486">
        <v>3303</v>
      </c>
      <c r="G486" t="s">
        <v>4837</v>
      </c>
      <c r="H486">
        <v>1397620000179</v>
      </c>
      <c r="J486" t="s">
        <v>4838</v>
      </c>
      <c r="K486" t="s">
        <v>4838</v>
      </c>
      <c r="L486">
        <v>37988006012</v>
      </c>
      <c r="N486" t="s">
        <v>4839</v>
      </c>
      <c r="Q486" t="s">
        <v>778</v>
      </c>
      <c r="T486" t="s">
        <v>2541</v>
      </c>
      <c r="W486" t="s">
        <v>2559</v>
      </c>
      <c r="X486" t="s">
        <v>780</v>
      </c>
      <c r="Y486" t="s">
        <v>781</v>
      </c>
      <c r="AA486" s="31">
        <v>46081</v>
      </c>
      <c r="AD486">
        <v>5</v>
      </c>
      <c r="AE486" t="s">
        <v>22</v>
      </c>
      <c r="AF486" s="31">
        <v>46078</v>
      </c>
      <c r="AG486" s="61">
        <v>0.64763888888888888</v>
      </c>
      <c r="AI486" t="s">
        <v>795</v>
      </c>
      <c r="AJ486" s="31">
        <v>46083</v>
      </c>
      <c r="AK486" s="61">
        <v>0.40182870370370372</v>
      </c>
      <c r="AL486" t="s">
        <v>1358</v>
      </c>
      <c r="AP486" t="s">
        <v>31</v>
      </c>
      <c r="AS486" s="31"/>
      <c r="AT486">
        <v>27</v>
      </c>
      <c r="AY486">
        <v>1</v>
      </c>
    </row>
    <row r="487" spans="1:51" x14ac:dyDescent="0.3">
      <c r="A487" t="s">
        <v>44</v>
      </c>
      <c r="B487">
        <v>972</v>
      </c>
      <c r="D487">
        <v>3305</v>
      </c>
      <c r="E487" t="s">
        <v>4840</v>
      </c>
      <c r="G487" t="s">
        <v>457</v>
      </c>
      <c r="H487">
        <v>51119265000144</v>
      </c>
      <c r="J487" t="s">
        <v>4841</v>
      </c>
      <c r="K487" t="s">
        <v>4841</v>
      </c>
      <c r="L487" t="s">
        <v>4842</v>
      </c>
      <c r="N487" t="s">
        <v>4843</v>
      </c>
      <c r="Q487" t="s">
        <v>778</v>
      </c>
      <c r="R487" t="s">
        <v>4844</v>
      </c>
      <c r="S487" t="s">
        <v>790</v>
      </c>
      <c r="T487" t="s">
        <v>2541</v>
      </c>
      <c r="W487" t="s">
        <v>2791</v>
      </c>
      <c r="X487" t="s">
        <v>780</v>
      </c>
      <c r="Y487" t="s">
        <v>793</v>
      </c>
      <c r="AA487" s="31">
        <v>46078</v>
      </c>
      <c r="AB487">
        <v>5842744</v>
      </c>
      <c r="AC487">
        <v>145888</v>
      </c>
      <c r="AD487">
        <v>15</v>
      </c>
      <c r="AE487" t="s">
        <v>22</v>
      </c>
      <c r="AF487" s="31">
        <v>46078</v>
      </c>
      <c r="AG487" s="61">
        <v>0.64827546296296301</v>
      </c>
      <c r="AI487" t="s">
        <v>795</v>
      </c>
      <c r="AJ487" s="31">
        <v>46093</v>
      </c>
      <c r="AK487" s="61">
        <v>0.45283564814814808</v>
      </c>
      <c r="AL487" t="s">
        <v>934</v>
      </c>
      <c r="AM487" t="s">
        <v>4845</v>
      </c>
      <c r="AO487" t="s">
        <v>458</v>
      </c>
      <c r="AP487" t="s">
        <v>44</v>
      </c>
      <c r="AQ487" t="s">
        <v>458</v>
      </c>
      <c r="AS487" s="31">
        <v>46093</v>
      </c>
      <c r="AT487">
        <v>30</v>
      </c>
      <c r="AY487">
        <v>1</v>
      </c>
    </row>
    <row r="488" spans="1:51" x14ac:dyDescent="0.3">
      <c r="A488" t="s">
        <v>44</v>
      </c>
      <c r="B488">
        <v>973</v>
      </c>
      <c r="D488">
        <v>3309</v>
      </c>
      <c r="E488" t="s">
        <v>4846</v>
      </c>
      <c r="G488" t="s">
        <v>4847</v>
      </c>
      <c r="H488">
        <v>13994329000167</v>
      </c>
      <c r="J488" t="s">
        <v>4848</v>
      </c>
      <c r="K488" t="s">
        <v>4848</v>
      </c>
      <c r="L488" t="s">
        <v>4849</v>
      </c>
      <c r="N488" t="s">
        <v>4850</v>
      </c>
      <c r="Q488" t="s">
        <v>778</v>
      </c>
      <c r="R488" t="s">
        <v>4851</v>
      </c>
      <c r="S488" t="s">
        <v>1105</v>
      </c>
      <c r="T488" t="s">
        <v>1191</v>
      </c>
      <c r="W488" t="s">
        <v>2559</v>
      </c>
      <c r="X488" t="s">
        <v>780</v>
      </c>
      <c r="Y488" t="s">
        <v>897</v>
      </c>
      <c r="AA488" s="31">
        <v>46081</v>
      </c>
      <c r="AD488">
        <v>1</v>
      </c>
      <c r="AE488" t="s">
        <v>22</v>
      </c>
      <c r="AF488" s="31">
        <v>46078</v>
      </c>
      <c r="AG488" s="61">
        <v>0.89695601851851847</v>
      </c>
      <c r="AI488" t="s">
        <v>795</v>
      </c>
      <c r="AJ488" s="31">
        <v>46079</v>
      </c>
      <c r="AK488" s="61">
        <v>0.96399305555555559</v>
      </c>
      <c r="AL488" t="s">
        <v>1226</v>
      </c>
      <c r="AP488" t="s">
        <v>44</v>
      </c>
      <c r="AS488" s="31"/>
      <c r="AT488">
        <v>30</v>
      </c>
      <c r="AY488">
        <v>1</v>
      </c>
    </row>
    <row r="489" spans="1:51" x14ac:dyDescent="0.3">
      <c r="A489" t="s">
        <v>31</v>
      </c>
      <c r="B489">
        <v>974</v>
      </c>
      <c r="D489">
        <v>3312</v>
      </c>
      <c r="G489" t="s">
        <v>4852</v>
      </c>
      <c r="J489" t="s">
        <v>4853</v>
      </c>
      <c r="K489" t="s">
        <v>4853</v>
      </c>
      <c r="L489">
        <v>3196677652</v>
      </c>
      <c r="N489" t="s">
        <v>4854</v>
      </c>
      <c r="Q489" t="s">
        <v>778</v>
      </c>
      <c r="T489" t="s">
        <v>2541</v>
      </c>
      <c r="W489" t="s">
        <v>2559</v>
      </c>
      <c r="X489" t="s">
        <v>780</v>
      </c>
      <c r="Y489" t="s">
        <v>781</v>
      </c>
      <c r="AA489" s="31">
        <v>46173</v>
      </c>
      <c r="AD489">
        <v>5</v>
      </c>
      <c r="AE489" t="s">
        <v>22</v>
      </c>
      <c r="AF489" s="31">
        <v>46079</v>
      </c>
      <c r="AG489" s="61">
        <v>0.39581018518518518</v>
      </c>
      <c r="AI489" t="s">
        <v>795</v>
      </c>
      <c r="AJ489" s="31">
        <v>46084</v>
      </c>
      <c r="AK489" s="61">
        <v>0.52052083333333332</v>
      </c>
      <c r="AL489" t="s">
        <v>1358</v>
      </c>
      <c r="AP489" t="s">
        <v>31</v>
      </c>
      <c r="AS489" s="31">
        <v>46084</v>
      </c>
      <c r="AT489">
        <v>30</v>
      </c>
      <c r="AY489">
        <v>1</v>
      </c>
    </row>
    <row r="490" spans="1:51" x14ac:dyDescent="0.3">
      <c r="A490" t="s">
        <v>22</v>
      </c>
      <c r="B490">
        <v>976</v>
      </c>
      <c r="D490">
        <v>3314</v>
      </c>
      <c r="E490" t="s">
        <v>4855</v>
      </c>
      <c r="G490" t="s">
        <v>465</v>
      </c>
      <c r="H490">
        <v>22228036000160</v>
      </c>
      <c r="J490" t="s">
        <v>4856</v>
      </c>
      <c r="K490" t="s">
        <v>4856</v>
      </c>
      <c r="L490" t="s">
        <v>4857</v>
      </c>
      <c r="N490" t="s">
        <v>4858</v>
      </c>
      <c r="Q490" t="s">
        <v>778</v>
      </c>
      <c r="R490" t="s">
        <v>4859</v>
      </c>
      <c r="S490" t="s">
        <v>790</v>
      </c>
      <c r="T490" t="s">
        <v>814</v>
      </c>
      <c r="W490" t="s">
        <v>2878</v>
      </c>
      <c r="X490" t="s">
        <v>780</v>
      </c>
      <c r="Y490" t="s">
        <v>793</v>
      </c>
      <c r="AA490" s="31">
        <v>46112</v>
      </c>
      <c r="AD490">
        <v>22</v>
      </c>
      <c r="AE490" t="s">
        <v>22</v>
      </c>
      <c r="AF490" s="31">
        <v>46079</v>
      </c>
      <c r="AG490" s="61">
        <v>0.65738425925925925</v>
      </c>
      <c r="AI490" t="s">
        <v>795</v>
      </c>
      <c r="AJ490" s="31">
        <v>46101</v>
      </c>
      <c r="AK490" s="61">
        <v>0.72321759259259255</v>
      </c>
      <c r="AL490" t="s">
        <v>796</v>
      </c>
      <c r="AO490" t="s">
        <v>395</v>
      </c>
      <c r="AP490" t="s">
        <v>22</v>
      </c>
      <c r="AQ490" t="s">
        <v>395</v>
      </c>
      <c r="AS490" s="31">
        <v>46101</v>
      </c>
      <c r="AT490">
        <v>32</v>
      </c>
      <c r="AV490" t="s">
        <v>321</v>
      </c>
      <c r="AY490">
        <v>1</v>
      </c>
    </row>
    <row r="491" spans="1:51" x14ac:dyDescent="0.3">
      <c r="A491" t="s">
        <v>22</v>
      </c>
      <c r="B491">
        <v>977</v>
      </c>
      <c r="D491">
        <v>3318</v>
      </c>
      <c r="E491" t="s">
        <v>4860</v>
      </c>
      <c r="G491" t="s">
        <v>470</v>
      </c>
      <c r="H491">
        <v>82270893000150</v>
      </c>
      <c r="J491" t="s">
        <v>4861</v>
      </c>
      <c r="K491" t="s">
        <v>4861</v>
      </c>
      <c r="L491" t="s">
        <v>4862</v>
      </c>
      <c r="N491" t="s">
        <v>4863</v>
      </c>
      <c r="Q491" t="s">
        <v>778</v>
      </c>
      <c r="R491" t="s">
        <v>4864</v>
      </c>
      <c r="S491" t="s">
        <v>1699</v>
      </c>
      <c r="X491" t="s">
        <v>780</v>
      </c>
      <c r="Y491" t="s">
        <v>816</v>
      </c>
      <c r="AA491" s="31">
        <v>46081</v>
      </c>
      <c r="AB491">
        <v>35870</v>
      </c>
      <c r="AC491">
        <v>5290</v>
      </c>
      <c r="AD491">
        <v>12</v>
      </c>
      <c r="AE491" t="s">
        <v>22</v>
      </c>
      <c r="AF491" s="31">
        <v>46079</v>
      </c>
      <c r="AG491" s="61">
        <v>0.65870370370370368</v>
      </c>
      <c r="AI491" t="s">
        <v>795</v>
      </c>
      <c r="AJ491" s="31">
        <v>46091</v>
      </c>
      <c r="AK491" s="61">
        <v>0.48899305555555561</v>
      </c>
      <c r="AL491" t="s">
        <v>858</v>
      </c>
      <c r="AO491" t="s">
        <v>395</v>
      </c>
      <c r="AP491" t="s">
        <v>22</v>
      </c>
      <c r="AQ491" t="s">
        <v>4762</v>
      </c>
      <c r="AS491" s="31"/>
      <c r="AT491">
        <v>30</v>
      </c>
      <c r="AU491">
        <v>100</v>
      </c>
      <c r="AV491" t="s">
        <v>63</v>
      </c>
      <c r="AY491">
        <v>1</v>
      </c>
    </row>
    <row r="492" spans="1:51" x14ac:dyDescent="0.3">
      <c r="A492" t="s">
        <v>44</v>
      </c>
      <c r="B492">
        <v>978</v>
      </c>
      <c r="D492">
        <v>3323</v>
      </c>
      <c r="E492" t="s">
        <v>4845</v>
      </c>
      <c r="G492" t="s">
        <v>464</v>
      </c>
      <c r="J492" t="s">
        <v>4865</v>
      </c>
      <c r="K492" t="s">
        <v>4865</v>
      </c>
      <c r="L492">
        <v>1435416311</v>
      </c>
      <c r="N492" t="s">
        <v>4843</v>
      </c>
      <c r="Q492" t="s">
        <v>778</v>
      </c>
      <c r="X492" t="s">
        <v>780</v>
      </c>
      <c r="Y492" t="s">
        <v>793</v>
      </c>
      <c r="AA492" s="31"/>
      <c r="AB492">
        <v>1105989</v>
      </c>
      <c r="AC492">
        <v>29463</v>
      </c>
      <c r="AD492">
        <v>14</v>
      </c>
      <c r="AE492" t="s">
        <v>44</v>
      </c>
      <c r="AF492" s="31">
        <v>46079</v>
      </c>
      <c r="AG492" s="61">
        <v>0.72268518518518521</v>
      </c>
      <c r="AI492" t="s">
        <v>795</v>
      </c>
      <c r="AJ492" s="31">
        <v>46093</v>
      </c>
      <c r="AK492" s="61">
        <v>0.45361111111111108</v>
      </c>
      <c r="AL492" t="s">
        <v>934</v>
      </c>
      <c r="AM492" t="s">
        <v>4845</v>
      </c>
      <c r="AO492" t="s">
        <v>458</v>
      </c>
      <c r="AQ492" t="s">
        <v>458</v>
      </c>
      <c r="AS492" s="31">
        <v>46094</v>
      </c>
      <c r="AT492">
        <v>30</v>
      </c>
      <c r="AY492">
        <v>1</v>
      </c>
    </row>
    <row r="493" spans="1:51" x14ac:dyDescent="0.3">
      <c r="A493" t="s">
        <v>44</v>
      </c>
      <c r="B493">
        <v>979</v>
      </c>
      <c r="D493">
        <v>3324</v>
      </c>
      <c r="E493" t="s">
        <v>4845</v>
      </c>
      <c r="G493" t="s">
        <v>469</v>
      </c>
      <c r="J493" t="s">
        <v>4866</v>
      </c>
      <c r="K493" t="s">
        <v>4866</v>
      </c>
      <c r="L493">
        <v>1435416311</v>
      </c>
      <c r="N493" t="s">
        <v>4843</v>
      </c>
      <c r="Q493" t="s">
        <v>778</v>
      </c>
      <c r="X493" t="s">
        <v>780</v>
      </c>
      <c r="Y493" t="s">
        <v>793</v>
      </c>
      <c r="AA493" s="31"/>
      <c r="AB493">
        <v>1600</v>
      </c>
      <c r="AC493">
        <v>252471</v>
      </c>
      <c r="AD493">
        <v>14</v>
      </c>
      <c r="AE493" t="s">
        <v>44</v>
      </c>
      <c r="AF493" s="31">
        <v>46079</v>
      </c>
      <c r="AG493" s="61">
        <v>0.73281249999999998</v>
      </c>
      <c r="AI493" t="s">
        <v>795</v>
      </c>
      <c r="AJ493" s="31">
        <v>46093</v>
      </c>
      <c r="AK493" s="61">
        <v>0.45197916666666671</v>
      </c>
      <c r="AL493" t="s">
        <v>934</v>
      </c>
      <c r="AM493" t="s">
        <v>4845</v>
      </c>
      <c r="AN493" t="s">
        <v>4733</v>
      </c>
      <c r="AO493" t="s">
        <v>458</v>
      </c>
      <c r="AS493" s="31"/>
      <c r="AT493">
        <v>30</v>
      </c>
      <c r="AY493">
        <v>1</v>
      </c>
    </row>
    <row r="494" spans="1:51" x14ac:dyDescent="0.3">
      <c r="A494" t="s">
        <v>22</v>
      </c>
      <c r="B494">
        <v>980</v>
      </c>
      <c r="D494">
        <v>3325</v>
      </c>
      <c r="G494" t="s">
        <v>475</v>
      </c>
      <c r="H494">
        <v>23059521000110</v>
      </c>
      <c r="J494" t="s">
        <v>4867</v>
      </c>
      <c r="K494" t="s">
        <v>4867</v>
      </c>
      <c r="L494" t="s">
        <v>4868</v>
      </c>
      <c r="Q494" t="s">
        <v>778</v>
      </c>
      <c r="R494" t="s">
        <v>4869</v>
      </c>
      <c r="S494" t="s">
        <v>932</v>
      </c>
      <c r="X494" t="s">
        <v>780</v>
      </c>
      <c r="Y494" t="s">
        <v>816</v>
      </c>
      <c r="AA494" s="31">
        <v>46081</v>
      </c>
      <c r="AB494">
        <v>7470289</v>
      </c>
      <c r="AC494">
        <v>1221612</v>
      </c>
      <c r="AD494">
        <v>0</v>
      </c>
      <c r="AE494" t="s">
        <v>22</v>
      </c>
      <c r="AF494" s="31">
        <v>46079</v>
      </c>
      <c r="AG494" s="61">
        <v>0.91543981481481485</v>
      </c>
      <c r="AI494" t="s">
        <v>818</v>
      </c>
      <c r="AJ494" s="31">
        <v>46079</v>
      </c>
      <c r="AK494" s="61">
        <v>0.91915509259259254</v>
      </c>
      <c r="AO494" t="s">
        <v>458</v>
      </c>
      <c r="AP494" t="s">
        <v>22</v>
      </c>
      <c r="AQ494" t="s">
        <v>511</v>
      </c>
      <c r="AS494" s="31"/>
      <c r="AT494">
        <v>90</v>
      </c>
      <c r="AV494" t="s">
        <v>4870</v>
      </c>
      <c r="AW494" t="s">
        <v>4871</v>
      </c>
      <c r="AX494" t="s">
        <v>4872</v>
      </c>
      <c r="AY494">
        <v>1</v>
      </c>
    </row>
    <row r="495" spans="1:51" x14ac:dyDescent="0.3">
      <c r="A495" t="s">
        <v>44</v>
      </c>
      <c r="B495">
        <v>981</v>
      </c>
      <c r="D495">
        <v>3328</v>
      </c>
      <c r="G495" t="s">
        <v>474</v>
      </c>
      <c r="J495" t="s">
        <v>4873</v>
      </c>
      <c r="K495" t="s">
        <v>4873</v>
      </c>
      <c r="L495">
        <v>4733683065</v>
      </c>
      <c r="N495" t="s">
        <v>3088</v>
      </c>
      <c r="Q495" t="s">
        <v>778</v>
      </c>
      <c r="X495" t="s">
        <v>780</v>
      </c>
      <c r="Y495" t="s">
        <v>857</v>
      </c>
      <c r="AA495" s="31"/>
      <c r="AB495">
        <v>1600</v>
      </c>
      <c r="AC495">
        <v>252471</v>
      </c>
      <c r="AD495">
        <v>47</v>
      </c>
      <c r="AE495" t="s">
        <v>44</v>
      </c>
      <c r="AF495" s="31">
        <v>46080</v>
      </c>
      <c r="AG495" s="61">
        <v>0.45732638888888888</v>
      </c>
      <c r="AI495" t="s">
        <v>782</v>
      </c>
      <c r="AJ495" s="31"/>
      <c r="AK495" s="61"/>
      <c r="AO495" t="s">
        <v>393</v>
      </c>
      <c r="AQ495" t="s">
        <v>393</v>
      </c>
      <c r="AS495" s="31"/>
      <c r="AT495">
        <v>30</v>
      </c>
      <c r="AY495">
        <v>1</v>
      </c>
    </row>
    <row r="496" spans="1:51" x14ac:dyDescent="0.3">
      <c r="A496" t="s">
        <v>44</v>
      </c>
      <c r="B496">
        <v>982</v>
      </c>
      <c r="D496">
        <v>3329</v>
      </c>
      <c r="G496" t="s">
        <v>479</v>
      </c>
      <c r="J496" t="s">
        <v>4874</v>
      </c>
      <c r="K496" t="s">
        <v>4874</v>
      </c>
      <c r="L496">
        <v>14998549863</v>
      </c>
      <c r="N496" t="s">
        <v>3135</v>
      </c>
      <c r="Q496" t="s">
        <v>778</v>
      </c>
      <c r="X496" t="s">
        <v>780</v>
      </c>
      <c r="Y496" t="s">
        <v>807</v>
      </c>
      <c r="AA496" s="31"/>
      <c r="AB496">
        <v>1600</v>
      </c>
      <c r="AC496">
        <v>252471</v>
      </c>
      <c r="AD496">
        <v>47</v>
      </c>
      <c r="AE496" t="s">
        <v>44</v>
      </c>
      <c r="AF496" s="31">
        <v>46080</v>
      </c>
      <c r="AG496" s="61">
        <v>0.51340277777777776</v>
      </c>
      <c r="AI496" t="s">
        <v>782</v>
      </c>
      <c r="AJ496" s="31"/>
      <c r="AK496" s="61"/>
      <c r="AO496" t="s">
        <v>480</v>
      </c>
      <c r="AQ496" t="s">
        <v>403</v>
      </c>
      <c r="AR496" t="s">
        <v>480</v>
      </c>
      <c r="AS496" s="31"/>
      <c r="AT496">
        <v>30</v>
      </c>
      <c r="AY496">
        <v>1</v>
      </c>
    </row>
    <row r="497" spans="1:51" x14ac:dyDescent="0.3">
      <c r="A497" t="s">
        <v>44</v>
      </c>
      <c r="B497">
        <v>983</v>
      </c>
      <c r="D497">
        <v>3330</v>
      </c>
      <c r="G497" t="s">
        <v>4875</v>
      </c>
      <c r="J497" t="s">
        <v>4876</v>
      </c>
      <c r="K497" t="s">
        <v>4876</v>
      </c>
      <c r="L497">
        <v>11915642482</v>
      </c>
      <c r="N497" t="s">
        <v>1111</v>
      </c>
      <c r="Q497" t="s">
        <v>778</v>
      </c>
      <c r="X497" t="s">
        <v>780</v>
      </c>
      <c r="Y497" t="s">
        <v>816</v>
      </c>
      <c r="AA497" s="31"/>
      <c r="AB497">
        <v>0</v>
      </c>
      <c r="AC497">
        <v>384454</v>
      </c>
      <c r="AD497">
        <v>33</v>
      </c>
      <c r="AE497" t="s">
        <v>44</v>
      </c>
      <c r="AF497" s="31">
        <v>46080</v>
      </c>
      <c r="AG497" s="61">
        <v>0.5448263888888889</v>
      </c>
      <c r="AI497" t="s">
        <v>818</v>
      </c>
      <c r="AJ497" s="31">
        <v>46113</v>
      </c>
      <c r="AK497" s="61">
        <v>0.44480324074074068</v>
      </c>
      <c r="AO497" t="s">
        <v>403</v>
      </c>
      <c r="AS497" s="31"/>
      <c r="AT497">
        <v>30</v>
      </c>
      <c r="AY497">
        <v>1</v>
      </c>
    </row>
    <row r="498" spans="1:51" x14ac:dyDescent="0.3">
      <c r="A498" t="s">
        <v>44</v>
      </c>
      <c r="B498">
        <v>984</v>
      </c>
      <c r="D498">
        <v>3331</v>
      </c>
      <c r="G498" t="s">
        <v>489</v>
      </c>
      <c r="J498" t="s">
        <v>4877</v>
      </c>
      <c r="K498" t="s">
        <v>4877</v>
      </c>
      <c r="L498">
        <v>1184724282</v>
      </c>
      <c r="N498" t="s">
        <v>3157</v>
      </c>
      <c r="Q498" t="s">
        <v>778</v>
      </c>
      <c r="X498" t="s">
        <v>780</v>
      </c>
      <c r="Y498" t="s">
        <v>857</v>
      </c>
      <c r="AA498" s="31"/>
      <c r="AB498">
        <v>6000</v>
      </c>
      <c r="AC498">
        <v>2000</v>
      </c>
      <c r="AD498">
        <v>47</v>
      </c>
      <c r="AE498" t="s">
        <v>44</v>
      </c>
      <c r="AF498" s="31">
        <v>46080</v>
      </c>
      <c r="AG498" s="61">
        <v>0.54798611111111106</v>
      </c>
      <c r="AI498" t="s">
        <v>782</v>
      </c>
      <c r="AJ498" s="31"/>
      <c r="AK498" s="61"/>
      <c r="AO498" t="s">
        <v>403</v>
      </c>
      <c r="AS498" s="31"/>
      <c r="AT498">
        <v>30</v>
      </c>
      <c r="AY498">
        <v>1</v>
      </c>
    </row>
    <row r="499" spans="1:51" x14ac:dyDescent="0.3">
      <c r="A499" t="s">
        <v>22</v>
      </c>
      <c r="B499">
        <v>985</v>
      </c>
      <c r="D499">
        <v>3332</v>
      </c>
      <c r="E499" t="s">
        <v>4878</v>
      </c>
      <c r="G499" t="s">
        <v>481</v>
      </c>
      <c r="J499" t="s">
        <v>4879</v>
      </c>
      <c r="K499" t="s">
        <v>4879</v>
      </c>
      <c r="L499">
        <v>4699841338</v>
      </c>
      <c r="N499" t="s">
        <v>3168</v>
      </c>
      <c r="Q499" t="s">
        <v>778</v>
      </c>
      <c r="X499" t="s">
        <v>780</v>
      </c>
      <c r="Y499" t="s">
        <v>816</v>
      </c>
      <c r="AA499" s="31">
        <v>46112</v>
      </c>
      <c r="AB499">
        <v>5007058</v>
      </c>
      <c r="AC499">
        <v>268966</v>
      </c>
      <c r="AD499">
        <v>42</v>
      </c>
      <c r="AE499" t="s">
        <v>22</v>
      </c>
      <c r="AF499" s="31">
        <v>46080</v>
      </c>
      <c r="AG499" s="61">
        <v>0.60878472222222224</v>
      </c>
      <c r="AI499" t="s">
        <v>795</v>
      </c>
      <c r="AJ499" s="31">
        <v>46122</v>
      </c>
      <c r="AK499" s="61">
        <v>0.66790509259259256</v>
      </c>
      <c r="AL499" t="s">
        <v>858</v>
      </c>
      <c r="AO499" t="s">
        <v>395</v>
      </c>
      <c r="AP499" t="s">
        <v>22</v>
      </c>
      <c r="AQ499" t="s">
        <v>395</v>
      </c>
      <c r="AS499" s="31">
        <v>46093</v>
      </c>
      <c r="AT499">
        <v>30</v>
      </c>
      <c r="AU499">
        <v>280</v>
      </c>
      <c r="AV499" t="s">
        <v>321</v>
      </c>
      <c r="AY499">
        <v>1</v>
      </c>
    </row>
    <row r="500" spans="1:51" x14ac:dyDescent="0.3">
      <c r="A500" t="s">
        <v>22</v>
      </c>
      <c r="B500">
        <v>987</v>
      </c>
      <c r="D500">
        <v>3334</v>
      </c>
      <c r="E500" t="s">
        <v>4880</v>
      </c>
      <c r="G500" t="s">
        <v>390</v>
      </c>
      <c r="H500">
        <v>7730144000142</v>
      </c>
      <c r="J500" t="s">
        <v>4881</v>
      </c>
      <c r="K500" t="s">
        <v>4881</v>
      </c>
      <c r="L500">
        <v>11994558029</v>
      </c>
      <c r="N500" t="s">
        <v>4882</v>
      </c>
      <c r="Q500" t="s">
        <v>778</v>
      </c>
      <c r="X500" t="s">
        <v>780</v>
      </c>
      <c r="Y500" t="s">
        <v>807</v>
      </c>
      <c r="AA500" s="31">
        <v>46112</v>
      </c>
      <c r="AD500">
        <v>47</v>
      </c>
      <c r="AE500" t="s">
        <v>22</v>
      </c>
      <c r="AF500" s="31">
        <v>46080</v>
      </c>
      <c r="AG500" s="61">
        <v>0.89208333333333334</v>
      </c>
      <c r="AI500" t="s">
        <v>782</v>
      </c>
      <c r="AJ500" s="31"/>
      <c r="AK500" s="61"/>
      <c r="AO500" t="s">
        <v>4706</v>
      </c>
      <c r="AP500" t="s">
        <v>22</v>
      </c>
      <c r="AQ500" t="s">
        <v>4883</v>
      </c>
      <c r="AS500" s="31">
        <v>46101</v>
      </c>
      <c r="AT500">
        <v>30</v>
      </c>
      <c r="AV500" t="s">
        <v>63</v>
      </c>
      <c r="AY500">
        <v>1</v>
      </c>
    </row>
    <row r="501" spans="1:51" x14ac:dyDescent="0.3">
      <c r="A501" t="s">
        <v>31</v>
      </c>
      <c r="B501">
        <v>990</v>
      </c>
      <c r="D501">
        <v>3335</v>
      </c>
      <c r="E501" t="s">
        <v>4884</v>
      </c>
      <c r="G501" t="s">
        <v>4885</v>
      </c>
      <c r="H501">
        <v>15497764000616</v>
      </c>
      <c r="J501" t="s">
        <v>4886</v>
      </c>
      <c r="K501" t="s">
        <v>4886</v>
      </c>
      <c r="L501" t="s">
        <v>4887</v>
      </c>
      <c r="N501" t="s">
        <v>4888</v>
      </c>
      <c r="Q501" t="s">
        <v>778</v>
      </c>
      <c r="R501" t="s">
        <v>4889</v>
      </c>
      <c r="S501" t="s">
        <v>932</v>
      </c>
      <c r="T501" t="s">
        <v>814</v>
      </c>
      <c r="W501" t="s">
        <v>2878</v>
      </c>
      <c r="X501" t="s">
        <v>780</v>
      </c>
      <c r="Y501" t="s">
        <v>857</v>
      </c>
      <c r="AA501" s="31">
        <v>46203</v>
      </c>
      <c r="AD501">
        <v>35</v>
      </c>
      <c r="AE501" t="s">
        <v>22</v>
      </c>
      <c r="AF501" s="31">
        <v>46084</v>
      </c>
      <c r="AG501" s="61">
        <v>0.89053240740740736</v>
      </c>
      <c r="AI501" t="s">
        <v>795</v>
      </c>
      <c r="AJ501" s="31">
        <v>46119</v>
      </c>
      <c r="AK501" s="61">
        <v>0.45798611111111109</v>
      </c>
      <c r="AL501" t="s">
        <v>796</v>
      </c>
      <c r="AP501" t="s">
        <v>31</v>
      </c>
      <c r="AS501" s="31">
        <v>46119</v>
      </c>
      <c r="AT501">
        <v>30</v>
      </c>
      <c r="AV501" t="s">
        <v>47</v>
      </c>
      <c r="AY501">
        <v>1</v>
      </c>
    </row>
    <row r="502" spans="1:51" x14ac:dyDescent="0.3">
      <c r="A502" t="s">
        <v>44</v>
      </c>
      <c r="B502">
        <v>991</v>
      </c>
      <c r="D502">
        <v>3339</v>
      </c>
      <c r="E502" t="s">
        <v>4890</v>
      </c>
      <c r="G502" t="s">
        <v>407</v>
      </c>
      <c r="H502">
        <v>5137778000160</v>
      </c>
      <c r="J502" t="s">
        <v>4891</v>
      </c>
      <c r="K502" t="s">
        <v>4891</v>
      </c>
      <c r="L502" t="s">
        <v>4892</v>
      </c>
      <c r="N502" t="s">
        <v>4893</v>
      </c>
      <c r="Q502" t="s">
        <v>778</v>
      </c>
      <c r="R502" t="s">
        <v>4894</v>
      </c>
      <c r="T502" t="s">
        <v>814</v>
      </c>
      <c r="W502" t="s">
        <v>2878</v>
      </c>
      <c r="X502" t="s">
        <v>780</v>
      </c>
      <c r="Y502" t="s">
        <v>857</v>
      </c>
      <c r="AA502" s="31">
        <v>46112</v>
      </c>
      <c r="AB502">
        <v>1104172</v>
      </c>
      <c r="AC502">
        <v>656776</v>
      </c>
      <c r="AD502">
        <v>20</v>
      </c>
      <c r="AE502" t="s">
        <v>22</v>
      </c>
      <c r="AF502" s="31">
        <v>46085</v>
      </c>
      <c r="AG502" s="61">
        <v>0.69291666666666663</v>
      </c>
      <c r="AI502" t="s">
        <v>795</v>
      </c>
      <c r="AJ502" s="31">
        <v>46105</v>
      </c>
      <c r="AK502" s="61">
        <v>0.64593750000000005</v>
      </c>
      <c r="AL502" t="s">
        <v>934</v>
      </c>
      <c r="AM502" t="s">
        <v>4895</v>
      </c>
      <c r="AO502" t="s">
        <v>4732</v>
      </c>
      <c r="AP502" t="s">
        <v>44</v>
      </c>
      <c r="AQ502" t="s">
        <v>4732</v>
      </c>
      <c r="AS502" s="31">
        <v>46090</v>
      </c>
      <c r="AT502">
        <v>30</v>
      </c>
      <c r="AV502" t="s">
        <v>69</v>
      </c>
      <c r="AY502">
        <v>1</v>
      </c>
    </row>
    <row r="503" spans="1:51" x14ac:dyDescent="0.3">
      <c r="A503" t="s">
        <v>22</v>
      </c>
      <c r="B503">
        <v>993</v>
      </c>
      <c r="D503">
        <v>3342</v>
      </c>
      <c r="E503" t="s">
        <v>4896</v>
      </c>
      <c r="G503" t="s">
        <v>433</v>
      </c>
      <c r="H503">
        <v>43191819000196</v>
      </c>
      <c r="J503" t="s">
        <v>4897</v>
      </c>
      <c r="K503" t="s">
        <v>4897</v>
      </c>
      <c r="L503" t="s">
        <v>4898</v>
      </c>
      <c r="N503" t="s">
        <v>4899</v>
      </c>
      <c r="Q503" t="s">
        <v>778</v>
      </c>
      <c r="R503" t="s">
        <v>4900</v>
      </c>
      <c r="S503" t="s">
        <v>1699</v>
      </c>
      <c r="X503" t="s">
        <v>780</v>
      </c>
      <c r="Y503" t="s">
        <v>807</v>
      </c>
      <c r="AA503" s="31">
        <v>46112</v>
      </c>
      <c r="AB503">
        <v>895843</v>
      </c>
      <c r="AC503">
        <v>395308</v>
      </c>
      <c r="AD503">
        <v>36</v>
      </c>
      <c r="AE503" t="s">
        <v>22</v>
      </c>
      <c r="AF503" s="31">
        <v>46086</v>
      </c>
      <c r="AG503" s="61">
        <v>0.36936342592592591</v>
      </c>
      <c r="AI503" t="s">
        <v>795</v>
      </c>
      <c r="AJ503" s="31">
        <v>46122</v>
      </c>
      <c r="AK503" s="61">
        <v>0.72621527777777772</v>
      </c>
      <c r="AL503" t="s">
        <v>867</v>
      </c>
      <c r="AO503" t="s">
        <v>4788</v>
      </c>
      <c r="AP503" t="s">
        <v>22</v>
      </c>
      <c r="AQ503" t="s">
        <v>4679</v>
      </c>
      <c r="AS503" s="31">
        <v>46101</v>
      </c>
      <c r="AT503">
        <v>30</v>
      </c>
      <c r="AV503" t="s">
        <v>2932</v>
      </c>
      <c r="AY503">
        <v>1</v>
      </c>
    </row>
    <row r="504" spans="1:51" x14ac:dyDescent="0.3">
      <c r="A504" t="s">
        <v>31</v>
      </c>
      <c r="B504">
        <v>994</v>
      </c>
      <c r="D504">
        <v>3347</v>
      </c>
      <c r="E504" t="s">
        <v>4901</v>
      </c>
      <c r="F504" t="s">
        <v>4902</v>
      </c>
      <c r="G504" t="s">
        <v>4903</v>
      </c>
      <c r="H504">
        <v>61808531000523</v>
      </c>
      <c r="J504" t="s">
        <v>4902</v>
      </c>
      <c r="K504" t="s">
        <v>4902</v>
      </c>
      <c r="L504" t="s">
        <v>4904</v>
      </c>
      <c r="N504" t="s">
        <v>4905</v>
      </c>
      <c r="Q504" t="s">
        <v>778</v>
      </c>
      <c r="R504" t="s">
        <v>1094</v>
      </c>
      <c r="S504" t="s">
        <v>790</v>
      </c>
      <c r="T504" t="s">
        <v>805</v>
      </c>
      <c r="X504" t="s">
        <v>780</v>
      </c>
      <c r="Y504" t="s">
        <v>793</v>
      </c>
      <c r="AA504" s="31">
        <v>46142</v>
      </c>
      <c r="AD504">
        <v>41</v>
      </c>
      <c r="AE504" t="s">
        <v>31</v>
      </c>
      <c r="AF504" s="31">
        <v>46086</v>
      </c>
      <c r="AG504" s="61">
        <v>0.72510416666666666</v>
      </c>
      <c r="AI504" t="s">
        <v>782</v>
      </c>
      <c r="AJ504" s="31"/>
      <c r="AK504" s="61"/>
      <c r="AP504" t="s">
        <v>31</v>
      </c>
      <c r="AQ504" t="s">
        <v>4748</v>
      </c>
      <c r="AR504" t="s">
        <v>4733</v>
      </c>
      <c r="AS504" s="31">
        <v>46127</v>
      </c>
      <c r="AT504">
        <v>30</v>
      </c>
      <c r="AV504" t="s">
        <v>63</v>
      </c>
      <c r="AY504">
        <v>1</v>
      </c>
    </row>
    <row r="505" spans="1:51" x14ac:dyDescent="0.3">
      <c r="A505" t="s">
        <v>44</v>
      </c>
      <c r="B505">
        <v>995</v>
      </c>
      <c r="D505">
        <v>3348</v>
      </c>
      <c r="E505" t="s">
        <v>4906</v>
      </c>
      <c r="F505" t="s">
        <v>4907</v>
      </c>
      <c r="G505" t="s">
        <v>415</v>
      </c>
      <c r="H505">
        <v>58092341000114</v>
      </c>
      <c r="J505" t="s">
        <v>4907</v>
      </c>
      <c r="K505" t="s">
        <v>4907</v>
      </c>
      <c r="L505" t="s">
        <v>4908</v>
      </c>
      <c r="N505" t="s">
        <v>4909</v>
      </c>
      <c r="Q505" t="s">
        <v>778</v>
      </c>
      <c r="R505" t="s">
        <v>4910</v>
      </c>
      <c r="S505" t="s">
        <v>932</v>
      </c>
      <c r="T505" t="s">
        <v>805</v>
      </c>
      <c r="X505" t="s">
        <v>780</v>
      </c>
      <c r="Y505" t="s">
        <v>793</v>
      </c>
      <c r="AA505" s="31"/>
      <c r="AB505">
        <v>686343</v>
      </c>
      <c r="AC505">
        <v>36781</v>
      </c>
      <c r="AD505">
        <v>3</v>
      </c>
      <c r="AE505" t="s">
        <v>44</v>
      </c>
      <c r="AF505" s="31">
        <v>46087</v>
      </c>
      <c r="AG505" s="61">
        <v>0.52327546296296301</v>
      </c>
      <c r="AI505" t="s">
        <v>795</v>
      </c>
      <c r="AJ505" s="31">
        <v>46090</v>
      </c>
      <c r="AK505" s="61">
        <v>0.39971064814814822</v>
      </c>
      <c r="AL505" t="s">
        <v>934</v>
      </c>
      <c r="AM505" t="s">
        <v>4906</v>
      </c>
      <c r="AO505" t="s">
        <v>4911</v>
      </c>
      <c r="AQ505" t="s">
        <v>4911</v>
      </c>
      <c r="AS505" s="31">
        <v>46087</v>
      </c>
      <c r="AT505">
        <v>50</v>
      </c>
      <c r="AY505">
        <v>1</v>
      </c>
    </row>
    <row r="506" spans="1:51" x14ac:dyDescent="0.3">
      <c r="A506" t="s">
        <v>44</v>
      </c>
      <c r="B506">
        <v>996</v>
      </c>
      <c r="D506">
        <v>3351</v>
      </c>
      <c r="E506" t="s">
        <v>4912</v>
      </c>
      <c r="F506" t="s">
        <v>4913</v>
      </c>
      <c r="G506" t="s">
        <v>432</v>
      </c>
      <c r="H506">
        <v>27672869000139</v>
      </c>
      <c r="J506" t="s">
        <v>4914</v>
      </c>
      <c r="K506" t="s">
        <v>4914</v>
      </c>
      <c r="L506" t="s">
        <v>4915</v>
      </c>
      <c r="N506" t="s">
        <v>4916</v>
      </c>
      <c r="Q506" t="s">
        <v>778</v>
      </c>
      <c r="R506" t="s">
        <v>993</v>
      </c>
      <c r="S506" t="s">
        <v>932</v>
      </c>
      <c r="X506" t="s">
        <v>780</v>
      </c>
      <c r="Y506" t="s">
        <v>857</v>
      </c>
      <c r="AA506" s="31"/>
      <c r="AB506">
        <v>7305558</v>
      </c>
      <c r="AC506">
        <v>143186</v>
      </c>
      <c r="AD506">
        <v>40</v>
      </c>
      <c r="AE506" t="s">
        <v>44</v>
      </c>
      <c r="AF506" s="31">
        <v>46087</v>
      </c>
      <c r="AG506" s="61">
        <v>0.71341435185185187</v>
      </c>
      <c r="AI506" t="s">
        <v>795</v>
      </c>
      <c r="AJ506" s="31">
        <v>46127</v>
      </c>
      <c r="AK506" s="61">
        <v>0.39947916666666672</v>
      </c>
      <c r="AL506" t="s">
        <v>934</v>
      </c>
      <c r="AM506" t="s">
        <v>4917</v>
      </c>
      <c r="AO506" t="s">
        <v>4918</v>
      </c>
      <c r="AQ506" t="s">
        <v>4748</v>
      </c>
      <c r="AS506" s="31">
        <v>46127</v>
      </c>
      <c r="AT506">
        <v>30</v>
      </c>
      <c r="AY506">
        <v>1</v>
      </c>
    </row>
    <row r="507" spans="1:51" x14ac:dyDescent="0.3">
      <c r="A507" t="s">
        <v>31</v>
      </c>
      <c r="B507">
        <v>997</v>
      </c>
      <c r="D507">
        <v>3341</v>
      </c>
      <c r="G507" t="s">
        <v>4919</v>
      </c>
      <c r="J507" t="s">
        <v>4920</v>
      </c>
      <c r="K507" t="s">
        <v>4920</v>
      </c>
      <c r="L507">
        <v>67999772326</v>
      </c>
      <c r="N507" t="s">
        <v>4921</v>
      </c>
      <c r="Q507" t="s">
        <v>778</v>
      </c>
      <c r="T507" t="s">
        <v>2541</v>
      </c>
      <c r="W507" t="s">
        <v>2559</v>
      </c>
      <c r="X507" t="s">
        <v>780</v>
      </c>
      <c r="Y507" t="s">
        <v>781</v>
      </c>
      <c r="AA507" s="31">
        <v>46112</v>
      </c>
      <c r="AD507">
        <v>1</v>
      </c>
      <c r="AE507" t="s">
        <v>22</v>
      </c>
      <c r="AF507" s="31">
        <v>46090</v>
      </c>
      <c r="AG507" s="61">
        <v>0.59471064814814811</v>
      </c>
      <c r="AI507" t="s">
        <v>795</v>
      </c>
      <c r="AJ507" s="31">
        <v>46091</v>
      </c>
      <c r="AK507" s="61">
        <v>0.41895833333333332</v>
      </c>
      <c r="AL507" t="s">
        <v>1226</v>
      </c>
      <c r="AP507" t="s">
        <v>31</v>
      </c>
      <c r="AS507" s="31"/>
      <c r="AT507">
        <v>30</v>
      </c>
      <c r="AY507">
        <v>1</v>
      </c>
    </row>
    <row r="508" spans="1:51" x14ac:dyDescent="0.3">
      <c r="A508" t="s">
        <v>44</v>
      </c>
      <c r="B508">
        <v>999</v>
      </c>
      <c r="D508">
        <v>3360</v>
      </c>
      <c r="E508" t="s">
        <v>4922</v>
      </c>
      <c r="G508" t="s">
        <v>4923</v>
      </c>
      <c r="J508" t="s">
        <v>4924</v>
      </c>
      <c r="K508" t="s">
        <v>4924</v>
      </c>
      <c r="L508">
        <v>19974124080</v>
      </c>
      <c r="N508" t="s">
        <v>4925</v>
      </c>
      <c r="Q508" t="s">
        <v>778</v>
      </c>
      <c r="T508" t="s">
        <v>2541</v>
      </c>
      <c r="W508" t="s">
        <v>2559</v>
      </c>
      <c r="X508" t="s">
        <v>780</v>
      </c>
      <c r="Y508" t="s">
        <v>897</v>
      </c>
      <c r="AA508" s="31">
        <v>46112</v>
      </c>
      <c r="AD508">
        <v>29</v>
      </c>
      <c r="AE508" t="s">
        <v>22</v>
      </c>
      <c r="AF508" s="31">
        <v>46091</v>
      </c>
      <c r="AG508" s="61">
        <v>0.38</v>
      </c>
      <c r="AI508" t="s">
        <v>795</v>
      </c>
      <c r="AJ508" s="31">
        <v>46120</v>
      </c>
      <c r="AK508" s="61">
        <v>0.72618055555555561</v>
      </c>
      <c r="AL508" t="s">
        <v>1226</v>
      </c>
      <c r="AM508" t="s">
        <v>4926</v>
      </c>
      <c r="AP508" t="s">
        <v>44</v>
      </c>
      <c r="AS508" s="31">
        <v>46100</v>
      </c>
      <c r="AT508">
        <v>30</v>
      </c>
      <c r="AY508">
        <v>1</v>
      </c>
    </row>
    <row r="509" spans="1:51" x14ac:dyDescent="0.3">
      <c r="A509" t="s">
        <v>22</v>
      </c>
      <c r="B509">
        <v>1000</v>
      </c>
      <c r="D509">
        <v>3358</v>
      </c>
      <c r="E509" t="s">
        <v>4927</v>
      </c>
      <c r="G509" t="s">
        <v>4928</v>
      </c>
      <c r="J509" t="s">
        <v>4929</v>
      </c>
      <c r="K509" t="s">
        <v>4929</v>
      </c>
      <c r="L509">
        <v>16991945630</v>
      </c>
      <c r="N509" t="s">
        <v>4930</v>
      </c>
      <c r="Q509" t="s">
        <v>778</v>
      </c>
      <c r="T509" t="s">
        <v>2541</v>
      </c>
      <c r="W509" t="s">
        <v>2791</v>
      </c>
      <c r="X509" t="s">
        <v>780</v>
      </c>
      <c r="Y509" t="s">
        <v>897</v>
      </c>
      <c r="AA509" s="31">
        <v>46112</v>
      </c>
      <c r="AD509">
        <v>2</v>
      </c>
      <c r="AE509" t="s">
        <v>22</v>
      </c>
      <c r="AF509" s="31">
        <v>46091</v>
      </c>
      <c r="AG509" s="61">
        <v>0.38824074074074072</v>
      </c>
      <c r="AI509" t="s">
        <v>795</v>
      </c>
      <c r="AJ509" s="31">
        <v>46093</v>
      </c>
      <c r="AK509" s="61">
        <v>0.72733796296296294</v>
      </c>
      <c r="AL509" t="s">
        <v>1226</v>
      </c>
      <c r="AP509" t="s">
        <v>22</v>
      </c>
      <c r="AS509" s="31">
        <v>46093</v>
      </c>
      <c r="AT509">
        <v>30</v>
      </c>
      <c r="AY509">
        <v>1</v>
      </c>
    </row>
    <row r="510" spans="1:51" x14ac:dyDescent="0.3">
      <c r="A510" t="s">
        <v>31</v>
      </c>
      <c r="B510">
        <v>1001</v>
      </c>
      <c r="D510">
        <v>3357</v>
      </c>
      <c r="E510" t="s">
        <v>4931</v>
      </c>
      <c r="G510" t="s">
        <v>406</v>
      </c>
      <c r="J510" t="s">
        <v>4932</v>
      </c>
      <c r="K510" t="s">
        <v>4932</v>
      </c>
      <c r="L510" t="s">
        <v>4933</v>
      </c>
      <c r="N510" t="s">
        <v>4934</v>
      </c>
      <c r="Q510" t="s">
        <v>778</v>
      </c>
      <c r="R510" t="s">
        <v>4935</v>
      </c>
      <c r="T510" t="s">
        <v>814</v>
      </c>
      <c r="W510" t="s">
        <v>2878</v>
      </c>
      <c r="X510" t="s">
        <v>780</v>
      </c>
      <c r="Y510" t="s">
        <v>807</v>
      </c>
      <c r="AA510" s="31">
        <v>46173</v>
      </c>
      <c r="AB510">
        <v>16800</v>
      </c>
      <c r="AC510">
        <v>12600</v>
      </c>
      <c r="AD510">
        <v>36</v>
      </c>
      <c r="AE510" t="s">
        <v>22</v>
      </c>
      <c r="AF510" s="31">
        <v>46091</v>
      </c>
      <c r="AG510" s="61">
        <v>0.38930555555555563</v>
      </c>
      <c r="AI510" t="s">
        <v>782</v>
      </c>
      <c r="AJ510" s="31"/>
      <c r="AK510" s="61"/>
      <c r="AO510" t="s">
        <v>4664</v>
      </c>
      <c r="AP510" t="s">
        <v>31</v>
      </c>
      <c r="AQ510" t="s">
        <v>4654</v>
      </c>
      <c r="AS510" s="31">
        <v>46126</v>
      </c>
      <c r="AT510">
        <v>30</v>
      </c>
      <c r="AY510">
        <v>1</v>
      </c>
    </row>
    <row r="511" spans="1:51" x14ac:dyDescent="0.3">
      <c r="A511" t="s">
        <v>44</v>
      </c>
      <c r="B511">
        <v>1002</v>
      </c>
      <c r="D511">
        <v>3356</v>
      </c>
      <c r="E511" t="s">
        <v>4936</v>
      </c>
      <c r="G511" t="s">
        <v>4937</v>
      </c>
      <c r="J511" t="s">
        <v>4938</v>
      </c>
      <c r="K511" t="s">
        <v>4938</v>
      </c>
      <c r="L511">
        <v>11989296453</v>
      </c>
      <c r="N511" t="s">
        <v>4939</v>
      </c>
      <c r="Q511" t="s">
        <v>778</v>
      </c>
      <c r="T511" t="s">
        <v>2541</v>
      </c>
      <c r="W511" t="s">
        <v>2559</v>
      </c>
      <c r="X511" t="s">
        <v>780</v>
      </c>
      <c r="Y511" t="s">
        <v>897</v>
      </c>
      <c r="AA511" s="31">
        <v>46112</v>
      </c>
      <c r="AD511">
        <v>17</v>
      </c>
      <c r="AE511" t="s">
        <v>22</v>
      </c>
      <c r="AF511" s="31">
        <v>46091</v>
      </c>
      <c r="AG511" s="61">
        <v>0.40599537037037042</v>
      </c>
      <c r="AI511" t="s">
        <v>795</v>
      </c>
      <c r="AJ511" s="31">
        <v>46108</v>
      </c>
      <c r="AK511" s="61">
        <v>0.6</v>
      </c>
      <c r="AL511" t="s">
        <v>1226</v>
      </c>
      <c r="AM511" t="s">
        <v>4940</v>
      </c>
      <c r="AP511" t="s">
        <v>44</v>
      </c>
      <c r="AS511" s="31">
        <v>46108</v>
      </c>
      <c r="AT511">
        <v>30</v>
      </c>
      <c r="AY511">
        <v>1</v>
      </c>
    </row>
    <row r="512" spans="1:51" x14ac:dyDescent="0.3">
      <c r="A512" t="s">
        <v>31</v>
      </c>
      <c r="B512">
        <v>1003</v>
      </c>
      <c r="D512">
        <v>3355</v>
      </c>
      <c r="G512" t="s">
        <v>4941</v>
      </c>
      <c r="J512" t="s">
        <v>4942</v>
      </c>
      <c r="K512" t="s">
        <v>4942</v>
      </c>
      <c r="L512">
        <v>74999642551</v>
      </c>
      <c r="N512" t="s">
        <v>4943</v>
      </c>
      <c r="Q512" t="s">
        <v>778</v>
      </c>
      <c r="T512" t="s">
        <v>2541</v>
      </c>
      <c r="W512" t="s">
        <v>2559</v>
      </c>
      <c r="X512" t="s">
        <v>780</v>
      </c>
      <c r="Y512" t="s">
        <v>781</v>
      </c>
      <c r="AA512" s="31">
        <v>46112</v>
      </c>
      <c r="AD512">
        <v>0</v>
      </c>
      <c r="AE512" t="s">
        <v>22</v>
      </c>
      <c r="AF512" s="31">
        <v>46091</v>
      </c>
      <c r="AG512" s="61">
        <v>0.40715277777777781</v>
      </c>
      <c r="AI512" t="s">
        <v>795</v>
      </c>
      <c r="AJ512" s="31">
        <v>46091</v>
      </c>
      <c r="AK512" s="61">
        <v>0.43315972222222221</v>
      </c>
      <c r="AL512" t="s">
        <v>1226</v>
      </c>
      <c r="AP512" t="s">
        <v>31</v>
      </c>
      <c r="AS512" s="31"/>
      <c r="AT512">
        <v>30</v>
      </c>
      <c r="AY512">
        <v>1</v>
      </c>
    </row>
    <row r="513" spans="1:51" x14ac:dyDescent="0.3">
      <c r="A513" t="s">
        <v>22</v>
      </c>
      <c r="B513">
        <v>1004</v>
      </c>
      <c r="D513">
        <v>3353</v>
      </c>
      <c r="E513" t="s">
        <v>4944</v>
      </c>
      <c r="G513" t="s">
        <v>416</v>
      </c>
      <c r="H513">
        <v>5291214000188</v>
      </c>
      <c r="J513" t="s">
        <v>4945</v>
      </c>
      <c r="K513" t="s">
        <v>4945</v>
      </c>
      <c r="L513" t="s">
        <v>4946</v>
      </c>
      <c r="N513" t="s">
        <v>4947</v>
      </c>
      <c r="Q513" t="s">
        <v>778</v>
      </c>
      <c r="R513" t="s">
        <v>3774</v>
      </c>
      <c r="S513" t="s">
        <v>1105</v>
      </c>
      <c r="T513" t="s">
        <v>814</v>
      </c>
      <c r="W513" t="s">
        <v>1186</v>
      </c>
      <c r="X513" t="s">
        <v>780</v>
      </c>
      <c r="Y513" t="s">
        <v>807</v>
      </c>
      <c r="AA513" s="31">
        <v>46112</v>
      </c>
      <c r="AB513">
        <v>22800</v>
      </c>
      <c r="AC513">
        <v>14256</v>
      </c>
      <c r="AD513">
        <v>10</v>
      </c>
      <c r="AE513" t="s">
        <v>22</v>
      </c>
      <c r="AF513" s="31">
        <v>46091</v>
      </c>
      <c r="AG513" s="61">
        <v>0.4117939814814815</v>
      </c>
      <c r="AI513" t="s">
        <v>795</v>
      </c>
      <c r="AJ513" s="31">
        <v>46101</v>
      </c>
      <c r="AK513" s="61">
        <v>0.72059027777777773</v>
      </c>
      <c r="AL513" t="s">
        <v>867</v>
      </c>
      <c r="AO513" t="s">
        <v>4731</v>
      </c>
      <c r="AP513" t="s">
        <v>22</v>
      </c>
      <c r="AQ513" t="s">
        <v>4731</v>
      </c>
      <c r="AS513" s="31">
        <v>46101</v>
      </c>
      <c r="AT513">
        <v>30</v>
      </c>
      <c r="AV513" t="s">
        <v>54</v>
      </c>
      <c r="AY513">
        <v>1</v>
      </c>
    </row>
    <row r="514" spans="1:51" x14ac:dyDescent="0.3">
      <c r="A514" t="s">
        <v>31</v>
      </c>
      <c r="B514">
        <v>1005</v>
      </c>
      <c r="D514">
        <v>3354</v>
      </c>
      <c r="E514" t="s">
        <v>4948</v>
      </c>
      <c r="G514" t="s">
        <v>388</v>
      </c>
      <c r="H514">
        <v>59578948000171</v>
      </c>
      <c r="J514" t="s">
        <v>4949</v>
      </c>
      <c r="K514" t="s">
        <v>4949</v>
      </c>
      <c r="L514">
        <v>11983479931</v>
      </c>
      <c r="N514" t="s">
        <v>4950</v>
      </c>
      <c r="Q514" t="s">
        <v>778</v>
      </c>
      <c r="R514" t="s">
        <v>1094</v>
      </c>
      <c r="S514" t="s">
        <v>790</v>
      </c>
      <c r="T514" t="s">
        <v>2541</v>
      </c>
      <c r="W514" t="s">
        <v>2791</v>
      </c>
      <c r="X514" t="s">
        <v>780</v>
      </c>
      <c r="Y514" t="s">
        <v>857</v>
      </c>
      <c r="AA514" s="31">
        <v>46203</v>
      </c>
      <c r="AB514">
        <v>58800</v>
      </c>
      <c r="AC514">
        <v>55164</v>
      </c>
      <c r="AD514">
        <v>36</v>
      </c>
      <c r="AE514" t="s">
        <v>22</v>
      </c>
      <c r="AF514" s="31">
        <v>46091</v>
      </c>
      <c r="AG514" s="61">
        <v>0.41351851851851851</v>
      </c>
      <c r="AI514" t="s">
        <v>782</v>
      </c>
      <c r="AJ514" s="31"/>
      <c r="AK514" s="61"/>
      <c r="AO514" t="s">
        <v>4951</v>
      </c>
      <c r="AP514" t="s">
        <v>31</v>
      </c>
      <c r="AQ514" t="s">
        <v>4788</v>
      </c>
      <c r="AR514" t="s">
        <v>4952</v>
      </c>
      <c r="AS514" s="31">
        <v>46121</v>
      </c>
      <c r="AT514">
        <v>30</v>
      </c>
      <c r="AV514" t="s">
        <v>47</v>
      </c>
      <c r="AY514">
        <v>1</v>
      </c>
    </row>
    <row r="515" spans="1:51" x14ac:dyDescent="0.3">
      <c r="A515" t="s">
        <v>44</v>
      </c>
      <c r="B515">
        <v>1006</v>
      </c>
      <c r="D515">
        <v>3343</v>
      </c>
      <c r="E515" t="s">
        <v>4953</v>
      </c>
      <c r="G515" t="s">
        <v>4954</v>
      </c>
      <c r="H515">
        <v>36882195000198</v>
      </c>
      <c r="J515" t="s">
        <v>4704</v>
      </c>
      <c r="K515" t="s">
        <v>4704</v>
      </c>
      <c r="L515" t="s">
        <v>4955</v>
      </c>
      <c r="N515" t="s">
        <v>4956</v>
      </c>
      <c r="Q515" t="s">
        <v>778</v>
      </c>
      <c r="R515" t="s">
        <v>923</v>
      </c>
      <c r="T515" t="s">
        <v>814</v>
      </c>
      <c r="W515" t="s">
        <v>2878</v>
      </c>
      <c r="X515" t="s">
        <v>780</v>
      </c>
      <c r="Y515" t="s">
        <v>897</v>
      </c>
      <c r="AA515" s="31"/>
      <c r="AD515">
        <v>0</v>
      </c>
      <c r="AE515" t="s">
        <v>22</v>
      </c>
      <c r="AF515" s="31">
        <v>46091</v>
      </c>
      <c r="AG515" s="61">
        <v>0.41641203703703711</v>
      </c>
      <c r="AI515" t="s">
        <v>795</v>
      </c>
      <c r="AJ515" s="31">
        <v>46091</v>
      </c>
      <c r="AK515" s="61">
        <v>0.70828703703703699</v>
      </c>
      <c r="AL515" t="s">
        <v>974</v>
      </c>
      <c r="AM515" t="s">
        <v>4957</v>
      </c>
      <c r="AP515" t="s">
        <v>44</v>
      </c>
      <c r="AS515" s="31"/>
      <c r="AT515">
        <v>30</v>
      </c>
      <c r="AV515" t="s">
        <v>63</v>
      </c>
      <c r="AY515">
        <v>1</v>
      </c>
    </row>
    <row r="516" spans="1:51" x14ac:dyDescent="0.3">
      <c r="A516" t="s">
        <v>31</v>
      </c>
      <c r="B516">
        <v>1007</v>
      </c>
      <c r="D516">
        <v>3344</v>
      </c>
      <c r="E516" t="s">
        <v>4958</v>
      </c>
      <c r="G516" t="s">
        <v>4959</v>
      </c>
      <c r="J516" t="s">
        <v>4960</v>
      </c>
      <c r="K516" t="s">
        <v>4960</v>
      </c>
      <c r="L516" t="s">
        <v>4961</v>
      </c>
      <c r="N516" t="s">
        <v>4962</v>
      </c>
      <c r="Q516" t="s">
        <v>778</v>
      </c>
      <c r="R516" t="s">
        <v>4963</v>
      </c>
      <c r="T516" t="s">
        <v>814</v>
      </c>
      <c r="W516" t="s">
        <v>2878</v>
      </c>
      <c r="X516" t="s">
        <v>780</v>
      </c>
      <c r="Y516" t="s">
        <v>857</v>
      </c>
      <c r="AA516" s="31">
        <v>46265</v>
      </c>
      <c r="AD516">
        <v>28</v>
      </c>
      <c r="AE516" t="s">
        <v>22</v>
      </c>
      <c r="AF516" s="31">
        <v>46091</v>
      </c>
      <c r="AG516" s="61">
        <v>0.41752314814814823</v>
      </c>
      <c r="AI516" t="s">
        <v>795</v>
      </c>
      <c r="AJ516" s="31">
        <v>46119</v>
      </c>
      <c r="AK516" s="61">
        <v>0.45309027777777777</v>
      </c>
      <c r="AL516" t="s">
        <v>867</v>
      </c>
      <c r="AP516" t="s">
        <v>31</v>
      </c>
      <c r="AS516" s="31">
        <v>46119</v>
      </c>
      <c r="AT516">
        <v>30</v>
      </c>
      <c r="AV516" t="s">
        <v>4964</v>
      </c>
      <c r="AY516">
        <v>1</v>
      </c>
    </row>
    <row r="517" spans="1:51" x14ac:dyDescent="0.3">
      <c r="A517" t="s">
        <v>22</v>
      </c>
      <c r="B517">
        <v>1008</v>
      </c>
      <c r="D517">
        <v>3346</v>
      </c>
      <c r="G517" t="s">
        <v>4965</v>
      </c>
      <c r="H517">
        <v>27672869000139</v>
      </c>
      <c r="J517" t="s">
        <v>4966</v>
      </c>
      <c r="K517" t="s">
        <v>4966</v>
      </c>
      <c r="L517" t="s">
        <v>4967</v>
      </c>
      <c r="N517" t="s">
        <v>4968</v>
      </c>
      <c r="Q517" t="s">
        <v>778</v>
      </c>
      <c r="R517" t="s">
        <v>923</v>
      </c>
      <c r="T517" t="s">
        <v>814</v>
      </c>
      <c r="W517" t="s">
        <v>1186</v>
      </c>
      <c r="X517" t="s">
        <v>780</v>
      </c>
      <c r="Y517" t="s">
        <v>781</v>
      </c>
      <c r="AA517" s="31">
        <v>46112</v>
      </c>
      <c r="AD517">
        <v>0</v>
      </c>
      <c r="AE517" t="s">
        <v>22</v>
      </c>
      <c r="AF517" s="31">
        <v>46091</v>
      </c>
      <c r="AG517" s="61">
        <v>0.41828703703703701</v>
      </c>
      <c r="AI517" t="s">
        <v>795</v>
      </c>
      <c r="AJ517" s="31">
        <v>46091</v>
      </c>
      <c r="AK517" s="61">
        <v>0.43543981481481481</v>
      </c>
      <c r="AL517" t="s">
        <v>1226</v>
      </c>
      <c r="AP517" t="s">
        <v>22</v>
      </c>
      <c r="AS517" s="31"/>
      <c r="AT517">
        <v>30</v>
      </c>
      <c r="AY517">
        <v>1</v>
      </c>
    </row>
    <row r="518" spans="1:51" x14ac:dyDescent="0.3">
      <c r="A518" t="s">
        <v>44</v>
      </c>
      <c r="B518">
        <v>1009</v>
      </c>
      <c r="D518">
        <v>3361</v>
      </c>
      <c r="E518" t="s">
        <v>4969</v>
      </c>
      <c r="F518" t="s">
        <v>4970</v>
      </c>
      <c r="G518" t="s">
        <v>440</v>
      </c>
      <c r="H518">
        <v>8878994000155</v>
      </c>
      <c r="J518" t="s">
        <v>4970</v>
      </c>
      <c r="K518" t="s">
        <v>4970</v>
      </c>
      <c r="L518" t="s">
        <v>4971</v>
      </c>
      <c r="N518" t="s">
        <v>4972</v>
      </c>
      <c r="Q518" t="s">
        <v>778</v>
      </c>
      <c r="R518" t="s">
        <v>1782</v>
      </c>
      <c r="S518" t="s">
        <v>790</v>
      </c>
      <c r="T518" t="s">
        <v>805</v>
      </c>
      <c r="X518" t="s">
        <v>780</v>
      </c>
      <c r="Y518" t="s">
        <v>793</v>
      </c>
      <c r="AA518" s="31">
        <v>46112</v>
      </c>
      <c r="AB518">
        <v>11390346</v>
      </c>
      <c r="AC518">
        <v>384882</v>
      </c>
      <c r="AD518">
        <v>36</v>
      </c>
      <c r="AE518" t="s">
        <v>44</v>
      </c>
      <c r="AF518" s="31">
        <v>46091</v>
      </c>
      <c r="AG518" s="61">
        <v>0.68298611111111107</v>
      </c>
      <c r="AI518" t="s">
        <v>782</v>
      </c>
      <c r="AJ518" s="31"/>
      <c r="AK518" s="61"/>
      <c r="AO518" t="s">
        <v>4973</v>
      </c>
      <c r="AQ518" t="s">
        <v>4731</v>
      </c>
      <c r="AR518" t="s">
        <v>4644</v>
      </c>
      <c r="AS518" s="31">
        <v>46111</v>
      </c>
      <c r="AT518">
        <v>50</v>
      </c>
      <c r="AY518">
        <v>1</v>
      </c>
    </row>
    <row r="519" spans="1:51" x14ac:dyDescent="0.3">
      <c r="A519" t="s">
        <v>22</v>
      </c>
      <c r="B519">
        <v>1011</v>
      </c>
      <c r="D519">
        <v>3365</v>
      </c>
      <c r="E519" t="s">
        <v>4974</v>
      </c>
      <c r="G519" t="s">
        <v>426</v>
      </c>
      <c r="H519">
        <v>7865166000110</v>
      </c>
      <c r="J519" t="s">
        <v>4975</v>
      </c>
      <c r="K519" t="s">
        <v>4975</v>
      </c>
      <c r="L519" t="s">
        <v>4976</v>
      </c>
      <c r="N519" t="s">
        <v>4977</v>
      </c>
      <c r="Q519" t="s">
        <v>778</v>
      </c>
      <c r="R519" t="s">
        <v>4978</v>
      </c>
      <c r="S519" t="s">
        <v>790</v>
      </c>
      <c r="T519" t="s">
        <v>814</v>
      </c>
      <c r="W519" t="s">
        <v>1186</v>
      </c>
      <c r="X519" t="s">
        <v>780</v>
      </c>
      <c r="Y519" t="s">
        <v>816</v>
      </c>
      <c r="AA519" s="31">
        <v>46112</v>
      </c>
      <c r="AB519">
        <v>870636</v>
      </c>
      <c r="AC519">
        <v>434528</v>
      </c>
      <c r="AD519">
        <v>35</v>
      </c>
      <c r="AE519" t="s">
        <v>22</v>
      </c>
      <c r="AF519" s="31">
        <v>46092</v>
      </c>
      <c r="AG519" s="61">
        <v>0.49399305555555562</v>
      </c>
      <c r="AI519" t="s">
        <v>782</v>
      </c>
      <c r="AJ519" s="31"/>
      <c r="AK519" s="61"/>
      <c r="AO519" t="s">
        <v>4788</v>
      </c>
      <c r="AP519" t="s">
        <v>22</v>
      </c>
      <c r="AQ519" t="s">
        <v>4979</v>
      </c>
      <c r="AS519" s="31">
        <v>46101</v>
      </c>
      <c r="AT519">
        <v>30</v>
      </c>
      <c r="AV519" t="s">
        <v>321</v>
      </c>
      <c r="AY519">
        <v>1</v>
      </c>
    </row>
    <row r="520" spans="1:51" x14ac:dyDescent="0.3">
      <c r="A520" t="s">
        <v>44</v>
      </c>
      <c r="B520">
        <v>1012</v>
      </c>
      <c r="D520">
        <v>3345</v>
      </c>
      <c r="E520" t="s">
        <v>4980</v>
      </c>
      <c r="F520" t="s">
        <v>4981</v>
      </c>
      <c r="G520" t="s">
        <v>425</v>
      </c>
      <c r="H520">
        <v>72770225000561</v>
      </c>
      <c r="J520" t="s">
        <v>4981</v>
      </c>
      <c r="K520" t="s">
        <v>4981</v>
      </c>
      <c r="L520" t="s">
        <v>4982</v>
      </c>
      <c r="N520" t="s">
        <v>4983</v>
      </c>
      <c r="Q520" t="s">
        <v>778</v>
      </c>
      <c r="R520" t="s">
        <v>4984</v>
      </c>
      <c r="S520" t="s">
        <v>932</v>
      </c>
      <c r="T520" t="s">
        <v>805</v>
      </c>
      <c r="X520" t="s">
        <v>780</v>
      </c>
      <c r="Y520" t="s">
        <v>807</v>
      </c>
      <c r="AA520" s="31"/>
      <c r="AB520">
        <v>52702</v>
      </c>
      <c r="AC520">
        <v>17020</v>
      </c>
      <c r="AD520">
        <v>35</v>
      </c>
      <c r="AE520" t="s">
        <v>44</v>
      </c>
      <c r="AF520" s="31">
        <v>46092</v>
      </c>
      <c r="AG520" s="61">
        <v>0.67219907407407409</v>
      </c>
      <c r="AI520" t="s">
        <v>782</v>
      </c>
      <c r="AJ520" s="31"/>
      <c r="AK520" s="61"/>
      <c r="AO520" t="s">
        <v>4664</v>
      </c>
      <c r="AQ520" t="s">
        <v>4770</v>
      </c>
      <c r="AR520" t="s">
        <v>4664</v>
      </c>
      <c r="AS520" s="31">
        <v>46101</v>
      </c>
      <c r="AT520">
        <v>50</v>
      </c>
      <c r="AY520">
        <v>1</v>
      </c>
    </row>
    <row r="521" spans="1:51" x14ac:dyDescent="0.3">
      <c r="A521" t="s">
        <v>31</v>
      </c>
      <c r="B521">
        <v>1013</v>
      </c>
      <c r="D521">
        <v>3368</v>
      </c>
      <c r="E521" t="s">
        <v>4985</v>
      </c>
      <c r="F521" t="s">
        <v>4986</v>
      </c>
      <c r="G521" t="s">
        <v>250</v>
      </c>
      <c r="H521">
        <v>10649489000180</v>
      </c>
      <c r="J521" t="s">
        <v>4986</v>
      </c>
      <c r="K521" t="s">
        <v>4986</v>
      </c>
      <c r="L521" t="s">
        <v>4987</v>
      </c>
      <c r="N521" t="s">
        <v>4988</v>
      </c>
      <c r="Q521" t="s">
        <v>778</v>
      </c>
      <c r="R521" t="s">
        <v>847</v>
      </c>
      <c r="S521" t="s">
        <v>848</v>
      </c>
      <c r="T521" t="s">
        <v>805</v>
      </c>
      <c r="X521" t="s">
        <v>780</v>
      </c>
      <c r="Y521" t="s">
        <v>793</v>
      </c>
      <c r="AA521" s="31">
        <v>46295</v>
      </c>
      <c r="AD521">
        <v>34</v>
      </c>
      <c r="AE521" t="s">
        <v>31</v>
      </c>
      <c r="AF521" s="31">
        <v>46093</v>
      </c>
      <c r="AG521" s="61">
        <v>0.42211805555555548</v>
      </c>
      <c r="AI521" t="s">
        <v>782</v>
      </c>
      <c r="AJ521" s="31"/>
      <c r="AK521" s="61"/>
      <c r="AP521" t="s">
        <v>31</v>
      </c>
      <c r="AQ521" t="s">
        <v>4918</v>
      </c>
      <c r="AR521" t="s">
        <v>4989</v>
      </c>
      <c r="AS521" s="31">
        <v>46127</v>
      </c>
      <c r="AT521">
        <v>30</v>
      </c>
      <c r="AV521" t="s">
        <v>321</v>
      </c>
      <c r="AY521">
        <v>1</v>
      </c>
    </row>
    <row r="522" spans="1:51" x14ac:dyDescent="0.3">
      <c r="A522" t="s">
        <v>22</v>
      </c>
      <c r="B522">
        <v>1014</v>
      </c>
      <c r="D522">
        <v>3371</v>
      </c>
      <c r="E522" t="s">
        <v>4990</v>
      </c>
      <c r="G522" t="s">
        <v>4991</v>
      </c>
      <c r="H522">
        <v>10633099000112</v>
      </c>
      <c r="J522" t="s">
        <v>4992</v>
      </c>
      <c r="K522" t="s">
        <v>4992</v>
      </c>
      <c r="L522" t="s">
        <v>4993</v>
      </c>
      <c r="N522" t="s">
        <v>4994</v>
      </c>
      <c r="Q522" t="s">
        <v>778</v>
      </c>
      <c r="R522" t="s">
        <v>993</v>
      </c>
      <c r="S522" t="s">
        <v>932</v>
      </c>
      <c r="X522" t="s">
        <v>780</v>
      </c>
      <c r="Y522" t="s">
        <v>857</v>
      </c>
      <c r="AA522" s="31">
        <v>46111</v>
      </c>
      <c r="AD522">
        <v>34</v>
      </c>
      <c r="AE522" t="s">
        <v>22</v>
      </c>
      <c r="AF522" s="31">
        <v>46093</v>
      </c>
      <c r="AG522" s="61">
        <v>0.50726851851851851</v>
      </c>
      <c r="AI522" t="s">
        <v>782</v>
      </c>
      <c r="AJ522" s="31"/>
      <c r="AK522" s="61"/>
      <c r="AP522" t="s">
        <v>22</v>
      </c>
      <c r="AS522" s="31">
        <v>46122</v>
      </c>
      <c r="AT522">
        <v>30</v>
      </c>
      <c r="AV522" t="s">
        <v>321</v>
      </c>
      <c r="AY522">
        <v>1</v>
      </c>
    </row>
    <row r="523" spans="1:51" x14ac:dyDescent="0.3">
      <c r="A523" t="s">
        <v>44</v>
      </c>
      <c r="B523">
        <v>1015</v>
      </c>
      <c r="D523">
        <v>3375</v>
      </c>
      <c r="E523" t="s">
        <v>4995</v>
      </c>
      <c r="G523" t="s">
        <v>4996</v>
      </c>
      <c r="H523">
        <v>35417169000126</v>
      </c>
      <c r="J523" t="s">
        <v>4997</v>
      </c>
      <c r="K523" t="s">
        <v>4997</v>
      </c>
      <c r="L523">
        <v>11992558277</v>
      </c>
      <c r="N523" t="s">
        <v>4998</v>
      </c>
      <c r="Q523" t="s">
        <v>778</v>
      </c>
      <c r="R523" t="s">
        <v>2018</v>
      </c>
      <c r="S523" t="s">
        <v>790</v>
      </c>
      <c r="X523" t="s">
        <v>780</v>
      </c>
      <c r="Y523" t="s">
        <v>857</v>
      </c>
      <c r="AA523" s="31"/>
      <c r="AD523">
        <v>34</v>
      </c>
      <c r="AE523" t="s">
        <v>44</v>
      </c>
      <c r="AF523" s="31">
        <v>46093</v>
      </c>
      <c r="AG523" s="61">
        <v>0.63280092592592596</v>
      </c>
      <c r="AI523" t="s">
        <v>782</v>
      </c>
      <c r="AJ523" s="31"/>
      <c r="AK523" s="61"/>
      <c r="AS523" s="31">
        <v>46097</v>
      </c>
      <c r="AT523">
        <v>30</v>
      </c>
      <c r="AY523">
        <v>1</v>
      </c>
    </row>
    <row r="524" spans="1:51" x14ac:dyDescent="0.3">
      <c r="A524" t="s">
        <v>44</v>
      </c>
      <c r="B524">
        <v>1016</v>
      </c>
      <c r="D524">
        <v>3373</v>
      </c>
      <c r="E524" t="s">
        <v>4999</v>
      </c>
      <c r="G524" t="s">
        <v>5000</v>
      </c>
      <c r="J524" t="s">
        <v>5001</v>
      </c>
      <c r="K524" t="s">
        <v>5001</v>
      </c>
      <c r="L524">
        <v>38998244039</v>
      </c>
      <c r="N524" t="s">
        <v>5002</v>
      </c>
      <c r="Q524" t="s">
        <v>778</v>
      </c>
      <c r="T524" t="s">
        <v>2541</v>
      </c>
      <c r="W524" t="s">
        <v>2559</v>
      </c>
      <c r="X524" t="s">
        <v>780</v>
      </c>
      <c r="Y524" t="s">
        <v>897</v>
      </c>
      <c r="AA524" s="31">
        <v>46112</v>
      </c>
      <c r="AD524">
        <v>1</v>
      </c>
      <c r="AE524" t="s">
        <v>22</v>
      </c>
      <c r="AF524" s="31">
        <v>46093</v>
      </c>
      <c r="AG524" s="61">
        <v>0.73317129629629629</v>
      </c>
      <c r="AI524" t="s">
        <v>795</v>
      </c>
      <c r="AJ524" s="31">
        <v>46094</v>
      </c>
      <c r="AK524" s="61">
        <v>0.38989583333333327</v>
      </c>
      <c r="AL524" t="s">
        <v>796</v>
      </c>
      <c r="AM524" t="s">
        <v>5003</v>
      </c>
      <c r="AP524" t="s">
        <v>44</v>
      </c>
      <c r="AS524" s="31">
        <v>46094</v>
      </c>
      <c r="AT524">
        <v>30</v>
      </c>
      <c r="AY524">
        <v>1</v>
      </c>
    </row>
    <row r="525" spans="1:51" x14ac:dyDescent="0.3">
      <c r="A525" t="s">
        <v>31</v>
      </c>
      <c r="B525">
        <v>1017</v>
      </c>
      <c r="D525">
        <v>3374</v>
      </c>
      <c r="E525" t="s">
        <v>5004</v>
      </c>
      <c r="G525" t="s">
        <v>5005</v>
      </c>
      <c r="H525">
        <v>33947903000133</v>
      </c>
      <c r="J525" t="s">
        <v>5006</v>
      </c>
      <c r="K525" t="s">
        <v>5006</v>
      </c>
      <c r="L525" t="s">
        <v>5007</v>
      </c>
      <c r="N525" t="s">
        <v>5008</v>
      </c>
      <c r="Q525" t="s">
        <v>778</v>
      </c>
      <c r="R525" t="s">
        <v>5009</v>
      </c>
      <c r="S525" t="s">
        <v>3339</v>
      </c>
      <c r="T525" t="s">
        <v>2541</v>
      </c>
      <c r="W525" t="s">
        <v>2559</v>
      </c>
      <c r="X525" t="s">
        <v>780</v>
      </c>
      <c r="Y525" t="s">
        <v>857</v>
      </c>
      <c r="AA525" s="31">
        <v>46234</v>
      </c>
      <c r="AD525">
        <v>13</v>
      </c>
      <c r="AE525" t="s">
        <v>22</v>
      </c>
      <c r="AF525" s="31">
        <v>46093</v>
      </c>
      <c r="AG525" s="61">
        <v>0.73402777777777772</v>
      </c>
      <c r="AI525" t="s">
        <v>795</v>
      </c>
      <c r="AJ525" s="31">
        <v>46106</v>
      </c>
      <c r="AK525" s="61">
        <v>0.42133101851851851</v>
      </c>
      <c r="AL525" t="s">
        <v>867</v>
      </c>
      <c r="AP525" t="s">
        <v>31</v>
      </c>
      <c r="AQ525" t="s">
        <v>5010</v>
      </c>
      <c r="AS525" s="31">
        <v>46106</v>
      </c>
      <c r="AT525">
        <v>31</v>
      </c>
      <c r="AY525">
        <v>1</v>
      </c>
    </row>
    <row r="526" spans="1:51" x14ac:dyDescent="0.3">
      <c r="A526" t="s">
        <v>44</v>
      </c>
      <c r="B526">
        <v>1018</v>
      </c>
      <c r="D526">
        <v>3379</v>
      </c>
      <c r="E526" t="s">
        <v>5011</v>
      </c>
      <c r="G526" t="s">
        <v>386</v>
      </c>
      <c r="H526">
        <v>28646036000166</v>
      </c>
      <c r="J526" t="s">
        <v>5012</v>
      </c>
      <c r="K526" t="s">
        <v>5012</v>
      </c>
      <c r="L526">
        <v>11938010304</v>
      </c>
      <c r="N526" t="s">
        <v>1793</v>
      </c>
      <c r="Q526" t="s">
        <v>778</v>
      </c>
      <c r="R526" t="s">
        <v>1794</v>
      </c>
      <c r="S526" t="s">
        <v>790</v>
      </c>
      <c r="X526" t="s">
        <v>780</v>
      </c>
      <c r="Y526" t="s">
        <v>857</v>
      </c>
      <c r="AA526" s="31"/>
      <c r="AB526">
        <v>1696</v>
      </c>
      <c r="AC526">
        <v>6400</v>
      </c>
      <c r="AD526">
        <v>17</v>
      </c>
      <c r="AE526" t="s">
        <v>44</v>
      </c>
      <c r="AF526" s="31">
        <v>46094</v>
      </c>
      <c r="AG526" s="61">
        <v>0.39907407407407408</v>
      </c>
      <c r="AI526" t="s">
        <v>795</v>
      </c>
      <c r="AJ526" s="31">
        <v>46111</v>
      </c>
      <c r="AK526" s="61">
        <v>0.71695601851851853</v>
      </c>
      <c r="AL526" t="s">
        <v>796</v>
      </c>
      <c r="AM526" t="s">
        <v>5013</v>
      </c>
      <c r="AO526" t="s">
        <v>4654</v>
      </c>
      <c r="AQ526" t="s">
        <v>4654</v>
      </c>
      <c r="AS526" s="31">
        <v>46093</v>
      </c>
      <c r="AT526">
        <v>30</v>
      </c>
      <c r="AY526">
        <v>1</v>
      </c>
    </row>
    <row r="527" spans="1:51" x14ac:dyDescent="0.3">
      <c r="A527" t="s">
        <v>31</v>
      </c>
      <c r="B527">
        <v>1019</v>
      </c>
      <c r="D527">
        <v>3381</v>
      </c>
      <c r="E527" t="s">
        <v>5014</v>
      </c>
      <c r="F527" t="s">
        <v>5015</v>
      </c>
      <c r="G527" t="s">
        <v>414</v>
      </c>
      <c r="H527">
        <v>55841149000195</v>
      </c>
      <c r="J527" t="s">
        <v>5015</v>
      </c>
      <c r="K527" t="s">
        <v>5015</v>
      </c>
      <c r="L527" t="s">
        <v>5016</v>
      </c>
      <c r="N527" t="s">
        <v>5017</v>
      </c>
      <c r="Q527" t="s">
        <v>778</v>
      </c>
      <c r="R527" t="s">
        <v>3089</v>
      </c>
      <c r="S527" t="s">
        <v>932</v>
      </c>
      <c r="T527" t="s">
        <v>805</v>
      </c>
      <c r="X527" t="s">
        <v>780</v>
      </c>
      <c r="Y527" t="s">
        <v>857</v>
      </c>
      <c r="AA527" s="31">
        <v>46234</v>
      </c>
      <c r="AB527">
        <v>58800</v>
      </c>
      <c r="AC527">
        <v>2525</v>
      </c>
      <c r="AD527">
        <v>17</v>
      </c>
      <c r="AE527" t="s">
        <v>31</v>
      </c>
      <c r="AF527" s="31">
        <v>46094</v>
      </c>
      <c r="AG527" s="61">
        <v>0.61967592592592591</v>
      </c>
      <c r="AI527" t="s">
        <v>795</v>
      </c>
      <c r="AJ527" s="31">
        <v>46111</v>
      </c>
      <c r="AK527" s="61">
        <v>0.67168981481481482</v>
      </c>
      <c r="AL527" t="s">
        <v>867</v>
      </c>
      <c r="AO527" t="s">
        <v>5018</v>
      </c>
      <c r="AP527" t="s">
        <v>31</v>
      </c>
      <c r="AQ527" t="s">
        <v>5018</v>
      </c>
      <c r="AS527" s="31">
        <v>46111</v>
      </c>
      <c r="AT527">
        <v>30</v>
      </c>
      <c r="AV527" t="s">
        <v>47</v>
      </c>
      <c r="AY527">
        <v>1</v>
      </c>
    </row>
    <row r="528" spans="1:51" x14ac:dyDescent="0.3">
      <c r="A528" t="s">
        <v>44</v>
      </c>
      <c r="B528">
        <v>1020</v>
      </c>
      <c r="D528">
        <v>3378</v>
      </c>
      <c r="E528" t="s">
        <v>5019</v>
      </c>
      <c r="G528" t="s">
        <v>5020</v>
      </c>
      <c r="J528" t="s">
        <v>5021</v>
      </c>
      <c r="K528" t="s">
        <v>5021</v>
      </c>
      <c r="L528">
        <v>6399999235</v>
      </c>
      <c r="N528" t="s">
        <v>5022</v>
      </c>
      <c r="Q528" t="s">
        <v>778</v>
      </c>
      <c r="T528" t="s">
        <v>2541</v>
      </c>
      <c r="W528" t="s">
        <v>2559</v>
      </c>
      <c r="X528" t="s">
        <v>780</v>
      </c>
      <c r="Y528" t="s">
        <v>897</v>
      </c>
      <c r="AA528" s="31">
        <v>46112</v>
      </c>
      <c r="AD528">
        <v>1</v>
      </c>
      <c r="AE528" t="s">
        <v>22</v>
      </c>
      <c r="AF528" s="31">
        <v>46097</v>
      </c>
      <c r="AG528" s="61">
        <v>0.57464120370370375</v>
      </c>
      <c r="AI528" t="s">
        <v>795</v>
      </c>
      <c r="AJ528" s="31">
        <v>46098</v>
      </c>
      <c r="AK528" s="61">
        <v>0.4019212962962963</v>
      </c>
      <c r="AL528" t="s">
        <v>1226</v>
      </c>
      <c r="AM528" t="s">
        <v>5019</v>
      </c>
      <c r="AP528" t="s">
        <v>44</v>
      </c>
      <c r="AS528" s="31">
        <v>46098</v>
      </c>
      <c r="AT528">
        <v>30</v>
      </c>
      <c r="AY528">
        <v>1</v>
      </c>
    </row>
    <row r="529" spans="1:51" x14ac:dyDescent="0.3">
      <c r="A529" t="s">
        <v>31</v>
      </c>
      <c r="B529">
        <v>1021</v>
      </c>
      <c r="D529">
        <v>3384</v>
      </c>
      <c r="E529" t="s">
        <v>5023</v>
      </c>
      <c r="G529" t="s">
        <v>5024</v>
      </c>
      <c r="J529" t="s">
        <v>5025</v>
      </c>
      <c r="K529" t="s">
        <v>5025</v>
      </c>
      <c r="L529">
        <v>11947270946</v>
      </c>
      <c r="N529" t="s">
        <v>5026</v>
      </c>
      <c r="Q529" t="s">
        <v>778</v>
      </c>
      <c r="T529" t="s">
        <v>2541</v>
      </c>
      <c r="W529" t="s">
        <v>2559</v>
      </c>
      <c r="X529" t="s">
        <v>780</v>
      </c>
      <c r="Y529" t="s">
        <v>897</v>
      </c>
      <c r="AA529" s="31">
        <v>46112</v>
      </c>
      <c r="AD529">
        <v>3</v>
      </c>
      <c r="AE529" t="s">
        <v>22</v>
      </c>
      <c r="AF529" s="31">
        <v>46097</v>
      </c>
      <c r="AG529" s="61">
        <v>0.5755555555555556</v>
      </c>
      <c r="AI529" t="s">
        <v>795</v>
      </c>
      <c r="AJ529" s="31">
        <v>46100</v>
      </c>
      <c r="AK529" s="61">
        <v>0.48016203703703703</v>
      </c>
      <c r="AL529" t="s">
        <v>867</v>
      </c>
      <c r="AP529" t="s">
        <v>31</v>
      </c>
      <c r="AS529" s="31">
        <v>46098</v>
      </c>
      <c r="AT529">
        <v>30</v>
      </c>
      <c r="AY529">
        <v>1</v>
      </c>
    </row>
    <row r="530" spans="1:51" x14ac:dyDescent="0.3">
      <c r="A530" t="s">
        <v>44</v>
      </c>
      <c r="B530">
        <v>1022</v>
      </c>
      <c r="D530">
        <v>3385</v>
      </c>
      <c r="E530" t="s">
        <v>5027</v>
      </c>
      <c r="G530" t="s">
        <v>5028</v>
      </c>
      <c r="J530" t="s">
        <v>5029</v>
      </c>
      <c r="K530" t="s">
        <v>5029</v>
      </c>
      <c r="L530">
        <v>21964945088</v>
      </c>
      <c r="N530" t="s">
        <v>5030</v>
      </c>
      <c r="Q530" t="s">
        <v>778</v>
      </c>
      <c r="T530" t="s">
        <v>2541</v>
      </c>
      <c r="W530" t="s">
        <v>2559</v>
      </c>
      <c r="X530" t="s">
        <v>780</v>
      </c>
      <c r="Y530" t="s">
        <v>897</v>
      </c>
      <c r="AA530" s="31">
        <v>46112</v>
      </c>
      <c r="AD530">
        <v>1</v>
      </c>
      <c r="AE530" t="s">
        <v>22</v>
      </c>
      <c r="AF530" s="31">
        <v>46097</v>
      </c>
      <c r="AG530" s="61">
        <v>0.57633101851851853</v>
      </c>
      <c r="AI530" t="s">
        <v>795</v>
      </c>
      <c r="AJ530" s="31">
        <v>46098</v>
      </c>
      <c r="AK530" s="61">
        <v>0.40364583333333331</v>
      </c>
      <c r="AL530" t="s">
        <v>1226</v>
      </c>
      <c r="AM530" t="s">
        <v>5027</v>
      </c>
      <c r="AP530" t="s">
        <v>44</v>
      </c>
      <c r="AS530" s="31">
        <v>46098</v>
      </c>
      <c r="AT530">
        <v>30</v>
      </c>
      <c r="AY530">
        <v>1</v>
      </c>
    </row>
    <row r="531" spans="1:51" x14ac:dyDescent="0.3">
      <c r="A531" t="s">
        <v>31</v>
      </c>
      <c r="B531">
        <v>1023</v>
      </c>
      <c r="D531">
        <v>3386</v>
      </c>
      <c r="E531" t="s">
        <v>5031</v>
      </c>
      <c r="G531" t="s">
        <v>424</v>
      </c>
      <c r="H531">
        <v>57769346000176</v>
      </c>
      <c r="J531" t="s">
        <v>5032</v>
      </c>
      <c r="K531" t="s">
        <v>5032</v>
      </c>
      <c r="L531" t="s">
        <v>5033</v>
      </c>
      <c r="N531" t="s">
        <v>5034</v>
      </c>
      <c r="Q531" t="s">
        <v>778</v>
      </c>
      <c r="R531" t="s">
        <v>5035</v>
      </c>
      <c r="S531" t="s">
        <v>973</v>
      </c>
      <c r="T531" t="s">
        <v>2541</v>
      </c>
      <c r="W531" t="s">
        <v>2791</v>
      </c>
      <c r="X531" t="s">
        <v>780</v>
      </c>
      <c r="Y531" t="s">
        <v>857</v>
      </c>
      <c r="AA531" s="31">
        <v>46234</v>
      </c>
      <c r="AD531">
        <v>22</v>
      </c>
      <c r="AE531" t="s">
        <v>22</v>
      </c>
      <c r="AF531" s="31">
        <v>46097</v>
      </c>
      <c r="AG531" s="61">
        <v>0.57715277777777774</v>
      </c>
      <c r="AI531" t="s">
        <v>795</v>
      </c>
      <c r="AJ531" s="31">
        <v>46119</v>
      </c>
      <c r="AK531" s="61">
        <v>0.44837962962962957</v>
      </c>
      <c r="AL531" t="s">
        <v>1226</v>
      </c>
      <c r="AO531" t="s">
        <v>4788</v>
      </c>
      <c r="AP531" t="s">
        <v>31</v>
      </c>
      <c r="AQ531" t="s">
        <v>4788</v>
      </c>
      <c r="AS531" s="31">
        <v>46119</v>
      </c>
      <c r="AT531">
        <v>30</v>
      </c>
      <c r="AY531">
        <v>1</v>
      </c>
    </row>
    <row r="532" spans="1:51" x14ac:dyDescent="0.3">
      <c r="A532" t="s">
        <v>22</v>
      </c>
      <c r="B532">
        <v>1024</v>
      </c>
      <c r="D532">
        <v>3388</v>
      </c>
      <c r="E532" t="s">
        <v>5036</v>
      </c>
      <c r="G532" t="s">
        <v>5037</v>
      </c>
      <c r="J532" t="s">
        <v>4086</v>
      </c>
      <c r="K532" t="s">
        <v>4086</v>
      </c>
      <c r="L532">
        <v>62991537827</v>
      </c>
      <c r="N532" t="s">
        <v>5038</v>
      </c>
      <c r="Q532" t="s">
        <v>778</v>
      </c>
      <c r="T532" t="s">
        <v>2541</v>
      </c>
      <c r="W532" t="s">
        <v>2791</v>
      </c>
      <c r="X532" t="s">
        <v>780</v>
      </c>
      <c r="Y532" t="s">
        <v>897</v>
      </c>
      <c r="AA532" s="31">
        <v>46112</v>
      </c>
      <c r="AD532">
        <v>25</v>
      </c>
      <c r="AE532" t="s">
        <v>22</v>
      </c>
      <c r="AF532" s="31">
        <v>46097</v>
      </c>
      <c r="AG532" s="61">
        <v>0.57785879629629633</v>
      </c>
      <c r="AI532" t="s">
        <v>795</v>
      </c>
      <c r="AJ532" s="31">
        <v>46122</v>
      </c>
      <c r="AK532" s="61">
        <v>0.60311342592592587</v>
      </c>
      <c r="AL532" t="s">
        <v>796</v>
      </c>
      <c r="AP532" t="s">
        <v>22</v>
      </c>
      <c r="AS532" s="31">
        <v>46101</v>
      </c>
      <c r="AT532">
        <v>30</v>
      </c>
      <c r="AY532">
        <v>1</v>
      </c>
    </row>
    <row r="533" spans="1:51" x14ac:dyDescent="0.3">
      <c r="A533" t="s">
        <v>22</v>
      </c>
      <c r="B533">
        <v>1025</v>
      </c>
      <c r="D533">
        <v>3389</v>
      </c>
      <c r="E533" t="s">
        <v>5039</v>
      </c>
      <c r="G533" t="s">
        <v>5040</v>
      </c>
      <c r="J533" t="s">
        <v>5041</v>
      </c>
      <c r="K533" t="s">
        <v>5041</v>
      </c>
      <c r="L533">
        <v>73988565500</v>
      </c>
      <c r="N533" t="s">
        <v>5042</v>
      </c>
      <c r="Q533" t="s">
        <v>778</v>
      </c>
      <c r="T533" t="s">
        <v>2541</v>
      </c>
      <c r="W533" t="s">
        <v>2791</v>
      </c>
      <c r="X533" t="s">
        <v>780</v>
      </c>
      <c r="Y533" t="s">
        <v>857</v>
      </c>
      <c r="AA533" s="31">
        <v>46112</v>
      </c>
      <c r="AD533">
        <v>25</v>
      </c>
      <c r="AE533" t="s">
        <v>22</v>
      </c>
      <c r="AF533" s="31">
        <v>46097</v>
      </c>
      <c r="AG533" s="61">
        <v>0.57847222222222228</v>
      </c>
      <c r="AI533" t="s">
        <v>795</v>
      </c>
      <c r="AJ533" s="31">
        <v>46122</v>
      </c>
      <c r="AK533" s="61">
        <v>0.61157407407407405</v>
      </c>
      <c r="AL533" t="s">
        <v>796</v>
      </c>
      <c r="AP533" t="s">
        <v>22</v>
      </c>
      <c r="AS533" s="31">
        <v>46101</v>
      </c>
      <c r="AT533">
        <v>30</v>
      </c>
      <c r="AV533" t="s">
        <v>321</v>
      </c>
      <c r="AY533">
        <v>1</v>
      </c>
    </row>
    <row r="534" spans="1:51" x14ac:dyDescent="0.3">
      <c r="A534" t="s">
        <v>44</v>
      </c>
      <c r="B534">
        <v>1026</v>
      </c>
      <c r="D534">
        <v>3390</v>
      </c>
      <c r="E534" t="s">
        <v>5043</v>
      </c>
      <c r="G534" t="s">
        <v>5044</v>
      </c>
      <c r="H534">
        <v>35511300000110</v>
      </c>
      <c r="J534" t="s">
        <v>5045</v>
      </c>
      <c r="K534" t="s">
        <v>5045</v>
      </c>
      <c r="L534">
        <v>82993812526</v>
      </c>
      <c r="N534" t="s">
        <v>5046</v>
      </c>
      <c r="Q534" t="s">
        <v>778</v>
      </c>
      <c r="T534" t="s">
        <v>2541</v>
      </c>
      <c r="W534" t="s">
        <v>2791</v>
      </c>
      <c r="X534" t="s">
        <v>780</v>
      </c>
      <c r="Y534" t="s">
        <v>897</v>
      </c>
      <c r="AA534" s="31">
        <v>46112</v>
      </c>
      <c r="AD534">
        <v>21</v>
      </c>
      <c r="AE534" t="s">
        <v>22</v>
      </c>
      <c r="AF534" s="31">
        <v>46097</v>
      </c>
      <c r="AG534" s="61">
        <v>0.57913194444444449</v>
      </c>
      <c r="AI534" t="s">
        <v>795</v>
      </c>
      <c r="AJ534" s="31">
        <v>46118</v>
      </c>
      <c r="AK534" s="61">
        <v>0.69708333333333339</v>
      </c>
      <c r="AL534" t="s">
        <v>796</v>
      </c>
      <c r="AM534" t="s">
        <v>5047</v>
      </c>
      <c r="AP534" t="s">
        <v>44</v>
      </c>
      <c r="AS534" s="31">
        <v>46118</v>
      </c>
      <c r="AT534">
        <v>30</v>
      </c>
      <c r="AY534">
        <v>1</v>
      </c>
    </row>
    <row r="535" spans="1:51" x14ac:dyDescent="0.3">
      <c r="A535" t="s">
        <v>31</v>
      </c>
      <c r="B535">
        <v>1027</v>
      </c>
      <c r="D535">
        <v>3391</v>
      </c>
      <c r="G535" t="s">
        <v>5048</v>
      </c>
      <c r="J535" t="s">
        <v>5049</v>
      </c>
      <c r="K535" t="s">
        <v>5049</v>
      </c>
      <c r="L535">
        <v>31994220888</v>
      </c>
      <c r="N535" t="s">
        <v>5050</v>
      </c>
      <c r="Q535" t="s">
        <v>778</v>
      </c>
      <c r="T535" t="s">
        <v>2541</v>
      </c>
      <c r="W535" t="s">
        <v>3115</v>
      </c>
      <c r="X535" t="s">
        <v>780</v>
      </c>
      <c r="Y535" t="s">
        <v>781</v>
      </c>
      <c r="AA535" s="31">
        <v>46234</v>
      </c>
      <c r="AD535">
        <v>2</v>
      </c>
      <c r="AE535" t="s">
        <v>22</v>
      </c>
      <c r="AF535" s="31">
        <v>46097</v>
      </c>
      <c r="AG535" s="61">
        <v>0.57983796296296297</v>
      </c>
      <c r="AI535" t="s">
        <v>795</v>
      </c>
      <c r="AJ535" s="31">
        <v>46099</v>
      </c>
      <c r="AK535" s="61">
        <v>0.45421296296296299</v>
      </c>
      <c r="AL535" t="s">
        <v>1226</v>
      </c>
      <c r="AP535" t="s">
        <v>31</v>
      </c>
      <c r="AS535" s="31">
        <v>46098</v>
      </c>
      <c r="AT535">
        <v>30</v>
      </c>
      <c r="AY535">
        <v>1</v>
      </c>
    </row>
    <row r="536" spans="1:51" x14ac:dyDescent="0.3">
      <c r="A536" t="s">
        <v>31</v>
      </c>
      <c r="B536">
        <v>1029</v>
      </c>
      <c r="D536">
        <v>3395</v>
      </c>
      <c r="E536" t="s">
        <v>5051</v>
      </c>
      <c r="G536" t="s">
        <v>5052</v>
      </c>
      <c r="H536">
        <v>6864286000130</v>
      </c>
      <c r="J536" t="s">
        <v>4704</v>
      </c>
      <c r="K536" t="s">
        <v>4704</v>
      </c>
      <c r="L536" t="s">
        <v>5053</v>
      </c>
      <c r="N536" t="s">
        <v>5054</v>
      </c>
      <c r="Q536" t="s">
        <v>778</v>
      </c>
      <c r="R536" t="s">
        <v>5055</v>
      </c>
      <c r="T536" t="s">
        <v>814</v>
      </c>
      <c r="X536" t="s">
        <v>780</v>
      </c>
      <c r="Y536" t="s">
        <v>857</v>
      </c>
      <c r="AA536" s="31">
        <v>46173</v>
      </c>
      <c r="AD536">
        <v>13</v>
      </c>
      <c r="AE536" t="s">
        <v>22</v>
      </c>
      <c r="AF536" s="31">
        <v>46098</v>
      </c>
      <c r="AG536" s="61">
        <v>0.65673611111111108</v>
      </c>
      <c r="AI536" t="s">
        <v>795</v>
      </c>
      <c r="AJ536" s="31">
        <v>46111</v>
      </c>
      <c r="AK536" s="61">
        <v>0.66320601851851857</v>
      </c>
      <c r="AL536" t="s">
        <v>974</v>
      </c>
      <c r="AP536" t="s">
        <v>31</v>
      </c>
      <c r="AS536" s="31">
        <v>46111</v>
      </c>
      <c r="AT536">
        <v>30</v>
      </c>
      <c r="AV536" t="s">
        <v>5056</v>
      </c>
      <c r="AY536">
        <v>1</v>
      </c>
    </row>
    <row r="537" spans="1:51" x14ac:dyDescent="0.3">
      <c r="A537" t="s">
        <v>44</v>
      </c>
      <c r="B537">
        <v>1030</v>
      </c>
      <c r="D537">
        <v>3396</v>
      </c>
      <c r="E537" t="s">
        <v>5057</v>
      </c>
      <c r="G537" t="s">
        <v>5058</v>
      </c>
      <c r="J537" t="s">
        <v>5059</v>
      </c>
      <c r="K537" t="s">
        <v>5059</v>
      </c>
      <c r="L537">
        <v>62985336869</v>
      </c>
      <c r="N537" t="s">
        <v>5060</v>
      </c>
      <c r="Q537" t="s">
        <v>778</v>
      </c>
      <c r="T537" t="s">
        <v>2541</v>
      </c>
      <c r="W537" t="s">
        <v>2559</v>
      </c>
      <c r="X537" t="s">
        <v>780</v>
      </c>
      <c r="Y537" t="s">
        <v>897</v>
      </c>
      <c r="AA537" s="31">
        <v>46112</v>
      </c>
      <c r="AD537">
        <v>22</v>
      </c>
      <c r="AE537" t="s">
        <v>22</v>
      </c>
      <c r="AF537" s="31">
        <v>46098</v>
      </c>
      <c r="AG537" s="61">
        <v>0.65770833333333334</v>
      </c>
      <c r="AI537" t="s">
        <v>795</v>
      </c>
      <c r="AJ537" s="31">
        <v>46120</v>
      </c>
      <c r="AK537" s="61">
        <v>0.72315972222222225</v>
      </c>
      <c r="AL537" t="s">
        <v>1226</v>
      </c>
      <c r="AM537" t="s">
        <v>5061</v>
      </c>
      <c r="AP537" t="s">
        <v>44</v>
      </c>
      <c r="AS537" s="31">
        <v>46104</v>
      </c>
      <c r="AT537">
        <v>30</v>
      </c>
      <c r="AY537">
        <v>1</v>
      </c>
    </row>
    <row r="538" spans="1:51" x14ac:dyDescent="0.3">
      <c r="A538" t="s">
        <v>22</v>
      </c>
      <c r="B538">
        <v>1031</v>
      </c>
      <c r="D538">
        <v>3397</v>
      </c>
      <c r="E538" t="s">
        <v>5062</v>
      </c>
      <c r="G538" t="s">
        <v>5063</v>
      </c>
      <c r="H538">
        <v>27742655000191</v>
      </c>
      <c r="J538" t="s">
        <v>844</v>
      </c>
      <c r="K538" t="s">
        <v>844</v>
      </c>
      <c r="L538">
        <v>21970038782</v>
      </c>
      <c r="N538" t="s">
        <v>5064</v>
      </c>
      <c r="Q538" t="s">
        <v>778</v>
      </c>
      <c r="T538" t="s">
        <v>2541</v>
      </c>
      <c r="W538" t="s">
        <v>2791</v>
      </c>
      <c r="X538" t="s">
        <v>780</v>
      </c>
      <c r="Y538" t="s">
        <v>897</v>
      </c>
      <c r="AA538" s="31">
        <v>46112</v>
      </c>
      <c r="AD538">
        <v>3</v>
      </c>
      <c r="AE538" t="s">
        <v>22</v>
      </c>
      <c r="AF538" s="31">
        <v>46098</v>
      </c>
      <c r="AG538" s="61">
        <v>0.65940972222222227</v>
      </c>
      <c r="AI538" t="s">
        <v>795</v>
      </c>
      <c r="AJ538" s="31">
        <v>46101</v>
      </c>
      <c r="AK538" s="61">
        <v>0.65554398148148152</v>
      </c>
      <c r="AL538" t="s">
        <v>1226</v>
      </c>
      <c r="AP538" t="s">
        <v>22</v>
      </c>
      <c r="AS538" s="31"/>
      <c r="AT538">
        <v>30</v>
      </c>
      <c r="AY538">
        <v>1</v>
      </c>
    </row>
    <row r="539" spans="1:51" x14ac:dyDescent="0.3">
      <c r="A539" t="s">
        <v>31</v>
      </c>
      <c r="B539">
        <v>1032</v>
      </c>
      <c r="D539">
        <v>3402</v>
      </c>
      <c r="E539" t="s">
        <v>5065</v>
      </c>
      <c r="G539" t="s">
        <v>5066</v>
      </c>
      <c r="H539">
        <v>27742655000191</v>
      </c>
      <c r="J539" t="s">
        <v>844</v>
      </c>
      <c r="K539" t="s">
        <v>844</v>
      </c>
      <c r="L539" t="s">
        <v>5067</v>
      </c>
      <c r="N539" t="s">
        <v>5068</v>
      </c>
      <c r="Q539" t="s">
        <v>778</v>
      </c>
      <c r="R539" t="s">
        <v>1633</v>
      </c>
      <c r="S539" t="s">
        <v>848</v>
      </c>
      <c r="X539" t="s">
        <v>780</v>
      </c>
      <c r="Y539" t="s">
        <v>781</v>
      </c>
      <c r="AA539" s="31">
        <v>46234</v>
      </c>
      <c r="AD539">
        <v>28</v>
      </c>
      <c r="AE539" t="s">
        <v>31</v>
      </c>
      <c r="AF539" s="31">
        <v>46099</v>
      </c>
      <c r="AG539" s="61">
        <v>0.48501157407407408</v>
      </c>
      <c r="AI539" t="s">
        <v>782</v>
      </c>
      <c r="AJ539" s="31"/>
      <c r="AK539" s="61"/>
      <c r="AP539" t="s">
        <v>31</v>
      </c>
      <c r="AS539" s="31">
        <v>46119</v>
      </c>
      <c r="AT539">
        <v>30</v>
      </c>
      <c r="AY539">
        <v>1</v>
      </c>
    </row>
    <row r="540" spans="1:51" x14ac:dyDescent="0.3">
      <c r="A540" t="s">
        <v>31</v>
      </c>
      <c r="B540">
        <v>1033</v>
      </c>
      <c r="D540">
        <v>3401</v>
      </c>
      <c r="E540" t="s">
        <v>5069</v>
      </c>
      <c r="G540" t="s">
        <v>5070</v>
      </c>
      <c r="H540">
        <v>27251864000132</v>
      </c>
      <c r="J540" t="s">
        <v>5071</v>
      </c>
      <c r="K540" t="s">
        <v>5071</v>
      </c>
      <c r="L540" t="s">
        <v>5072</v>
      </c>
      <c r="N540" t="s">
        <v>5073</v>
      </c>
      <c r="Q540" t="s">
        <v>778</v>
      </c>
      <c r="R540" t="s">
        <v>2685</v>
      </c>
      <c r="T540" t="s">
        <v>814</v>
      </c>
      <c r="W540" t="s">
        <v>1186</v>
      </c>
      <c r="X540" t="s">
        <v>780</v>
      </c>
      <c r="Y540" t="s">
        <v>857</v>
      </c>
      <c r="AA540" s="31">
        <v>46203</v>
      </c>
      <c r="AD540">
        <v>12</v>
      </c>
      <c r="AE540" t="s">
        <v>22</v>
      </c>
      <c r="AF540" s="31">
        <v>46099</v>
      </c>
      <c r="AG540" s="61">
        <v>0.64248842592592592</v>
      </c>
      <c r="AI540" t="s">
        <v>795</v>
      </c>
      <c r="AJ540" s="31">
        <v>46111</v>
      </c>
      <c r="AK540" s="61">
        <v>0.66197916666666667</v>
      </c>
      <c r="AL540" t="s">
        <v>796</v>
      </c>
      <c r="AP540" t="s">
        <v>31</v>
      </c>
      <c r="AS540" s="31">
        <v>46111</v>
      </c>
      <c r="AT540">
        <v>30</v>
      </c>
      <c r="AV540" t="s">
        <v>47</v>
      </c>
      <c r="AY540">
        <v>1</v>
      </c>
    </row>
    <row r="541" spans="1:51" x14ac:dyDescent="0.3">
      <c r="A541" t="s">
        <v>44</v>
      </c>
      <c r="B541">
        <v>1034</v>
      </c>
      <c r="D541">
        <v>3400</v>
      </c>
      <c r="E541" t="s">
        <v>5074</v>
      </c>
      <c r="G541" t="s">
        <v>5075</v>
      </c>
      <c r="J541" t="s">
        <v>5076</v>
      </c>
      <c r="K541" t="s">
        <v>5076</v>
      </c>
      <c r="L541">
        <v>11987194488</v>
      </c>
      <c r="N541" t="s">
        <v>5077</v>
      </c>
      <c r="Q541" t="s">
        <v>778</v>
      </c>
      <c r="T541" t="s">
        <v>2541</v>
      </c>
      <c r="W541" t="s">
        <v>2559</v>
      </c>
      <c r="X541" t="s">
        <v>780</v>
      </c>
      <c r="Y541" t="s">
        <v>897</v>
      </c>
      <c r="AA541" s="31">
        <v>46112</v>
      </c>
      <c r="AD541">
        <v>21</v>
      </c>
      <c r="AE541" t="s">
        <v>22</v>
      </c>
      <c r="AF541" s="31">
        <v>46099</v>
      </c>
      <c r="AG541" s="61">
        <v>0.64361111111111113</v>
      </c>
      <c r="AI541" t="s">
        <v>795</v>
      </c>
      <c r="AJ541" s="31">
        <v>46120</v>
      </c>
      <c r="AK541" s="61">
        <v>0.72401620370370368</v>
      </c>
      <c r="AL541" t="s">
        <v>1226</v>
      </c>
      <c r="AM541" t="s">
        <v>5078</v>
      </c>
      <c r="AP541" t="s">
        <v>44</v>
      </c>
      <c r="AS541" s="31">
        <v>46108</v>
      </c>
      <c r="AT541">
        <v>30</v>
      </c>
      <c r="AY541">
        <v>1</v>
      </c>
    </row>
    <row r="542" spans="1:51" x14ac:dyDescent="0.3">
      <c r="A542" t="s">
        <v>22</v>
      </c>
      <c r="B542">
        <v>1035</v>
      </c>
      <c r="D542">
        <v>3399</v>
      </c>
      <c r="E542" t="s">
        <v>5079</v>
      </c>
      <c r="G542" t="s">
        <v>5080</v>
      </c>
      <c r="J542" t="s">
        <v>5081</v>
      </c>
      <c r="K542" t="s">
        <v>5081</v>
      </c>
      <c r="L542">
        <v>62984060714</v>
      </c>
      <c r="N542" t="s">
        <v>5082</v>
      </c>
      <c r="Q542" t="s">
        <v>778</v>
      </c>
      <c r="T542" t="s">
        <v>2541</v>
      </c>
      <c r="W542" t="s">
        <v>2791</v>
      </c>
      <c r="X542" t="s">
        <v>780</v>
      </c>
      <c r="Y542" t="s">
        <v>897</v>
      </c>
      <c r="AA542" s="31">
        <v>46112</v>
      </c>
      <c r="AD542">
        <v>23</v>
      </c>
      <c r="AE542" t="s">
        <v>22</v>
      </c>
      <c r="AF542" s="31">
        <v>46099</v>
      </c>
      <c r="AG542" s="61">
        <v>0.64436342592592588</v>
      </c>
      <c r="AI542" t="s">
        <v>795</v>
      </c>
      <c r="AJ542" s="31">
        <v>46122</v>
      </c>
      <c r="AK542" s="61">
        <v>0.60195601851851854</v>
      </c>
      <c r="AL542" t="s">
        <v>796</v>
      </c>
      <c r="AP542" t="s">
        <v>22</v>
      </c>
      <c r="AS542" s="31">
        <v>46101</v>
      </c>
      <c r="AT542">
        <v>30</v>
      </c>
      <c r="AY542">
        <v>1</v>
      </c>
    </row>
    <row r="543" spans="1:51" x14ac:dyDescent="0.3">
      <c r="A543" t="s">
        <v>31</v>
      </c>
      <c r="B543">
        <v>1037</v>
      </c>
      <c r="D543">
        <v>3404</v>
      </c>
      <c r="E543" t="s">
        <v>5083</v>
      </c>
      <c r="G543" t="s">
        <v>431</v>
      </c>
      <c r="J543" t="s">
        <v>5084</v>
      </c>
      <c r="K543" t="s">
        <v>5084</v>
      </c>
      <c r="L543">
        <v>61981840031</v>
      </c>
      <c r="N543" t="s">
        <v>5085</v>
      </c>
      <c r="Q543" t="s">
        <v>778</v>
      </c>
      <c r="T543" t="s">
        <v>2541</v>
      </c>
      <c r="W543" t="s">
        <v>4823</v>
      </c>
      <c r="X543" t="s">
        <v>780</v>
      </c>
      <c r="Y543" t="s">
        <v>857</v>
      </c>
      <c r="AA543" s="31">
        <v>46112</v>
      </c>
      <c r="AD543">
        <v>6</v>
      </c>
      <c r="AE543" t="s">
        <v>22</v>
      </c>
      <c r="AF543" s="31">
        <v>46100</v>
      </c>
      <c r="AG543" s="61">
        <v>0.43497685185185192</v>
      </c>
      <c r="AI543" t="s">
        <v>795</v>
      </c>
      <c r="AJ543" s="31">
        <v>46106</v>
      </c>
      <c r="AK543" s="61">
        <v>0.41215277777777781</v>
      </c>
      <c r="AL543" t="s">
        <v>867</v>
      </c>
      <c r="AO543" t="s">
        <v>5010</v>
      </c>
      <c r="AP543" t="s">
        <v>31</v>
      </c>
      <c r="AQ543" t="s">
        <v>5010</v>
      </c>
      <c r="AS543" s="31">
        <v>46105</v>
      </c>
      <c r="AT543">
        <v>30</v>
      </c>
      <c r="AY543">
        <v>1</v>
      </c>
    </row>
    <row r="544" spans="1:51" x14ac:dyDescent="0.3">
      <c r="A544" t="s">
        <v>44</v>
      </c>
      <c r="B544">
        <v>1038</v>
      </c>
      <c r="D544">
        <v>3405</v>
      </c>
      <c r="E544" t="s">
        <v>5086</v>
      </c>
      <c r="G544" t="s">
        <v>5087</v>
      </c>
      <c r="J544" t="s">
        <v>5088</v>
      </c>
      <c r="K544" t="s">
        <v>5088</v>
      </c>
      <c r="L544">
        <v>35998394949</v>
      </c>
      <c r="N544" t="s">
        <v>5089</v>
      </c>
      <c r="Q544" t="s">
        <v>778</v>
      </c>
      <c r="T544" t="s">
        <v>2541</v>
      </c>
      <c r="W544" t="s">
        <v>2559</v>
      </c>
      <c r="X544" t="s">
        <v>780</v>
      </c>
      <c r="Y544" t="s">
        <v>897</v>
      </c>
      <c r="AA544" s="31"/>
      <c r="AD544">
        <v>0</v>
      </c>
      <c r="AE544" t="s">
        <v>22</v>
      </c>
      <c r="AF544" s="31">
        <v>46100</v>
      </c>
      <c r="AG544" s="61">
        <v>0.43748842592592591</v>
      </c>
      <c r="AI544" t="s">
        <v>795</v>
      </c>
      <c r="AJ544" s="31">
        <v>46100</v>
      </c>
      <c r="AK544" s="61">
        <v>0.51109953703703703</v>
      </c>
      <c r="AL544" t="s">
        <v>1226</v>
      </c>
      <c r="AM544" t="s">
        <v>5090</v>
      </c>
      <c r="AP544" t="s">
        <v>44</v>
      </c>
      <c r="AS544" s="31"/>
      <c r="AT544">
        <v>30</v>
      </c>
      <c r="AY544">
        <v>1</v>
      </c>
    </row>
    <row r="545" spans="1:51" x14ac:dyDescent="0.3">
      <c r="A545" t="s">
        <v>31</v>
      </c>
      <c r="B545">
        <v>1040</v>
      </c>
      <c r="D545">
        <v>3408</v>
      </c>
      <c r="E545" t="s">
        <v>5091</v>
      </c>
      <c r="G545" t="s">
        <v>5092</v>
      </c>
      <c r="H545">
        <v>40707794000142</v>
      </c>
      <c r="J545" t="s">
        <v>5093</v>
      </c>
      <c r="K545" t="s">
        <v>5093</v>
      </c>
      <c r="L545">
        <v>71999081968</v>
      </c>
      <c r="N545" t="s">
        <v>5094</v>
      </c>
      <c r="Q545" t="s">
        <v>778</v>
      </c>
      <c r="T545" t="s">
        <v>2541</v>
      </c>
      <c r="W545" t="s">
        <v>2559</v>
      </c>
      <c r="X545" t="s">
        <v>780</v>
      </c>
      <c r="Y545" t="s">
        <v>781</v>
      </c>
      <c r="AA545" s="31">
        <v>46142</v>
      </c>
      <c r="AD545">
        <v>26</v>
      </c>
      <c r="AE545" t="s">
        <v>22</v>
      </c>
      <c r="AF545" s="31">
        <v>46101</v>
      </c>
      <c r="AG545" s="61">
        <v>0.39078703703703699</v>
      </c>
      <c r="AI545" t="s">
        <v>782</v>
      </c>
      <c r="AJ545" s="31"/>
      <c r="AK545" s="61"/>
      <c r="AP545" t="s">
        <v>31</v>
      </c>
      <c r="AS545" s="31">
        <v>46119</v>
      </c>
      <c r="AT545">
        <v>30</v>
      </c>
      <c r="AY545">
        <v>1</v>
      </c>
    </row>
    <row r="546" spans="1:51" x14ac:dyDescent="0.3">
      <c r="A546" t="s">
        <v>31</v>
      </c>
      <c r="B546">
        <v>1041</v>
      </c>
      <c r="D546">
        <v>3409</v>
      </c>
      <c r="E546" t="s">
        <v>5095</v>
      </c>
      <c r="G546" t="s">
        <v>5096</v>
      </c>
      <c r="J546" t="s">
        <v>5097</v>
      </c>
      <c r="K546" t="s">
        <v>5097</v>
      </c>
      <c r="L546">
        <v>67999748649</v>
      </c>
      <c r="N546" t="s">
        <v>5098</v>
      </c>
      <c r="Q546" t="s">
        <v>778</v>
      </c>
      <c r="T546" t="s">
        <v>2541</v>
      </c>
      <c r="W546" t="s">
        <v>4823</v>
      </c>
      <c r="X546" t="s">
        <v>780</v>
      </c>
      <c r="Y546" t="s">
        <v>781</v>
      </c>
      <c r="AA546" s="31"/>
      <c r="AD546">
        <v>3</v>
      </c>
      <c r="AE546" t="s">
        <v>22</v>
      </c>
      <c r="AF546" s="31">
        <v>46101</v>
      </c>
      <c r="AG546" s="61">
        <v>0.64495370370370375</v>
      </c>
      <c r="AI546" t="s">
        <v>795</v>
      </c>
      <c r="AJ546" s="31">
        <v>46104</v>
      </c>
      <c r="AK546" s="61">
        <v>0.52674768518518522</v>
      </c>
      <c r="AL546" t="s">
        <v>867</v>
      </c>
      <c r="AP546" t="s">
        <v>31</v>
      </c>
      <c r="AS546" s="31">
        <v>46104</v>
      </c>
      <c r="AT546">
        <v>30</v>
      </c>
      <c r="AY546">
        <v>1</v>
      </c>
    </row>
    <row r="547" spans="1:51" x14ac:dyDescent="0.3">
      <c r="A547" t="s">
        <v>44</v>
      </c>
      <c r="B547">
        <v>1044</v>
      </c>
      <c r="D547">
        <v>3414</v>
      </c>
      <c r="E547" t="s">
        <v>5099</v>
      </c>
      <c r="G547" t="s">
        <v>5100</v>
      </c>
      <c r="J547" t="s">
        <v>5101</v>
      </c>
      <c r="K547" t="s">
        <v>5101</v>
      </c>
      <c r="L547">
        <v>9991419327</v>
      </c>
      <c r="N547" t="s">
        <v>5102</v>
      </c>
      <c r="Q547" t="s">
        <v>778</v>
      </c>
      <c r="S547" t="s">
        <v>5103</v>
      </c>
      <c r="T547" t="s">
        <v>1191</v>
      </c>
      <c r="W547" t="s">
        <v>5104</v>
      </c>
      <c r="X547" t="s">
        <v>780</v>
      </c>
      <c r="Y547" t="s">
        <v>897</v>
      </c>
      <c r="AA547" s="31">
        <v>46105</v>
      </c>
      <c r="AD547">
        <v>16</v>
      </c>
      <c r="AE547" t="s">
        <v>22</v>
      </c>
      <c r="AF547" s="31">
        <v>46104</v>
      </c>
      <c r="AG547" s="61">
        <v>0.57486111111111116</v>
      </c>
      <c r="AI547" t="s">
        <v>795</v>
      </c>
      <c r="AJ547" s="31">
        <v>46120</v>
      </c>
      <c r="AK547" s="61">
        <v>0.72234953703703708</v>
      </c>
      <c r="AL547" t="s">
        <v>1226</v>
      </c>
      <c r="AM547" t="s">
        <v>5105</v>
      </c>
      <c r="AP547" t="s">
        <v>44</v>
      </c>
      <c r="AS547" s="31">
        <v>46104</v>
      </c>
      <c r="AT547">
        <v>30</v>
      </c>
      <c r="AY547">
        <v>1</v>
      </c>
    </row>
    <row r="548" spans="1:51" x14ac:dyDescent="0.3">
      <c r="A548" t="s">
        <v>31</v>
      </c>
      <c r="B548">
        <v>1045</v>
      </c>
      <c r="D548">
        <v>3412</v>
      </c>
      <c r="E548" t="s">
        <v>5106</v>
      </c>
      <c r="G548" t="s">
        <v>5107</v>
      </c>
      <c r="J548" t="s">
        <v>5108</v>
      </c>
      <c r="K548" t="s">
        <v>5108</v>
      </c>
      <c r="L548">
        <v>62993734302</v>
      </c>
      <c r="N548" t="s">
        <v>5109</v>
      </c>
      <c r="Q548" t="s">
        <v>778</v>
      </c>
      <c r="T548" t="s">
        <v>2541</v>
      </c>
      <c r="W548" t="s">
        <v>2559</v>
      </c>
      <c r="X548" t="s">
        <v>780</v>
      </c>
      <c r="Y548" t="s">
        <v>781</v>
      </c>
      <c r="AA548" s="31">
        <v>46142</v>
      </c>
      <c r="AD548">
        <v>15</v>
      </c>
      <c r="AE548" t="s">
        <v>22</v>
      </c>
      <c r="AF548" s="31">
        <v>46104</v>
      </c>
      <c r="AG548" s="61">
        <v>0.57579861111111108</v>
      </c>
      <c r="AI548" t="s">
        <v>795</v>
      </c>
      <c r="AJ548" s="31">
        <v>46119</v>
      </c>
      <c r="AK548" s="61">
        <v>0.40035879629629628</v>
      </c>
      <c r="AL548" t="s">
        <v>1226</v>
      </c>
      <c r="AP548" t="s">
        <v>31</v>
      </c>
      <c r="AS548" s="31">
        <v>46119</v>
      </c>
      <c r="AT548">
        <v>30</v>
      </c>
      <c r="AY548">
        <v>1</v>
      </c>
    </row>
    <row r="549" spans="1:51" x14ac:dyDescent="0.3">
      <c r="A549" t="s">
        <v>44</v>
      </c>
      <c r="B549">
        <v>1046</v>
      </c>
      <c r="D549">
        <v>3411</v>
      </c>
      <c r="E549" t="s">
        <v>5110</v>
      </c>
      <c r="G549" t="s">
        <v>5111</v>
      </c>
      <c r="H549">
        <v>32354207000150</v>
      </c>
      <c r="J549" t="s">
        <v>5112</v>
      </c>
      <c r="K549" t="s">
        <v>5112</v>
      </c>
      <c r="L549">
        <v>27999328628</v>
      </c>
      <c r="N549" t="s">
        <v>5113</v>
      </c>
      <c r="Q549" t="s">
        <v>778</v>
      </c>
      <c r="R549" t="s">
        <v>5114</v>
      </c>
      <c r="S549" t="s">
        <v>5115</v>
      </c>
      <c r="T549" t="s">
        <v>2541</v>
      </c>
      <c r="W549" t="s">
        <v>2791</v>
      </c>
      <c r="X549" t="s">
        <v>780</v>
      </c>
      <c r="Y549" t="s">
        <v>897</v>
      </c>
      <c r="AA549" s="31">
        <v>46112</v>
      </c>
      <c r="AD549">
        <v>4</v>
      </c>
      <c r="AE549" t="s">
        <v>22</v>
      </c>
      <c r="AF549" s="31">
        <v>46104</v>
      </c>
      <c r="AG549" s="61">
        <v>0.57660879629629624</v>
      </c>
      <c r="AI549" t="s">
        <v>795</v>
      </c>
      <c r="AJ549" s="31">
        <v>46108</v>
      </c>
      <c r="AK549" s="61">
        <v>0.60454861111111113</v>
      </c>
      <c r="AL549" t="s">
        <v>796</v>
      </c>
      <c r="AM549" t="s">
        <v>5116</v>
      </c>
      <c r="AP549" t="s">
        <v>44</v>
      </c>
      <c r="AS549" s="31">
        <v>46108</v>
      </c>
      <c r="AT549">
        <v>30</v>
      </c>
      <c r="AY549">
        <v>1</v>
      </c>
    </row>
    <row r="550" spans="1:51" x14ac:dyDescent="0.3">
      <c r="A550" t="s">
        <v>44</v>
      </c>
      <c r="B550">
        <v>1047</v>
      </c>
      <c r="D550">
        <v>3417</v>
      </c>
      <c r="G550" t="s">
        <v>446</v>
      </c>
      <c r="J550" t="s">
        <v>5117</v>
      </c>
      <c r="K550" t="s">
        <v>5117</v>
      </c>
      <c r="L550">
        <v>11947600755</v>
      </c>
      <c r="N550" t="s">
        <v>2262</v>
      </c>
      <c r="Q550" t="s">
        <v>778</v>
      </c>
      <c r="X550" t="s">
        <v>780</v>
      </c>
      <c r="Y550" t="s">
        <v>816</v>
      </c>
      <c r="AA550" s="31"/>
      <c r="AB550">
        <v>1652929</v>
      </c>
      <c r="AC550">
        <v>0</v>
      </c>
      <c r="AD550">
        <v>0</v>
      </c>
      <c r="AE550" t="s">
        <v>44</v>
      </c>
      <c r="AF550" s="31">
        <v>46105</v>
      </c>
      <c r="AG550" s="61">
        <v>0.67167824074074078</v>
      </c>
      <c r="AI550" t="s">
        <v>818</v>
      </c>
      <c r="AJ550" s="31">
        <v>46105</v>
      </c>
      <c r="AK550" s="61">
        <v>0.67298611111111106</v>
      </c>
      <c r="AO550" t="s">
        <v>4654</v>
      </c>
      <c r="AS550" s="31"/>
      <c r="AT550">
        <v>90</v>
      </c>
      <c r="AY550">
        <v>1</v>
      </c>
    </row>
    <row r="551" spans="1:51" x14ac:dyDescent="0.3">
      <c r="A551" t="s">
        <v>44</v>
      </c>
      <c r="B551">
        <v>1049</v>
      </c>
      <c r="D551">
        <v>3420</v>
      </c>
      <c r="E551" t="s">
        <v>5118</v>
      </c>
      <c r="G551" t="s">
        <v>5119</v>
      </c>
      <c r="H551">
        <v>33582253000170</v>
      </c>
      <c r="J551" t="s">
        <v>5120</v>
      </c>
      <c r="K551" t="s">
        <v>5120</v>
      </c>
      <c r="L551" t="s">
        <v>5121</v>
      </c>
      <c r="N551" t="s">
        <v>5122</v>
      </c>
      <c r="Q551" t="s">
        <v>778</v>
      </c>
      <c r="R551" t="s">
        <v>5123</v>
      </c>
      <c r="S551" t="s">
        <v>1105</v>
      </c>
      <c r="T551" t="s">
        <v>814</v>
      </c>
      <c r="W551" t="s">
        <v>5124</v>
      </c>
      <c r="X551" t="s">
        <v>780</v>
      </c>
      <c r="Y551" t="s">
        <v>897</v>
      </c>
      <c r="AA551" s="31">
        <v>46112</v>
      </c>
      <c r="AD551">
        <v>7</v>
      </c>
      <c r="AE551" t="s">
        <v>22</v>
      </c>
      <c r="AF551" s="31">
        <v>46106</v>
      </c>
      <c r="AG551" s="61">
        <v>0.68858796296296299</v>
      </c>
      <c r="AI551" t="s">
        <v>795</v>
      </c>
      <c r="AJ551" s="31">
        <v>46113</v>
      </c>
      <c r="AK551" s="61">
        <v>0.4372685185185185</v>
      </c>
      <c r="AL551" t="s">
        <v>1226</v>
      </c>
      <c r="AM551" t="s">
        <v>5118</v>
      </c>
      <c r="AP551" t="s">
        <v>44</v>
      </c>
      <c r="AS551" s="31">
        <v>46112</v>
      </c>
      <c r="AT551">
        <v>30</v>
      </c>
      <c r="AY551">
        <v>1</v>
      </c>
    </row>
    <row r="552" spans="1:51" x14ac:dyDescent="0.3">
      <c r="A552" t="s">
        <v>44</v>
      </c>
      <c r="B552">
        <v>1050</v>
      </c>
      <c r="D552">
        <v>3427</v>
      </c>
      <c r="E552" t="s">
        <v>4917</v>
      </c>
      <c r="G552" t="s">
        <v>454</v>
      </c>
      <c r="J552" t="s">
        <v>5125</v>
      </c>
      <c r="K552" t="s">
        <v>5125</v>
      </c>
      <c r="L552">
        <v>11988736515</v>
      </c>
      <c r="N552" t="s">
        <v>4916</v>
      </c>
      <c r="Q552" t="s">
        <v>778</v>
      </c>
      <c r="X552" t="s">
        <v>780</v>
      </c>
      <c r="Y552" t="s">
        <v>857</v>
      </c>
      <c r="AA552" s="31"/>
      <c r="AB552">
        <v>1600</v>
      </c>
      <c r="AC552">
        <v>252471</v>
      </c>
      <c r="AD552">
        <v>20</v>
      </c>
      <c r="AE552" t="s">
        <v>44</v>
      </c>
      <c r="AF552" s="31">
        <v>46107</v>
      </c>
      <c r="AG552" s="61">
        <v>0.6632986111111111</v>
      </c>
      <c r="AI552" t="s">
        <v>795</v>
      </c>
      <c r="AJ552" s="31">
        <v>46127</v>
      </c>
      <c r="AK552" s="61">
        <v>0.40313657407407399</v>
      </c>
      <c r="AL552" t="s">
        <v>934</v>
      </c>
      <c r="AM552" t="s">
        <v>4917</v>
      </c>
      <c r="AO552" t="s">
        <v>4918</v>
      </c>
      <c r="AQ552" t="s">
        <v>4679</v>
      </c>
      <c r="AS552" s="31">
        <v>46127</v>
      </c>
      <c r="AT552">
        <v>50</v>
      </c>
      <c r="AY552">
        <v>1</v>
      </c>
    </row>
    <row r="553" spans="1:51" x14ac:dyDescent="0.3">
      <c r="A553" t="s">
        <v>44</v>
      </c>
      <c r="B553">
        <v>1051</v>
      </c>
      <c r="D553">
        <v>3428</v>
      </c>
      <c r="E553" t="s">
        <v>4917</v>
      </c>
      <c r="G553" t="s">
        <v>461</v>
      </c>
      <c r="J553" t="s">
        <v>5126</v>
      </c>
      <c r="K553" t="s">
        <v>5126</v>
      </c>
      <c r="L553">
        <v>11988736515</v>
      </c>
      <c r="N553" t="s">
        <v>4916</v>
      </c>
      <c r="Q553" t="s">
        <v>778</v>
      </c>
      <c r="X553" t="s">
        <v>780</v>
      </c>
      <c r="Y553" t="s">
        <v>857</v>
      </c>
      <c r="AA553" s="31"/>
      <c r="AB553">
        <v>13100</v>
      </c>
      <c r="AC553">
        <v>1800</v>
      </c>
      <c r="AD553">
        <v>20</v>
      </c>
      <c r="AE553" t="s">
        <v>44</v>
      </c>
      <c r="AF553" s="31">
        <v>46107</v>
      </c>
      <c r="AG553" s="61">
        <v>0.66609953703703706</v>
      </c>
      <c r="AI553" t="s">
        <v>795</v>
      </c>
      <c r="AJ553" s="31">
        <v>46127</v>
      </c>
      <c r="AK553" s="61">
        <v>0.40047453703703711</v>
      </c>
      <c r="AL553" t="s">
        <v>934</v>
      </c>
      <c r="AM553" t="s">
        <v>4917</v>
      </c>
      <c r="AO553" t="s">
        <v>4918</v>
      </c>
      <c r="AQ553" t="s">
        <v>4612</v>
      </c>
      <c r="AS553" s="31">
        <v>46127</v>
      </c>
      <c r="AT553">
        <v>50</v>
      </c>
      <c r="AY553">
        <v>1</v>
      </c>
    </row>
    <row r="554" spans="1:51" x14ac:dyDescent="0.3">
      <c r="A554" t="s">
        <v>31</v>
      </c>
      <c r="B554">
        <v>1052</v>
      </c>
      <c r="D554">
        <v>3423</v>
      </c>
      <c r="E554" t="s">
        <v>5127</v>
      </c>
      <c r="G554" t="s">
        <v>5128</v>
      </c>
      <c r="H554">
        <v>48440778000148</v>
      </c>
      <c r="J554" t="s">
        <v>5129</v>
      </c>
      <c r="K554" t="s">
        <v>5129</v>
      </c>
      <c r="L554">
        <v>11912958843</v>
      </c>
      <c r="N554" t="s">
        <v>5130</v>
      </c>
      <c r="Q554" t="s">
        <v>778</v>
      </c>
      <c r="S554" t="s">
        <v>5131</v>
      </c>
      <c r="T554" t="s">
        <v>1191</v>
      </c>
      <c r="W554" t="s">
        <v>2791</v>
      </c>
      <c r="X554" t="s">
        <v>780</v>
      </c>
      <c r="Y554" t="s">
        <v>781</v>
      </c>
      <c r="AA554" s="31">
        <v>46112</v>
      </c>
      <c r="AD554">
        <v>20</v>
      </c>
      <c r="AE554" t="s">
        <v>22</v>
      </c>
      <c r="AF554" s="31">
        <v>46107</v>
      </c>
      <c r="AG554" s="61">
        <v>0.70391203703703709</v>
      </c>
      <c r="AI554" t="s">
        <v>782</v>
      </c>
      <c r="AJ554" s="31"/>
      <c r="AK554" s="61"/>
      <c r="AP554" t="s">
        <v>31</v>
      </c>
      <c r="AS554" s="31">
        <v>46119</v>
      </c>
      <c r="AT554">
        <v>30</v>
      </c>
      <c r="AY554">
        <v>1</v>
      </c>
    </row>
    <row r="555" spans="1:51" x14ac:dyDescent="0.3">
      <c r="A555" t="s">
        <v>44</v>
      </c>
      <c r="B555">
        <v>1053</v>
      </c>
      <c r="D555">
        <v>3424</v>
      </c>
      <c r="E555" t="s">
        <v>5132</v>
      </c>
      <c r="G555" t="s">
        <v>5133</v>
      </c>
      <c r="H555">
        <v>4486490000139</v>
      </c>
      <c r="J555" t="s">
        <v>5134</v>
      </c>
      <c r="K555" t="s">
        <v>5134</v>
      </c>
      <c r="L555">
        <v>47988227474</v>
      </c>
      <c r="N555" t="s">
        <v>5135</v>
      </c>
      <c r="Q555" t="s">
        <v>778</v>
      </c>
      <c r="T555" t="s">
        <v>2541</v>
      </c>
      <c r="W555" t="s">
        <v>2791</v>
      </c>
      <c r="X555" t="s">
        <v>780</v>
      </c>
      <c r="Y555" t="s">
        <v>897</v>
      </c>
      <c r="AA555" s="31">
        <v>46107</v>
      </c>
      <c r="AD555">
        <v>20</v>
      </c>
      <c r="AE555" t="s">
        <v>22</v>
      </c>
      <c r="AF555" s="31">
        <v>46107</v>
      </c>
      <c r="AG555" s="61">
        <v>0.7056365740740741</v>
      </c>
      <c r="AI555" t="s">
        <v>782</v>
      </c>
      <c r="AJ555" s="31"/>
      <c r="AK555" s="61"/>
      <c r="AP555" t="s">
        <v>44</v>
      </c>
      <c r="AS555" s="31"/>
      <c r="AT555">
        <v>30</v>
      </c>
      <c r="AY555">
        <v>1</v>
      </c>
    </row>
    <row r="556" spans="1:51" x14ac:dyDescent="0.3">
      <c r="A556" t="s">
        <v>31</v>
      </c>
      <c r="B556">
        <v>1054</v>
      </c>
      <c r="D556">
        <v>3425</v>
      </c>
      <c r="E556" t="s">
        <v>5136</v>
      </c>
      <c r="G556" t="s">
        <v>5137</v>
      </c>
      <c r="J556" t="s">
        <v>5138</v>
      </c>
      <c r="K556" t="s">
        <v>5138</v>
      </c>
      <c r="L556">
        <v>11984731999</v>
      </c>
      <c r="N556" t="s">
        <v>5139</v>
      </c>
      <c r="Q556" t="s">
        <v>778</v>
      </c>
      <c r="S556" t="s">
        <v>5140</v>
      </c>
      <c r="T556" t="s">
        <v>1191</v>
      </c>
      <c r="W556" t="s">
        <v>2559</v>
      </c>
      <c r="X556" t="s">
        <v>780</v>
      </c>
      <c r="Y556" t="s">
        <v>781</v>
      </c>
      <c r="AA556" s="31">
        <v>46107</v>
      </c>
      <c r="AD556">
        <v>11</v>
      </c>
      <c r="AE556" t="s">
        <v>22</v>
      </c>
      <c r="AF556" s="31">
        <v>46107</v>
      </c>
      <c r="AG556" s="61">
        <v>0.70751157407407406</v>
      </c>
      <c r="AI556" t="s">
        <v>795</v>
      </c>
      <c r="AJ556" s="31">
        <v>46118</v>
      </c>
      <c r="AK556" s="61">
        <v>0.53096064814814814</v>
      </c>
      <c r="AL556" t="s">
        <v>1226</v>
      </c>
      <c r="AP556" t="s">
        <v>31</v>
      </c>
      <c r="AS556" s="31">
        <v>46113</v>
      </c>
      <c r="AT556">
        <v>30</v>
      </c>
      <c r="AY556">
        <v>1</v>
      </c>
    </row>
    <row r="557" spans="1:51" x14ac:dyDescent="0.3">
      <c r="A557" t="s">
        <v>31</v>
      </c>
      <c r="B557">
        <v>1055</v>
      </c>
      <c r="D557">
        <v>3429</v>
      </c>
      <c r="E557" t="s">
        <v>5141</v>
      </c>
      <c r="G557" t="s">
        <v>5142</v>
      </c>
      <c r="J557" t="s">
        <v>5143</v>
      </c>
      <c r="K557" t="s">
        <v>5143</v>
      </c>
      <c r="L557">
        <v>61999781085</v>
      </c>
      <c r="N557" t="s">
        <v>5144</v>
      </c>
      <c r="Q557" t="s">
        <v>778</v>
      </c>
      <c r="T557" t="s">
        <v>2541</v>
      </c>
      <c r="W557" t="s">
        <v>2559</v>
      </c>
      <c r="X557" t="s">
        <v>780</v>
      </c>
      <c r="Y557" t="s">
        <v>781</v>
      </c>
      <c r="AA557" s="31">
        <v>46112</v>
      </c>
      <c r="AD557">
        <v>3</v>
      </c>
      <c r="AE557" t="s">
        <v>22</v>
      </c>
      <c r="AF557" s="31">
        <v>46108</v>
      </c>
      <c r="AG557" s="61">
        <v>0.4294560185185185</v>
      </c>
      <c r="AI557" t="s">
        <v>795</v>
      </c>
      <c r="AJ557" s="31">
        <v>46111</v>
      </c>
      <c r="AK557" s="61">
        <v>0.73829861111111106</v>
      </c>
      <c r="AL557" t="s">
        <v>1226</v>
      </c>
      <c r="AP557" t="s">
        <v>31</v>
      </c>
      <c r="AS557" s="31">
        <v>46111</v>
      </c>
      <c r="AT557">
        <v>30</v>
      </c>
      <c r="AY557">
        <v>1</v>
      </c>
    </row>
    <row r="558" spans="1:51" x14ac:dyDescent="0.3">
      <c r="A558" t="s">
        <v>44</v>
      </c>
      <c r="B558">
        <v>1059</v>
      </c>
      <c r="D558">
        <v>3455</v>
      </c>
      <c r="E558" t="s">
        <v>5145</v>
      </c>
      <c r="G558" t="s">
        <v>467</v>
      </c>
      <c r="J558" t="s">
        <v>5146</v>
      </c>
      <c r="K558" t="s">
        <v>5146</v>
      </c>
      <c r="L558">
        <v>1532835196</v>
      </c>
      <c r="N558" t="s">
        <v>4972</v>
      </c>
      <c r="Q558" t="s">
        <v>778</v>
      </c>
      <c r="X558" t="s">
        <v>780</v>
      </c>
      <c r="Y558" t="s">
        <v>793</v>
      </c>
      <c r="AA558" s="31"/>
      <c r="AB558">
        <v>1600</v>
      </c>
      <c r="AC558">
        <v>384454</v>
      </c>
      <c r="AD558">
        <v>16</v>
      </c>
      <c r="AE558" t="s">
        <v>44</v>
      </c>
      <c r="AF558" s="31">
        <v>46111</v>
      </c>
      <c r="AG558" s="61">
        <v>0.63893518518518522</v>
      </c>
      <c r="AI558" t="s">
        <v>782</v>
      </c>
      <c r="AJ558" s="31"/>
      <c r="AK558" s="61"/>
      <c r="AO558" t="s">
        <v>4973</v>
      </c>
      <c r="AQ558" t="s">
        <v>4644</v>
      </c>
      <c r="AS558" s="31">
        <v>46111</v>
      </c>
      <c r="AT558">
        <v>50</v>
      </c>
      <c r="AY558">
        <v>1</v>
      </c>
    </row>
    <row r="559" spans="1:51" x14ac:dyDescent="0.3">
      <c r="A559" t="s">
        <v>44</v>
      </c>
      <c r="B559">
        <v>1060</v>
      </c>
      <c r="D559">
        <v>3460</v>
      </c>
      <c r="G559" t="s">
        <v>472</v>
      </c>
      <c r="J559" t="s">
        <v>5147</v>
      </c>
      <c r="K559" t="s">
        <v>5147</v>
      </c>
      <c r="L559">
        <v>19974080034</v>
      </c>
      <c r="N559" t="s">
        <v>1111</v>
      </c>
      <c r="Q559" t="s">
        <v>778</v>
      </c>
      <c r="X559" t="s">
        <v>780</v>
      </c>
      <c r="Y559" t="s">
        <v>793</v>
      </c>
      <c r="AA559" s="31"/>
      <c r="AB559">
        <v>34236</v>
      </c>
      <c r="AC559">
        <v>42768</v>
      </c>
      <c r="AD559">
        <v>16</v>
      </c>
      <c r="AE559" t="s">
        <v>44</v>
      </c>
      <c r="AF559" s="31">
        <v>46111</v>
      </c>
      <c r="AG559" s="61">
        <v>0.67641203703703701</v>
      </c>
      <c r="AI559" t="s">
        <v>782</v>
      </c>
      <c r="AJ559" s="31"/>
      <c r="AK559" s="61"/>
      <c r="AO559" t="s">
        <v>5148</v>
      </c>
      <c r="AQ559" t="s">
        <v>5149</v>
      </c>
      <c r="AS559" s="31"/>
      <c r="AT559">
        <v>50</v>
      </c>
      <c r="AY559">
        <v>1</v>
      </c>
    </row>
    <row r="560" spans="1:51" x14ac:dyDescent="0.3">
      <c r="A560" t="s">
        <v>44</v>
      </c>
      <c r="B560">
        <v>1061</v>
      </c>
      <c r="D560">
        <v>3466</v>
      </c>
      <c r="G560" t="s">
        <v>477</v>
      </c>
      <c r="J560" t="s">
        <v>5150</v>
      </c>
      <c r="K560" t="s">
        <v>5150</v>
      </c>
      <c r="L560">
        <v>11947895866</v>
      </c>
      <c r="N560" t="s">
        <v>1111</v>
      </c>
      <c r="Q560" t="s">
        <v>778</v>
      </c>
      <c r="X560" t="s">
        <v>780</v>
      </c>
      <c r="Y560" t="s">
        <v>793</v>
      </c>
      <c r="AA560" s="31"/>
      <c r="AB560">
        <v>13568</v>
      </c>
      <c r="AC560">
        <v>0</v>
      </c>
      <c r="AD560">
        <v>16</v>
      </c>
      <c r="AE560" t="s">
        <v>44</v>
      </c>
      <c r="AF560" s="31">
        <v>46111</v>
      </c>
      <c r="AG560" s="61">
        <v>0.69383101851851847</v>
      </c>
      <c r="AI560" t="s">
        <v>782</v>
      </c>
      <c r="AJ560" s="31"/>
      <c r="AK560" s="61"/>
      <c r="AO560" t="s">
        <v>4680</v>
      </c>
      <c r="AQ560" t="s">
        <v>4680</v>
      </c>
      <c r="AS560" s="31"/>
      <c r="AT560">
        <v>30</v>
      </c>
      <c r="AY560">
        <v>1</v>
      </c>
    </row>
    <row r="561" spans="1:51" x14ac:dyDescent="0.3">
      <c r="A561" t="s">
        <v>44</v>
      </c>
      <c r="B561">
        <v>1062</v>
      </c>
      <c r="D561">
        <v>3093</v>
      </c>
      <c r="G561" t="s">
        <v>483</v>
      </c>
      <c r="H561">
        <v>53629067000156</v>
      </c>
      <c r="J561" t="s">
        <v>2825</v>
      </c>
      <c r="K561" t="s">
        <v>2825</v>
      </c>
      <c r="L561" t="s">
        <v>2826</v>
      </c>
      <c r="N561" t="s">
        <v>2827</v>
      </c>
      <c r="Q561" t="s">
        <v>778</v>
      </c>
      <c r="R561" t="s">
        <v>2828</v>
      </c>
      <c r="S561" t="s">
        <v>1699</v>
      </c>
      <c r="T561" t="s">
        <v>814</v>
      </c>
      <c r="W561" t="s">
        <v>1186</v>
      </c>
      <c r="X561" t="s">
        <v>780</v>
      </c>
      <c r="Y561" t="s">
        <v>793</v>
      </c>
      <c r="AA561" s="31"/>
      <c r="AB561">
        <v>68743</v>
      </c>
      <c r="AC561">
        <v>143186</v>
      </c>
      <c r="AD561">
        <v>0</v>
      </c>
      <c r="AE561" t="s">
        <v>44</v>
      </c>
      <c r="AF561" s="31">
        <v>46111</v>
      </c>
      <c r="AG561" s="61">
        <v>0.72445601851851849</v>
      </c>
      <c r="AI561" t="s">
        <v>795</v>
      </c>
      <c r="AJ561" s="31">
        <v>46111</v>
      </c>
      <c r="AK561" s="61">
        <v>0.74094907407407407</v>
      </c>
      <c r="AL561" t="s">
        <v>934</v>
      </c>
      <c r="AM561" t="s">
        <v>5151</v>
      </c>
      <c r="AO561" t="s">
        <v>4714</v>
      </c>
      <c r="AQ561" t="s">
        <v>4714</v>
      </c>
      <c r="AS561" s="31"/>
      <c r="AT561">
        <v>30</v>
      </c>
      <c r="AY561">
        <v>1</v>
      </c>
    </row>
    <row r="562" spans="1:51" x14ac:dyDescent="0.3">
      <c r="A562" t="s">
        <v>44</v>
      </c>
      <c r="B562">
        <v>1063</v>
      </c>
      <c r="D562">
        <v>3467</v>
      </c>
      <c r="G562" t="s">
        <v>487</v>
      </c>
      <c r="J562" t="s">
        <v>5152</v>
      </c>
      <c r="K562" t="s">
        <v>5152</v>
      </c>
      <c r="L562">
        <v>43996693593</v>
      </c>
      <c r="N562" t="s">
        <v>1111</v>
      </c>
      <c r="Q562" t="s">
        <v>778</v>
      </c>
      <c r="X562" t="s">
        <v>780</v>
      </c>
      <c r="Y562" t="s">
        <v>793</v>
      </c>
      <c r="AA562" s="31"/>
      <c r="AB562">
        <v>1600</v>
      </c>
      <c r="AC562">
        <v>252471</v>
      </c>
      <c r="AD562">
        <v>0</v>
      </c>
      <c r="AE562" t="s">
        <v>44</v>
      </c>
      <c r="AF562" s="31">
        <v>46111</v>
      </c>
      <c r="AG562" s="61">
        <v>0.73722222222222222</v>
      </c>
      <c r="AI562" t="s">
        <v>795</v>
      </c>
      <c r="AJ562" s="31">
        <v>46111</v>
      </c>
      <c r="AK562" s="61">
        <v>0.74140046296296291</v>
      </c>
      <c r="AL562" t="s">
        <v>934</v>
      </c>
      <c r="AM562" t="s">
        <v>5151</v>
      </c>
      <c r="AO562" t="s">
        <v>4691</v>
      </c>
      <c r="AQ562" t="s">
        <v>4714</v>
      </c>
      <c r="AR562" t="s">
        <v>4691</v>
      </c>
      <c r="AS562" s="31"/>
      <c r="AT562">
        <v>30</v>
      </c>
      <c r="AY562">
        <v>1</v>
      </c>
    </row>
    <row r="563" spans="1:51" x14ac:dyDescent="0.3">
      <c r="A563" t="s">
        <v>31</v>
      </c>
      <c r="B563">
        <v>1064</v>
      </c>
      <c r="D563">
        <v>3446</v>
      </c>
      <c r="E563" t="s">
        <v>5153</v>
      </c>
      <c r="G563" t="s">
        <v>5154</v>
      </c>
      <c r="J563" t="s">
        <v>5155</v>
      </c>
      <c r="K563" t="s">
        <v>5155</v>
      </c>
      <c r="L563">
        <v>31971564261</v>
      </c>
      <c r="N563" t="s">
        <v>5156</v>
      </c>
      <c r="Q563" t="s">
        <v>778</v>
      </c>
      <c r="T563" t="s">
        <v>2541</v>
      </c>
      <c r="W563" t="s">
        <v>2559</v>
      </c>
      <c r="X563" t="s">
        <v>780</v>
      </c>
      <c r="Y563" t="s">
        <v>781</v>
      </c>
      <c r="AA563" s="31">
        <v>46142</v>
      </c>
      <c r="AD563">
        <v>7</v>
      </c>
      <c r="AE563" t="s">
        <v>22</v>
      </c>
      <c r="AF563" s="31">
        <v>46112</v>
      </c>
      <c r="AG563" s="61">
        <v>0.42952546296296301</v>
      </c>
      <c r="AI563" t="s">
        <v>795</v>
      </c>
      <c r="AJ563" s="31">
        <v>46119</v>
      </c>
      <c r="AK563" s="61">
        <v>0.38395833333333329</v>
      </c>
      <c r="AL563" t="s">
        <v>1226</v>
      </c>
      <c r="AP563" t="s">
        <v>31</v>
      </c>
      <c r="AS563" s="31">
        <v>46113</v>
      </c>
      <c r="AT563">
        <v>30</v>
      </c>
      <c r="AY563">
        <v>1</v>
      </c>
    </row>
    <row r="564" spans="1:51" x14ac:dyDescent="0.3">
      <c r="A564" t="s">
        <v>44</v>
      </c>
      <c r="B564">
        <v>1065</v>
      </c>
      <c r="D564">
        <v>3447</v>
      </c>
      <c r="E564" t="s">
        <v>5157</v>
      </c>
      <c r="G564" t="s">
        <v>5158</v>
      </c>
      <c r="J564" t="s">
        <v>5158</v>
      </c>
      <c r="K564" t="s">
        <v>5158</v>
      </c>
      <c r="L564">
        <v>15991197046</v>
      </c>
      <c r="N564" t="s">
        <v>5159</v>
      </c>
      <c r="Q564" t="s">
        <v>778</v>
      </c>
      <c r="S564" t="s">
        <v>5160</v>
      </c>
      <c r="T564" t="s">
        <v>1191</v>
      </c>
      <c r="W564" t="s">
        <v>2559</v>
      </c>
      <c r="X564" t="s">
        <v>780</v>
      </c>
      <c r="Y564" t="s">
        <v>781</v>
      </c>
      <c r="AA564" s="31">
        <v>46112</v>
      </c>
      <c r="AD564">
        <v>0</v>
      </c>
      <c r="AE564" t="s">
        <v>22</v>
      </c>
      <c r="AF564" s="31">
        <v>46112</v>
      </c>
      <c r="AG564" s="61">
        <v>0.4331712962962963</v>
      </c>
      <c r="AI564" t="s">
        <v>795</v>
      </c>
      <c r="AJ564" s="31">
        <v>46112</v>
      </c>
      <c r="AK564" s="61">
        <v>0.62230324074074073</v>
      </c>
      <c r="AL564" t="s">
        <v>1226</v>
      </c>
      <c r="AM564" t="s">
        <v>5157</v>
      </c>
      <c r="AP564" t="s">
        <v>44</v>
      </c>
      <c r="AS564" s="31"/>
      <c r="AT564">
        <v>30</v>
      </c>
      <c r="AY564">
        <v>1</v>
      </c>
    </row>
    <row r="565" spans="1:51" x14ac:dyDescent="0.3">
      <c r="A565" t="s">
        <v>44</v>
      </c>
      <c r="B565">
        <v>1066</v>
      </c>
      <c r="D565">
        <v>3448</v>
      </c>
      <c r="E565" t="s">
        <v>5161</v>
      </c>
      <c r="G565" t="s">
        <v>5162</v>
      </c>
      <c r="H565">
        <v>4827674000115</v>
      </c>
      <c r="J565" t="s">
        <v>5163</v>
      </c>
      <c r="K565" t="s">
        <v>5163</v>
      </c>
      <c r="L565" t="s">
        <v>5164</v>
      </c>
      <c r="N565" t="s">
        <v>5165</v>
      </c>
      <c r="Q565" t="s">
        <v>778</v>
      </c>
      <c r="R565" t="s">
        <v>5166</v>
      </c>
      <c r="S565" t="s">
        <v>874</v>
      </c>
      <c r="T565" t="s">
        <v>2541</v>
      </c>
      <c r="W565" t="s">
        <v>2791</v>
      </c>
      <c r="X565" t="s">
        <v>780</v>
      </c>
      <c r="Y565" t="s">
        <v>897</v>
      </c>
      <c r="AA565" s="31"/>
      <c r="AD565">
        <v>6</v>
      </c>
      <c r="AE565" t="s">
        <v>22</v>
      </c>
      <c r="AF565" s="31">
        <v>46112</v>
      </c>
      <c r="AG565" s="61">
        <v>0.43893518518518521</v>
      </c>
      <c r="AI565" t="s">
        <v>795</v>
      </c>
      <c r="AJ565" s="31">
        <v>46118</v>
      </c>
      <c r="AK565" s="61">
        <v>0.69900462962962961</v>
      </c>
      <c r="AL565" t="s">
        <v>796</v>
      </c>
      <c r="AM565" t="s">
        <v>5167</v>
      </c>
      <c r="AP565" t="s">
        <v>44</v>
      </c>
      <c r="AS565" s="31">
        <v>46118</v>
      </c>
      <c r="AT565">
        <v>30</v>
      </c>
      <c r="AY565">
        <v>1</v>
      </c>
    </row>
    <row r="566" spans="1:51" x14ac:dyDescent="0.3">
      <c r="A566" t="s">
        <v>31</v>
      </c>
      <c r="B566">
        <v>1067</v>
      </c>
      <c r="D566">
        <v>3468</v>
      </c>
      <c r="E566" t="s">
        <v>5168</v>
      </c>
      <c r="G566" t="s">
        <v>5169</v>
      </c>
      <c r="H566">
        <v>50649054000150</v>
      </c>
      <c r="J566" t="s">
        <v>5170</v>
      </c>
      <c r="K566" t="s">
        <v>5170</v>
      </c>
      <c r="L566" t="s">
        <v>5171</v>
      </c>
      <c r="N566" t="s">
        <v>5172</v>
      </c>
      <c r="Q566" t="s">
        <v>778</v>
      </c>
      <c r="R566" t="s">
        <v>847</v>
      </c>
      <c r="S566" t="s">
        <v>848</v>
      </c>
      <c r="T566" t="s">
        <v>1191</v>
      </c>
      <c r="W566" t="s">
        <v>2559</v>
      </c>
      <c r="X566" t="s">
        <v>780</v>
      </c>
      <c r="Y566" t="s">
        <v>781</v>
      </c>
      <c r="AA566" s="31"/>
      <c r="AD566">
        <v>0</v>
      </c>
      <c r="AE566" t="s">
        <v>22</v>
      </c>
      <c r="AF566" s="31">
        <v>46112</v>
      </c>
      <c r="AG566" s="61">
        <v>0.44137731481481479</v>
      </c>
      <c r="AI566" t="s">
        <v>795</v>
      </c>
      <c r="AJ566" s="31">
        <v>46112</v>
      </c>
      <c r="AK566" s="61">
        <v>0.63928240740740738</v>
      </c>
      <c r="AL566" t="s">
        <v>1226</v>
      </c>
      <c r="AP566" t="s">
        <v>31</v>
      </c>
      <c r="AS566" s="31"/>
      <c r="AT566">
        <v>30</v>
      </c>
      <c r="AY566">
        <v>1</v>
      </c>
    </row>
    <row r="567" spans="1:51" x14ac:dyDescent="0.3">
      <c r="A567" t="s">
        <v>44</v>
      </c>
      <c r="B567">
        <v>1068</v>
      </c>
      <c r="D567">
        <v>3471</v>
      </c>
      <c r="G567" t="s">
        <v>491</v>
      </c>
      <c r="J567" t="s">
        <v>5173</v>
      </c>
      <c r="K567" t="s">
        <v>5173</v>
      </c>
      <c r="L567" t="s">
        <v>5174</v>
      </c>
      <c r="N567" t="s">
        <v>1111</v>
      </c>
      <c r="Q567" t="s">
        <v>778</v>
      </c>
      <c r="X567" t="s">
        <v>780</v>
      </c>
      <c r="Y567" t="s">
        <v>793</v>
      </c>
      <c r="AA567" s="31"/>
      <c r="AB567">
        <v>1600</v>
      </c>
      <c r="AC567">
        <v>384454</v>
      </c>
      <c r="AD567">
        <v>15</v>
      </c>
      <c r="AE567" t="s">
        <v>44</v>
      </c>
      <c r="AF567" s="31">
        <v>46112</v>
      </c>
      <c r="AG567" s="61">
        <v>0.63679398148148147</v>
      </c>
      <c r="AI567" t="s">
        <v>782</v>
      </c>
      <c r="AJ567" s="31"/>
      <c r="AK567" s="61"/>
      <c r="AO567" t="s">
        <v>4918</v>
      </c>
      <c r="AQ567" t="s">
        <v>4918</v>
      </c>
      <c r="AS567" s="31"/>
      <c r="AT567">
        <v>50</v>
      </c>
      <c r="AY567">
        <v>1</v>
      </c>
    </row>
    <row r="568" spans="1:51" x14ac:dyDescent="0.3">
      <c r="A568" t="s">
        <v>44</v>
      </c>
      <c r="B568">
        <v>1069</v>
      </c>
      <c r="D568">
        <v>3472</v>
      </c>
      <c r="G568" t="s">
        <v>495</v>
      </c>
      <c r="J568" t="s">
        <v>5175</v>
      </c>
      <c r="K568" t="s">
        <v>5175</v>
      </c>
      <c r="L568">
        <v>7530217768</v>
      </c>
      <c r="N568" t="s">
        <v>1111</v>
      </c>
      <c r="Q568" t="s">
        <v>778</v>
      </c>
      <c r="X568" t="s">
        <v>780</v>
      </c>
      <c r="Y568" t="s">
        <v>793</v>
      </c>
      <c r="AA568" s="31"/>
      <c r="AB568">
        <v>8480</v>
      </c>
      <c r="AC568">
        <v>3564</v>
      </c>
      <c r="AD568">
        <v>15</v>
      </c>
      <c r="AE568" t="s">
        <v>44</v>
      </c>
      <c r="AF568" s="31">
        <v>46112</v>
      </c>
      <c r="AG568" s="61">
        <v>0.65101851851851855</v>
      </c>
      <c r="AI568" t="s">
        <v>782</v>
      </c>
      <c r="AJ568" s="31"/>
      <c r="AK568" s="61"/>
      <c r="AO568" t="s">
        <v>5176</v>
      </c>
      <c r="AQ568" t="s">
        <v>5176</v>
      </c>
      <c r="AS568" s="31"/>
      <c r="AT568">
        <v>30</v>
      </c>
      <c r="AY568">
        <v>1</v>
      </c>
    </row>
    <row r="569" spans="1:51" x14ac:dyDescent="0.3">
      <c r="A569" t="s">
        <v>44</v>
      </c>
      <c r="B569">
        <v>1072</v>
      </c>
      <c r="D569">
        <v>3474</v>
      </c>
      <c r="E569" t="s">
        <v>5177</v>
      </c>
      <c r="G569" t="s">
        <v>5178</v>
      </c>
      <c r="H569">
        <v>27728774000190</v>
      </c>
      <c r="J569" t="s">
        <v>5179</v>
      </c>
      <c r="K569" t="s">
        <v>5179</v>
      </c>
      <c r="L569" t="s">
        <v>5180</v>
      </c>
      <c r="N569" t="s">
        <v>5181</v>
      </c>
      <c r="Q569" t="s">
        <v>778</v>
      </c>
      <c r="R569" t="s">
        <v>5182</v>
      </c>
      <c r="S569" t="s">
        <v>5183</v>
      </c>
      <c r="T569" t="s">
        <v>1191</v>
      </c>
      <c r="W569" t="s">
        <v>2559</v>
      </c>
      <c r="X569" t="s">
        <v>780</v>
      </c>
      <c r="Y569" t="s">
        <v>781</v>
      </c>
      <c r="AA569" s="31"/>
      <c r="AD569">
        <v>0</v>
      </c>
      <c r="AE569" t="s">
        <v>22</v>
      </c>
      <c r="AF569" s="31">
        <v>46113</v>
      </c>
      <c r="AG569" s="61">
        <v>0.48964120370370368</v>
      </c>
      <c r="AI569" t="s">
        <v>795</v>
      </c>
      <c r="AJ569" s="31">
        <v>46113</v>
      </c>
      <c r="AK569" s="61">
        <v>0.64266203703703706</v>
      </c>
      <c r="AL569" t="s">
        <v>1226</v>
      </c>
      <c r="AM569" t="s">
        <v>5177</v>
      </c>
      <c r="AP569" t="s">
        <v>44</v>
      </c>
      <c r="AS569" s="31"/>
      <c r="AT569">
        <v>30</v>
      </c>
      <c r="AY569">
        <v>1</v>
      </c>
    </row>
    <row r="570" spans="1:51" x14ac:dyDescent="0.3">
      <c r="A570" t="s">
        <v>44</v>
      </c>
      <c r="B570">
        <v>1073</v>
      </c>
      <c r="D570">
        <v>3479</v>
      </c>
      <c r="E570" t="s">
        <v>5184</v>
      </c>
      <c r="G570" t="s">
        <v>5185</v>
      </c>
      <c r="H570">
        <v>667476000261</v>
      </c>
      <c r="J570" t="s">
        <v>5186</v>
      </c>
      <c r="K570" t="s">
        <v>5186</v>
      </c>
      <c r="L570">
        <v>44988361402</v>
      </c>
      <c r="N570" t="s">
        <v>5187</v>
      </c>
      <c r="Q570" t="s">
        <v>778</v>
      </c>
      <c r="T570" t="s">
        <v>2541</v>
      </c>
      <c r="W570" t="s">
        <v>2559</v>
      </c>
      <c r="X570" t="s">
        <v>780</v>
      </c>
      <c r="Y570" t="s">
        <v>897</v>
      </c>
      <c r="AA570" s="31"/>
      <c r="AD570">
        <v>1</v>
      </c>
      <c r="AE570" t="s">
        <v>22</v>
      </c>
      <c r="AF570" s="31">
        <v>46118</v>
      </c>
      <c r="AG570" s="61">
        <v>0.47232638888888889</v>
      </c>
      <c r="AI570" t="s">
        <v>795</v>
      </c>
      <c r="AJ570" s="31">
        <v>46119</v>
      </c>
      <c r="AK570" s="61">
        <v>0.68859953703703702</v>
      </c>
      <c r="AL570" t="s">
        <v>1226</v>
      </c>
      <c r="AM570" t="s">
        <v>5184</v>
      </c>
      <c r="AP570" t="s">
        <v>44</v>
      </c>
      <c r="AS570" s="31">
        <v>46119</v>
      </c>
      <c r="AT570">
        <v>30</v>
      </c>
      <c r="AY570">
        <v>1</v>
      </c>
    </row>
    <row r="571" spans="1:51" x14ac:dyDescent="0.3">
      <c r="A571" t="s">
        <v>31</v>
      </c>
      <c r="B571">
        <v>1074</v>
      </c>
      <c r="D571">
        <v>3478</v>
      </c>
      <c r="E571" t="s">
        <v>5188</v>
      </c>
      <c r="G571" t="s">
        <v>5189</v>
      </c>
      <c r="H571">
        <v>34777766000107</v>
      </c>
      <c r="J571" t="s">
        <v>5190</v>
      </c>
      <c r="K571" t="s">
        <v>5190</v>
      </c>
      <c r="L571" t="s">
        <v>5191</v>
      </c>
      <c r="N571" t="s">
        <v>5192</v>
      </c>
      <c r="Q571" t="s">
        <v>778</v>
      </c>
      <c r="R571" t="s">
        <v>5193</v>
      </c>
      <c r="S571" t="s">
        <v>1105</v>
      </c>
      <c r="T571" t="s">
        <v>2541</v>
      </c>
      <c r="W571" t="s">
        <v>2559</v>
      </c>
      <c r="X571" t="s">
        <v>780</v>
      </c>
      <c r="Y571" t="s">
        <v>781</v>
      </c>
      <c r="AA571" s="31"/>
      <c r="AD571">
        <v>4</v>
      </c>
      <c r="AE571" t="s">
        <v>22</v>
      </c>
      <c r="AF571" s="31">
        <v>46118</v>
      </c>
      <c r="AG571" s="61">
        <v>0.47351851851851851</v>
      </c>
      <c r="AI571" t="s">
        <v>795</v>
      </c>
      <c r="AJ571" s="31">
        <v>46122</v>
      </c>
      <c r="AK571" s="61">
        <v>0.44310185185185191</v>
      </c>
      <c r="AL571" t="s">
        <v>5194</v>
      </c>
      <c r="AP571" t="s">
        <v>31</v>
      </c>
      <c r="AS571" s="31">
        <v>46119</v>
      </c>
      <c r="AT571">
        <v>27</v>
      </c>
      <c r="AY571">
        <v>1</v>
      </c>
    </row>
    <row r="572" spans="1:51" x14ac:dyDescent="0.3">
      <c r="A572" t="s">
        <v>44</v>
      </c>
      <c r="B572">
        <v>1075</v>
      </c>
      <c r="D572">
        <v>3480</v>
      </c>
      <c r="E572" t="s">
        <v>5195</v>
      </c>
      <c r="G572" t="s">
        <v>5196</v>
      </c>
      <c r="J572" t="s">
        <v>5197</v>
      </c>
      <c r="K572" t="s">
        <v>5197</v>
      </c>
      <c r="L572">
        <v>22997047181</v>
      </c>
      <c r="N572" t="s">
        <v>5198</v>
      </c>
      <c r="Q572" t="s">
        <v>778</v>
      </c>
      <c r="T572" t="s">
        <v>2541</v>
      </c>
      <c r="W572" t="s">
        <v>2559</v>
      </c>
      <c r="X572" t="s">
        <v>780</v>
      </c>
      <c r="Y572" t="s">
        <v>781</v>
      </c>
      <c r="AA572" s="31"/>
      <c r="AD572">
        <v>0</v>
      </c>
      <c r="AE572" t="s">
        <v>22</v>
      </c>
      <c r="AF572" s="31">
        <v>46118</v>
      </c>
      <c r="AG572" s="61">
        <v>0.47479166666666672</v>
      </c>
      <c r="AI572" t="s">
        <v>795</v>
      </c>
      <c r="AJ572" s="31">
        <v>46118</v>
      </c>
      <c r="AK572" s="61">
        <v>0.72045138888888893</v>
      </c>
      <c r="AL572" t="s">
        <v>1226</v>
      </c>
      <c r="AM572" t="s">
        <v>5199</v>
      </c>
      <c r="AP572" t="s">
        <v>44</v>
      </c>
      <c r="AS572" s="31"/>
      <c r="AT572">
        <v>30</v>
      </c>
      <c r="AY572">
        <v>1</v>
      </c>
    </row>
    <row r="573" spans="1:51" x14ac:dyDescent="0.3">
      <c r="A573" t="s">
        <v>31</v>
      </c>
      <c r="B573">
        <v>1076</v>
      </c>
      <c r="D573">
        <v>3482</v>
      </c>
      <c r="E573" t="s">
        <v>5200</v>
      </c>
      <c r="G573" t="s">
        <v>5201</v>
      </c>
      <c r="J573" t="s">
        <v>5201</v>
      </c>
      <c r="K573" t="s">
        <v>5201</v>
      </c>
      <c r="L573">
        <v>4694441158</v>
      </c>
      <c r="N573" t="s">
        <v>5202</v>
      </c>
      <c r="Q573" t="s">
        <v>778</v>
      </c>
      <c r="T573" t="s">
        <v>2541</v>
      </c>
      <c r="W573" t="s">
        <v>2559</v>
      </c>
      <c r="X573" t="s">
        <v>780</v>
      </c>
      <c r="Y573" t="s">
        <v>781</v>
      </c>
      <c r="AA573" s="31"/>
      <c r="AD573">
        <v>1</v>
      </c>
      <c r="AE573" t="s">
        <v>22</v>
      </c>
      <c r="AF573" s="31">
        <v>46118</v>
      </c>
      <c r="AG573" s="61">
        <v>0.47599537037037037</v>
      </c>
      <c r="AI573" t="s">
        <v>795</v>
      </c>
      <c r="AJ573" s="31">
        <v>46119</v>
      </c>
      <c r="AK573" s="61">
        <v>0.3805324074074074</v>
      </c>
      <c r="AL573" t="s">
        <v>1226</v>
      </c>
      <c r="AP573" t="s">
        <v>31</v>
      </c>
      <c r="AS573" s="31"/>
      <c r="AT573">
        <v>30</v>
      </c>
      <c r="AY573">
        <v>1</v>
      </c>
    </row>
    <row r="574" spans="1:51" x14ac:dyDescent="0.3">
      <c r="A574" t="s">
        <v>44</v>
      </c>
      <c r="B574">
        <v>1077</v>
      </c>
      <c r="D574">
        <v>3483</v>
      </c>
      <c r="E574" t="s">
        <v>5203</v>
      </c>
      <c r="G574" t="s">
        <v>5204</v>
      </c>
      <c r="H574">
        <v>2861273000156</v>
      </c>
      <c r="J574" t="s">
        <v>5205</v>
      </c>
      <c r="K574" t="s">
        <v>5205</v>
      </c>
      <c r="L574">
        <v>5330256162</v>
      </c>
      <c r="N574" t="s">
        <v>5206</v>
      </c>
      <c r="Q574" t="s">
        <v>778</v>
      </c>
      <c r="T574" t="s">
        <v>2541</v>
      </c>
      <c r="W574" t="s">
        <v>2559</v>
      </c>
      <c r="X574" t="s">
        <v>780</v>
      </c>
      <c r="Y574" t="s">
        <v>781</v>
      </c>
      <c r="AA574" s="31"/>
      <c r="AD574">
        <v>0</v>
      </c>
      <c r="AE574" t="s">
        <v>22</v>
      </c>
      <c r="AF574" s="31">
        <v>46118</v>
      </c>
      <c r="AG574" s="61">
        <v>0.47758101851851847</v>
      </c>
      <c r="AI574" t="s">
        <v>795</v>
      </c>
      <c r="AJ574" s="31">
        <v>46118</v>
      </c>
      <c r="AK574" s="61">
        <v>0.70814814814814819</v>
      </c>
      <c r="AL574" t="s">
        <v>1226</v>
      </c>
      <c r="AM574" t="s">
        <v>5203</v>
      </c>
      <c r="AP574" t="s">
        <v>44</v>
      </c>
      <c r="AS574" s="31"/>
      <c r="AT574">
        <v>28</v>
      </c>
      <c r="AY574">
        <v>1</v>
      </c>
    </row>
    <row r="575" spans="1:51" x14ac:dyDescent="0.3">
      <c r="A575" t="s">
        <v>44</v>
      </c>
      <c r="B575">
        <v>1078</v>
      </c>
      <c r="D575">
        <v>3497</v>
      </c>
      <c r="G575" t="s">
        <v>5207</v>
      </c>
      <c r="J575" t="s">
        <v>5208</v>
      </c>
      <c r="K575" t="s">
        <v>5208</v>
      </c>
      <c r="L575">
        <v>7530217768</v>
      </c>
      <c r="N575" t="s">
        <v>5209</v>
      </c>
      <c r="Q575" t="s">
        <v>778</v>
      </c>
      <c r="X575" t="s">
        <v>780</v>
      </c>
      <c r="Y575" t="s">
        <v>793</v>
      </c>
      <c r="AA575" s="31"/>
      <c r="AB575">
        <v>8100</v>
      </c>
      <c r="AC575">
        <v>1080</v>
      </c>
      <c r="AD575">
        <v>7</v>
      </c>
      <c r="AE575" t="s">
        <v>44</v>
      </c>
      <c r="AF575" s="31">
        <v>46120</v>
      </c>
      <c r="AG575" s="61">
        <v>0.70204861111111116</v>
      </c>
      <c r="AI575" t="s">
        <v>782</v>
      </c>
      <c r="AJ575" s="31"/>
      <c r="AK575" s="61"/>
      <c r="AO575" t="s">
        <v>5210</v>
      </c>
      <c r="AS575" s="31"/>
      <c r="AT575">
        <v>50</v>
      </c>
      <c r="AY575">
        <v>1</v>
      </c>
    </row>
    <row r="576" spans="1:51" x14ac:dyDescent="0.3">
      <c r="A576" t="s">
        <v>44</v>
      </c>
      <c r="B576">
        <v>1079</v>
      </c>
      <c r="D576">
        <v>3501</v>
      </c>
      <c r="E576" t="s">
        <v>5211</v>
      </c>
      <c r="G576" t="s">
        <v>5212</v>
      </c>
      <c r="H576">
        <v>48260432000168</v>
      </c>
      <c r="J576" t="s">
        <v>5213</v>
      </c>
      <c r="K576" t="s">
        <v>5213</v>
      </c>
      <c r="Q576" t="s">
        <v>778</v>
      </c>
      <c r="T576" t="s">
        <v>805</v>
      </c>
      <c r="X576" t="s">
        <v>780</v>
      </c>
      <c r="Y576" t="s">
        <v>781</v>
      </c>
      <c r="AA576" s="31"/>
      <c r="AD576">
        <v>6</v>
      </c>
      <c r="AE576" t="s">
        <v>44</v>
      </c>
      <c r="AF576" s="31">
        <v>46121</v>
      </c>
      <c r="AG576" s="61">
        <v>0.3903935185185185</v>
      </c>
      <c r="AI576" t="s">
        <v>782</v>
      </c>
      <c r="AJ576" s="31"/>
      <c r="AK576" s="61"/>
      <c r="AS576" s="31"/>
      <c r="AT576">
        <v>30</v>
      </c>
      <c r="AY576">
        <v>1</v>
      </c>
    </row>
    <row r="577" spans="1:51" x14ac:dyDescent="0.3">
      <c r="A577" t="s">
        <v>44</v>
      </c>
      <c r="B577">
        <v>1080</v>
      </c>
      <c r="D577">
        <v>3502</v>
      </c>
      <c r="E577" t="s">
        <v>5214</v>
      </c>
      <c r="G577" t="s">
        <v>5215</v>
      </c>
      <c r="H577">
        <v>19398581000190</v>
      </c>
      <c r="J577" t="s">
        <v>5216</v>
      </c>
      <c r="K577" t="s">
        <v>5216</v>
      </c>
      <c r="L577">
        <v>48988044437</v>
      </c>
      <c r="N577" t="s">
        <v>5217</v>
      </c>
      <c r="Q577" t="s">
        <v>778</v>
      </c>
      <c r="R577" t="s">
        <v>5218</v>
      </c>
      <c r="S577" t="s">
        <v>932</v>
      </c>
      <c r="X577" t="s">
        <v>780</v>
      </c>
      <c r="Y577" t="s">
        <v>781</v>
      </c>
      <c r="AA577" s="31"/>
      <c r="AD577">
        <v>6</v>
      </c>
      <c r="AE577" t="s">
        <v>44</v>
      </c>
      <c r="AF577" s="31">
        <v>46121</v>
      </c>
      <c r="AG577" s="61">
        <v>0.42430555555555549</v>
      </c>
      <c r="AI577" t="s">
        <v>782</v>
      </c>
      <c r="AJ577" s="31"/>
      <c r="AK577" s="61"/>
      <c r="AS577" s="31"/>
      <c r="AT577">
        <v>30</v>
      </c>
      <c r="AY577">
        <v>1</v>
      </c>
    </row>
    <row r="578" spans="1:51" x14ac:dyDescent="0.3">
      <c r="A578" t="s">
        <v>44</v>
      </c>
      <c r="B578">
        <v>1081</v>
      </c>
      <c r="D578">
        <v>3504</v>
      </c>
      <c r="E578" t="s">
        <v>5219</v>
      </c>
      <c r="F578" t="s">
        <v>5220</v>
      </c>
      <c r="G578" t="s">
        <v>5221</v>
      </c>
      <c r="H578">
        <v>73445454000654</v>
      </c>
      <c r="J578" t="s">
        <v>5220</v>
      </c>
      <c r="K578" t="s">
        <v>5220</v>
      </c>
      <c r="L578" t="s">
        <v>5222</v>
      </c>
      <c r="N578" t="s">
        <v>5223</v>
      </c>
      <c r="Q578" t="s">
        <v>778</v>
      </c>
      <c r="R578" t="s">
        <v>1094</v>
      </c>
      <c r="S578" t="s">
        <v>790</v>
      </c>
      <c r="T578" t="s">
        <v>805</v>
      </c>
      <c r="X578" t="s">
        <v>780</v>
      </c>
      <c r="Y578" t="s">
        <v>781</v>
      </c>
      <c r="AA578" s="31"/>
      <c r="AD578">
        <v>6</v>
      </c>
      <c r="AE578" t="s">
        <v>44</v>
      </c>
      <c r="AF578" s="31">
        <v>46121</v>
      </c>
      <c r="AG578" s="61">
        <v>0.44763888888888892</v>
      </c>
      <c r="AI578" t="s">
        <v>782</v>
      </c>
      <c r="AJ578" s="31"/>
      <c r="AK578" s="61"/>
      <c r="AS578" s="31"/>
      <c r="AT578">
        <v>30</v>
      </c>
      <c r="AY578">
        <v>1</v>
      </c>
    </row>
    <row r="579" spans="1:51" x14ac:dyDescent="0.3">
      <c r="A579" t="s">
        <v>31</v>
      </c>
      <c r="B579">
        <v>1082</v>
      </c>
      <c r="D579">
        <v>3488</v>
      </c>
      <c r="E579" t="s">
        <v>5224</v>
      </c>
      <c r="G579" t="s">
        <v>5225</v>
      </c>
      <c r="J579" t="s">
        <v>5226</v>
      </c>
      <c r="K579" t="s">
        <v>5226</v>
      </c>
      <c r="L579">
        <v>51981230645</v>
      </c>
      <c r="N579" t="s">
        <v>5227</v>
      </c>
      <c r="Q579" t="s">
        <v>778</v>
      </c>
      <c r="T579" t="s">
        <v>2541</v>
      </c>
      <c r="W579" t="s">
        <v>2559</v>
      </c>
      <c r="X579" t="s">
        <v>780</v>
      </c>
      <c r="Y579" t="s">
        <v>781</v>
      </c>
      <c r="AA579" s="31">
        <v>46142</v>
      </c>
      <c r="AD579">
        <v>5</v>
      </c>
      <c r="AE579" t="s">
        <v>22</v>
      </c>
      <c r="AF579" s="31">
        <v>46122</v>
      </c>
      <c r="AG579" s="61">
        <v>0.36518518518518522</v>
      </c>
      <c r="AI579" t="s">
        <v>782</v>
      </c>
      <c r="AJ579" s="31"/>
      <c r="AK579" s="61"/>
      <c r="AP579" t="s">
        <v>31</v>
      </c>
      <c r="AS579" s="31"/>
      <c r="AT579">
        <v>28</v>
      </c>
      <c r="AY579">
        <v>1</v>
      </c>
    </row>
    <row r="580" spans="1:51" x14ac:dyDescent="0.3">
      <c r="A580" t="s">
        <v>44</v>
      </c>
      <c r="B580">
        <v>1083</v>
      </c>
      <c r="D580">
        <v>3491</v>
      </c>
      <c r="E580" t="s">
        <v>5228</v>
      </c>
      <c r="G580" t="s">
        <v>5229</v>
      </c>
      <c r="H580">
        <v>91241034000123</v>
      </c>
      <c r="J580" t="s">
        <v>5230</v>
      </c>
      <c r="K580" t="s">
        <v>5230</v>
      </c>
      <c r="L580" t="s">
        <v>5231</v>
      </c>
      <c r="N580" t="s">
        <v>5232</v>
      </c>
      <c r="Q580" t="s">
        <v>778</v>
      </c>
      <c r="R580" t="s">
        <v>1912</v>
      </c>
      <c r="S580" t="s">
        <v>1027</v>
      </c>
      <c r="T580" t="s">
        <v>2541</v>
      </c>
      <c r="W580" t="s">
        <v>2559</v>
      </c>
      <c r="X580" t="s">
        <v>780</v>
      </c>
      <c r="Y580" t="s">
        <v>781</v>
      </c>
      <c r="AA580" s="31"/>
      <c r="AD580">
        <v>0</v>
      </c>
      <c r="AE580" t="s">
        <v>22</v>
      </c>
      <c r="AF580" s="31">
        <v>46122</v>
      </c>
      <c r="AG580" s="61">
        <v>0.36634259259259261</v>
      </c>
      <c r="AI580" t="s">
        <v>795</v>
      </c>
      <c r="AJ580" s="31">
        <v>46122</v>
      </c>
      <c r="AK580" s="61">
        <v>0.43622685185185178</v>
      </c>
      <c r="AL580" t="s">
        <v>5194</v>
      </c>
      <c r="AM580" t="s">
        <v>5233</v>
      </c>
      <c r="AP580" t="s">
        <v>44</v>
      </c>
      <c r="AS580" s="31"/>
      <c r="AT580">
        <v>30</v>
      </c>
      <c r="AY580">
        <v>1</v>
      </c>
    </row>
    <row r="581" spans="1:51" x14ac:dyDescent="0.3">
      <c r="A581" t="s">
        <v>44</v>
      </c>
      <c r="B581">
        <v>1084</v>
      </c>
      <c r="D581">
        <v>3492</v>
      </c>
      <c r="E581" t="s">
        <v>5234</v>
      </c>
      <c r="G581" t="s">
        <v>5235</v>
      </c>
      <c r="J581" t="s">
        <v>5236</v>
      </c>
      <c r="K581" t="s">
        <v>5236</v>
      </c>
      <c r="L581">
        <v>62991773767</v>
      </c>
      <c r="N581" t="s">
        <v>5237</v>
      </c>
      <c r="Q581" t="s">
        <v>778</v>
      </c>
      <c r="T581" t="s">
        <v>2541</v>
      </c>
      <c r="W581" t="s">
        <v>2791</v>
      </c>
      <c r="X581" t="s">
        <v>780</v>
      </c>
      <c r="Y581" t="s">
        <v>897</v>
      </c>
      <c r="AA581" s="31"/>
      <c r="AD581">
        <v>5</v>
      </c>
      <c r="AE581" t="s">
        <v>22</v>
      </c>
      <c r="AF581" s="31">
        <v>46122</v>
      </c>
      <c r="AG581" s="61">
        <v>0.36747685185185192</v>
      </c>
      <c r="AI581" t="s">
        <v>782</v>
      </c>
      <c r="AJ581" s="31"/>
      <c r="AK581" s="61"/>
      <c r="AP581" t="s">
        <v>44</v>
      </c>
      <c r="AS581" s="31"/>
      <c r="AT581">
        <v>29</v>
      </c>
      <c r="AY581">
        <v>1</v>
      </c>
    </row>
    <row r="582" spans="1:51" x14ac:dyDescent="0.3">
      <c r="A582" t="s">
        <v>31</v>
      </c>
      <c r="B582">
        <v>1085</v>
      </c>
      <c r="D582">
        <v>3494</v>
      </c>
      <c r="G582" t="s">
        <v>5238</v>
      </c>
      <c r="H582">
        <v>21233195000190</v>
      </c>
      <c r="J582" t="s">
        <v>5239</v>
      </c>
      <c r="K582" t="s">
        <v>5239</v>
      </c>
      <c r="L582" t="s">
        <v>5240</v>
      </c>
      <c r="N582" t="s">
        <v>5241</v>
      </c>
      <c r="Q582" t="s">
        <v>778</v>
      </c>
      <c r="R582" t="s">
        <v>5242</v>
      </c>
      <c r="S582" t="s">
        <v>790</v>
      </c>
      <c r="T582" t="s">
        <v>2541</v>
      </c>
      <c r="W582" t="s">
        <v>2559</v>
      </c>
      <c r="X582" t="s">
        <v>780</v>
      </c>
      <c r="Y582" t="s">
        <v>781</v>
      </c>
      <c r="AA582" s="31">
        <v>46142</v>
      </c>
      <c r="AD582">
        <v>5</v>
      </c>
      <c r="AE582" t="s">
        <v>22</v>
      </c>
      <c r="AF582" s="31">
        <v>46122</v>
      </c>
      <c r="AG582" s="61">
        <v>0.36834490740740738</v>
      </c>
      <c r="AI582" t="s">
        <v>782</v>
      </c>
      <c r="AJ582" s="31"/>
      <c r="AK582" s="61"/>
      <c r="AP582" t="s">
        <v>31</v>
      </c>
      <c r="AS582" s="31"/>
      <c r="AT582">
        <v>30</v>
      </c>
      <c r="AY582">
        <v>1</v>
      </c>
    </row>
    <row r="583" spans="1:51" x14ac:dyDescent="0.3">
      <c r="A583" t="s">
        <v>31</v>
      </c>
      <c r="B583">
        <v>1086</v>
      </c>
      <c r="D583">
        <v>3496</v>
      </c>
      <c r="E583" t="s">
        <v>5243</v>
      </c>
      <c r="G583" t="s">
        <v>5244</v>
      </c>
      <c r="H583">
        <v>3634113000137</v>
      </c>
      <c r="J583" t="s">
        <v>5245</v>
      </c>
      <c r="K583" t="s">
        <v>5245</v>
      </c>
      <c r="N583" t="s">
        <v>5246</v>
      </c>
      <c r="Q583" t="s">
        <v>778</v>
      </c>
      <c r="R583" t="s">
        <v>3141</v>
      </c>
      <c r="T583" t="s">
        <v>1191</v>
      </c>
      <c r="W583" t="s">
        <v>5247</v>
      </c>
      <c r="X583" t="s">
        <v>780</v>
      </c>
      <c r="Y583" t="s">
        <v>781</v>
      </c>
      <c r="AA583" s="31">
        <v>46122</v>
      </c>
      <c r="AD583">
        <v>5</v>
      </c>
      <c r="AE583" t="s">
        <v>22</v>
      </c>
      <c r="AF583" s="31">
        <v>46122</v>
      </c>
      <c r="AG583" s="61">
        <v>0.36944444444444452</v>
      </c>
      <c r="AI583" t="s">
        <v>782</v>
      </c>
      <c r="AJ583" s="31"/>
      <c r="AK583" s="61"/>
      <c r="AP583" t="s">
        <v>31</v>
      </c>
      <c r="AS583" s="31"/>
      <c r="AT583">
        <v>30</v>
      </c>
      <c r="AY583">
        <v>1</v>
      </c>
    </row>
    <row r="584" spans="1:51" x14ac:dyDescent="0.3">
      <c r="A584" t="s">
        <v>22</v>
      </c>
      <c r="B584">
        <v>1087</v>
      </c>
      <c r="D584">
        <v>3495</v>
      </c>
      <c r="G584" t="s">
        <v>5248</v>
      </c>
      <c r="J584" t="s">
        <v>5249</v>
      </c>
      <c r="K584" t="s">
        <v>5249</v>
      </c>
      <c r="L584">
        <v>8191451469</v>
      </c>
      <c r="N584" t="s">
        <v>5250</v>
      </c>
      <c r="Q584" t="s">
        <v>778</v>
      </c>
      <c r="T584" t="s">
        <v>2541</v>
      </c>
      <c r="W584" t="s">
        <v>2559</v>
      </c>
      <c r="X584" t="s">
        <v>780</v>
      </c>
      <c r="Y584" t="s">
        <v>781</v>
      </c>
      <c r="AA584" s="31">
        <v>46142</v>
      </c>
      <c r="AD584">
        <v>0</v>
      </c>
      <c r="AE584" t="s">
        <v>22</v>
      </c>
      <c r="AF584" s="31">
        <v>46122</v>
      </c>
      <c r="AG584" s="61">
        <v>0.37062499999999998</v>
      </c>
      <c r="AI584" t="s">
        <v>795</v>
      </c>
      <c r="AJ584" s="31">
        <v>46122</v>
      </c>
      <c r="AK584" s="61">
        <v>0.5893518518518519</v>
      </c>
      <c r="AL584" t="s">
        <v>867</v>
      </c>
      <c r="AP584" t="s">
        <v>22</v>
      </c>
      <c r="AS584" s="31"/>
      <c r="AT584">
        <v>30</v>
      </c>
      <c r="AY584">
        <v>1</v>
      </c>
    </row>
    <row r="585" spans="1:51" x14ac:dyDescent="0.3">
      <c r="A585" t="s">
        <v>22</v>
      </c>
      <c r="B585">
        <v>1088</v>
      </c>
      <c r="D585">
        <v>3498</v>
      </c>
      <c r="G585" t="s">
        <v>5251</v>
      </c>
      <c r="J585" t="s">
        <v>5252</v>
      </c>
      <c r="K585" t="s">
        <v>5252</v>
      </c>
      <c r="L585">
        <v>92991313828</v>
      </c>
      <c r="N585" t="s">
        <v>5253</v>
      </c>
      <c r="Q585" t="s">
        <v>778</v>
      </c>
      <c r="T585" t="s">
        <v>2541</v>
      </c>
      <c r="W585" t="s">
        <v>2559</v>
      </c>
      <c r="X585" t="s">
        <v>780</v>
      </c>
      <c r="Y585" t="s">
        <v>781</v>
      </c>
      <c r="AA585" s="31"/>
      <c r="AD585">
        <v>0</v>
      </c>
      <c r="AE585" t="s">
        <v>22</v>
      </c>
      <c r="AF585" s="31">
        <v>46122</v>
      </c>
      <c r="AG585" s="61">
        <v>0.37111111111111111</v>
      </c>
      <c r="AI585" t="s">
        <v>795</v>
      </c>
      <c r="AJ585" s="31">
        <v>46122</v>
      </c>
      <c r="AK585" s="61">
        <v>0.60116898148148146</v>
      </c>
      <c r="AL585" t="s">
        <v>5194</v>
      </c>
      <c r="AP585" t="s">
        <v>22</v>
      </c>
      <c r="AS585" s="31"/>
      <c r="AT585">
        <v>30</v>
      </c>
      <c r="AY585">
        <v>1</v>
      </c>
    </row>
    <row r="586" spans="1:51" x14ac:dyDescent="0.3">
      <c r="A586" t="s">
        <v>44</v>
      </c>
      <c r="B586">
        <v>1089</v>
      </c>
      <c r="D586">
        <v>3509</v>
      </c>
      <c r="G586" t="s">
        <v>5254</v>
      </c>
      <c r="H586">
        <v>3654966000130</v>
      </c>
      <c r="J586" t="s">
        <v>5255</v>
      </c>
      <c r="K586" t="s">
        <v>5255</v>
      </c>
      <c r="L586">
        <v>27999346494</v>
      </c>
      <c r="N586" t="s">
        <v>5256</v>
      </c>
      <c r="Q586" t="s">
        <v>778</v>
      </c>
      <c r="S586" t="s">
        <v>5257</v>
      </c>
      <c r="T586" t="s">
        <v>1191</v>
      </c>
      <c r="W586" t="s">
        <v>2559</v>
      </c>
      <c r="X586" t="s">
        <v>780</v>
      </c>
      <c r="Y586" t="s">
        <v>781</v>
      </c>
      <c r="AA586" s="31"/>
      <c r="AD586">
        <v>0</v>
      </c>
      <c r="AE586" t="s">
        <v>22</v>
      </c>
      <c r="AF586" s="31">
        <v>46122</v>
      </c>
      <c r="AG586" s="61">
        <v>0.37174768518518519</v>
      </c>
      <c r="AI586" t="s">
        <v>795</v>
      </c>
      <c r="AJ586" s="31">
        <v>46122</v>
      </c>
      <c r="AK586" s="61">
        <v>0.43357638888888889</v>
      </c>
      <c r="AL586" t="s">
        <v>1226</v>
      </c>
      <c r="AM586" t="s">
        <v>5258</v>
      </c>
      <c r="AP586" t="s">
        <v>44</v>
      </c>
      <c r="AS586" s="31"/>
      <c r="AT586">
        <v>30</v>
      </c>
      <c r="AY586">
        <v>1</v>
      </c>
    </row>
    <row r="587" spans="1:51" x14ac:dyDescent="0.3">
      <c r="A587" t="s">
        <v>31</v>
      </c>
      <c r="B587">
        <v>1090</v>
      </c>
      <c r="D587">
        <v>3508</v>
      </c>
      <c r="E587" t="s">
        <v>5259</v>
      </c>
      <c r="G587" t="s">
        <v>5260</v>
      </c>
      <c r="J587" t="s">
        <v>5261</v>
      </c>
      <c r="K587" t="s">
        <v>5261</v>
      </c>
      <c r="L587">
        <v>11949454465</v>
      </c>
      <c r="N587" t="s">
        <v>5262</v>
      </c>
      <c r="Q587" t="s">
        <v>778</v>
      </c>
      <c r="T587" t="s">
        <v>2541</v>
      </c>
      <c r="W587" t="s">
        <v>2559</v>
      </c>
      <c r="X587" t="s">
        <v>780</v>
      </c>
      <c r="Y587" t="s">
        <v>781</v>
      </c>
      <c r="AA587" s="31">
        <v>46142</v>
      </c>
      <c r="AD587">
        <v>0</v>
      </c>
      <c r="AE587" t="s">
        <v>22</v>
      </c>
      <c r="AF587" s="31">
        <v>46122</v>
      </c>
      <c r="AG587" s="61">
        <v>0.37243055555555549</v>
      </c>
      <c r="AI587" t="s">
        <v>795</v>
      </c>
      <c r="AJ587" s="31">
        <v>46122</v>
      </c>
      <c r="AK587" s="61">
        <v>0.44673611111111111</v>
      </c>
      <c r="AL587" t="s">
        <v>1226</v>
      </c>
      <c r="AM587" t="s">
        <v>5263</v>
      </c>
      <c r="AP587" t="s">
        <v>31</v>
      </c>
      <c r="AS587" s="31"/>
      <c r="AT587">
        <v>30</v>
      </c>
      <c r="AY587">
        <v>1</v>
      </c>
    </row>
    <row r="588" spans="1:51" x14ac:dyDescent="0.3">
      <c r="A588" t="s">
        <v>44</v>
      </c>
      <c r="B588">
        <v>1091</v>
      </c>
      <c r="D588">
        <v>3507</v>
      </c>
      <c r="E588" t="s">
        <v>5264</v>
      </c>
      <c r="G588" t="s">
        <v>5265</v>
      </c>
      <c r="J588" t="s">
        <v>5266</v>
      </c>
      <c r="K588" t="s">
        <v>5266</v>
      </c>
      <c r="L588">
        <v>54996551297</v>
      </c>
      <c r="N588" t="s">
        <v>5267</v>
      </c>
      <c r="Q588" t="s">
        <v>778</v>
      </c>
      <c r="T588" t="s">
        <v>2541</v>
      </c>
      <c r="W588" t="s">
        <v>2559</v>
      </c>
      <c r="X588" t="s">
        <v>780</v>
      </c>
      <c r="Y588" t="s">
        <v>897</v>
      </c>
      <c r="AA588" s="31">
        <v>46142</v>
      </c>
      <c r="AD588">
        <v>0</v>
      </c>
      <c r="AE588" t="s">
        <v>22</v>
      </c>
      <c r="AF588" s="31">
        <v>46122</v>
      </c>
      <c r="AG588" s="61">
        <v>0.37309027777777781</v>
      </c>
      <c r="AI588" t="s">
        <v>795</v>
      </c>
      <c r="AJ588" s="31">
        <v>46122</v>
      </c>
      <c r="AK588" s="61">
        <v>0.43474537037037042</v>
      </c>
      <c r="AL588" t="s">
        <v>1226</v>
      </c>
      <c r="AM588" t="s">
        <v>5268</v>
      </c>
      <c r="AP588" t="s">
        <v>44</v>
      </c>
      <c r="AS588" s="31"/>
      <c r="AT588">
        <v>30</v>
      </c>
      <c r="AY588">
        <v>1</v>
      </c>
    </row>
    <row r="589" spans="1:51" x14ac:dyDescent="0.3">
      <c r="A589" t="s">
        <v>31</v>
      </c>
      <c r="B589">
        <v>1092</v>
      </c>
      <c r="D589">
        <v>3506</v>
      </c>
      <c r="G589" t="s">
        <v>5269</v>
      </c>
      <c r="J589" t="s">
        <v>5270</v>
      </c>
      <c r="K589" t="s">
        <v>5270</v>
      </c>
      <c r="L589">
        <v>11994260700</v>
      </c>
      <c r="N589" t="s">
        <v>5271</v>
      </c>
      <c r="Q589" t="s">
        <v>778</v>
      </c>
      <c r="S589" t="s">
        <v>5272</v>
      </c>
      <c r="T589" t="s">
        <v>1191</v>
      </c>
      <c r="W589" t="s">
        <v>3115</v>
      </c>
      <c r="X589" t="s">
        <v>780</v>
      </c>
      <c r="Y589" t="s">
        <v>781</v>
      </c>
      <c r="AA589" s="31">
        <v>46142</v>
      </c>
      <c r="AD589">
        <v>5</v>
      </c>
      <c r="AE589" t="s">
        <v>22</v>
      </c>
      <c r="AF589" s="31">
        <v>46122</v>
      </c>
      <c r="AG589" s="61">
        <v>0.37375000000000003</v>
      </c>
      <c r="AI589" t="s">
        <v>782</v>
      </c>
      <c r="AJ589" s="31"/>
      <c r="AK589" s="61"/>
      <c r="AP589" t="s">
        <v>31</v>
      </c>
      <c r="AS589" s="31"/>
      <c r="AT589">
        <v>30</v>
      </c>
      <c r="AY589">
        <v>1</v>
      </c>
    </row>
    <row r="590" spans="1:51" x14ac:dyDescent="0.3">
      <c r="A590" t="s">
        <v>31</v>
      </c>
      <c r="B590">
        <v>1093</v>
      </c>
      <c r="D590">
        <v>3487</v>
      </c>
      <c r="G590" t="s">
        <v>5273</v>
      </c>
      <c r="H590">
        <v>9313543000133</v>
      </c>
      <c r="J590" t="s">
        <v>5274</v>
      </c>
      <c r="K590" t="s">
        <v>5274</v>
      </c>
      <c r="L590" t="s">
        <v>5275</v>
      </c>
      <c r="N590" t="s">
        <v>5276</v>
      </c>
      <c r="Q590" t="s">
        <v>778</v>
      </c>
      <c r="R590" t="s">
        <v>5277</v>
      </c>
      <c r="T590" t="s">
        <v>814</v>
      </c>
      <c r="W590" t="s">
        <v>1198</v>
      </c>
      <c r="X590" t="s">
        <v>780</v>
      </c>
      <c r="Y590" t="s">
        <v>781</v>
      </c>
      <c r="AA590" s="31">
        <v>46265</v>
      </c>
      <c r="AD590">
        <v>5</v>
      </c>
      <c r="AE590" t="s">
        <v>22</v>
      </c>
      <c r="AF590" s="31">
        <v>46122</v>
      </c>
      <c r="AG590" s="61">
        <v>0.37526620370370373</v>
      </c>
      <c r="AI590" t="s">
        <v>782</v>
      </c>
      <c r="AJ590" s="31"/>
      <c r="AK590" s="61"/>
      <c r="AP590" t="s">
        <v>31</v>
      </c>
      <c r="AS590" s="31"/>
      <c r="AT590">
        <v>30</v>
      </c>
      <c r="AY590">
        <v>1</v>
      </c>
    </row>
    <row r="591" spans="1:51" x14ac:dyDescent="0.3">
      <c r="A591" t="s">
        <v>22</v>
      </c>
      <c r="B591">
        <v>1094</v>
      </c>
      <c r="D591">
        <v>3499</v>
      </c>
      <c r="G591" t="s">
        <v>5278</v>
      </c>
      <c r="J591" t="s">
        <v>5279</v>
      </c>
      <c r="K591" t="s">
        <v>5279</v>
      </c>
      <c r="L591">
        <v>11947878080</v>
      </c>
      <c r="N591" t="s">
        <v>5280</v>
      </c>
      <c r="Q591" t="s">
        <v>778</v>
      </c>
      <c r="T591" t="s">
        <v>2541</v>
      </c>
      <c r="W591" t="s">
        <v>2791</v>
      </c>
      <c r="X591" t="s">
        <v>780</v>
      </c>
      <c r="Y591" t="s">
        <v>781</v>
      </c>
      <c r="AA591" s="31">
        <v>46142</v>
      </c>
      <c r="AD591">
        <v>5</v>
      </c>
      <c r="AE591" t="s">
        <v>22</v>
      </c>
      <c r="AF591" s="31">
        <v>46122</v>
      </c>
      <c r="AG591" s="61">
        <v>0.37623842592592588</v>
      </c>
      <c r="AI591" t="s">
        <v>782</v>
      </c>
      <c r="AJ591" s="31"/>
      <c r="AK591" s="61"/>
      <c r="AP591" t="s">
        <v>22</v>
      </c>
      <c r="AS591" s="31"/>
      <c r="AT591">
        <v>30</v>
      </c>
      <c r="AY591">
        <v>1</v>
      </c>
    </row>
    <row r="592" spans="1:51" x14ac:dyDescent="0.3">
      <c r="A592" t="s">
        <v>44</v>
      </c>
      <c r="B592">
        <v>1095</v>
      </c>
      <c r="D592">
        <v>3489</v>
      </c>
      <c r="E592" t="s">
        <v>5281</v>
      </c>
      <c r="G592" t="s">
        <v>389</v>
      </c>
      <c r="J592" t="s">
        <v>5282</v>
      </c>
      <c r="K592" t="s">
        <v>5282</v>
      </c>
      <c r="L592" t="s">
        <v>5283</v>
      </c>
      <c r="N592" t="s">
        <v>5284</v>
      </c>
      <c r="Q592" t="s">
        <v>778</v>
      </c>
      <c r="R592" t="s">
        <v>5285</v>
      </c>
      <c r="T592" t="s">
        <v>814</v>
      </c>
      <c r="W592" t="s">
        <v>1186</v>
      </c>
      <c r="X592" t="s">
        <v>780</v>
      </c>
      <c r="Y592" t="s">
        <v>897</v>
      </c>
      <c r="AA592" s="31">
        <v>46142</v>
      </c>
      <c r="AD592">
        <v>5</v>
      </c>
      <c r="AE592" t="s">
        <v>22</v>
      </c>
      <c r="AF592" s="31">
        <v>46122</v>
      </c>
      <c r="AG592" s="61">
        <v>0.37702546296296302</v>
      </c>
      <c r="AI592" t="s">
        <v>782</v>
      </c>
      <c r="AJ592" s="31"/>
      <c r="AK592" s="61"/>
      <c r="AP592" t="s">
        <v>44</v>
      </c>
      <c r="AS592" s="31"/>
      <c r="AT592">
        <v>30</v>
      </c>
      <c r="AY592">
        <v>1</v>
      </c>
    </row>
    <row r="593" spans="1:51" x14ac:dyDescent="0.3">
      <c r="A593" t="s">
        <v>22</v>
      </c>
      <c r="B593">
        <v>1096</v>
      </c>
      <c r="D593">
        <v>3513</v>
      </c>
      <c r="G593" t="s">
        <v>5286</v>
      </c>
      <c r="J593" t="s">
        <v>5287</v>
      </c>
      <c r="K593" t="s">
        <v>5287</v>
      </c>
      <c r="L593">
        <v>11996146290</v>
      </c>
      <c r="N593" t="s">
        <v>1111</v>
      </c>
      <c r="Q593" t="s">
        <v>778</v>
      </c>
      <c r="X593" t="s">
        <v>780</v>
      </c>
      <c r="Y593" t="s">
        <v>807</v>
      </c>
      <c r="AA593" s="31"/>
      <c r="AB593">
        <v>26350</v>
      </c>
      <c r="AC593">
        <v>3450</v>
      </c>
      <c r="AD593">
        <v>5</v>
      </c>
      <c r="AE593" t="s">
        <v>22</v>
      </c>
      <c r="AF593" s="31">
        <v>46122</v>
      </c>
      <c r="AG593" s="61">
        <v>0.38574074074074072</v>
      </c>
      <c r="AI593" t="s">
        <v>782</v>
      </c>
      <c r="AJ593" s="31"/>
      <c r="AK593" s="61"/>
      <c r="AP593" t="s">
        <v>22</v>
      </c>
      <c r="AS593" s="31"/>
      <c r="AT593">
        <v>30</v>
      </c>
      <c r="AY593">
        <v>1</v>
      </c>
    </row>
    <row r="594" spans="1:51" x14ac:dyDescent="0.3">
      <c r="A594" t="s">
        <v>31</v>
      </c>
      <c r="B594">
        <v>1097</v>
      </c>
      <c r="D594">
        <v>3514</v>
      </c>
      <c r="F594" t="s">
        <v>5288</v>
      </c>
      <c r="G594" t="s">
        <v>5289</v>
      </c>
      <c r="H594">
        <v>7382350000109</v>
      </c>
      <c r="J594" t="s">
        <v>5288</v>
      </c>
      <c r="K594" t="s">
        <v>5288</v>
      </c>
      <c r="L594" t="s">
        <v>2012</v>
      </c>
      <c r="N594" t="s">
        <v>2013</v>
      </c>
      <c r="Q594" t="s">
        <v>778</v>
      </c>
      <c r="R594" t="s">
        <v>1094</v>
      </c>
      <c r="S594" t="s">
        <v>790</v>
      </c>
      <c r="T594" t="s">
        <v>805</v>
      </c>
      <c r="X594" t="s">
        <v>780</v>
      </c>
      <c r="Y594" t="s">
        <v>781</v>
      </c>
      <c r="AA594" s="31"/>
      <c r="AD594">
        <v>5</v>
      </c>
      <c r="AE594" t="s">
        <v>31</v>
      </c>
      <c r="AF594" s="31">
        <v>46122</v>
      </c>
      <c r="AG594" s="61">
        <v>0.62817129629629631</v>
      </c>
      <c r="AI594" t="s">
        <v>782</v>
      </c>
      <c r="AJ594" s="31"/>
      <c r="AK594" s="61"/>
      <c r="AP594" t="s">
        <v>31</v>
      </c>
      <c r="AS594" s="31"/>
      <c r="AT594">
        <v>30</v>
      </c>
      <c r="AY594">
        <v>1</v>
      </c>
    </row>
    <row r="595" spans="1:51" x14ac:dyDescent="0.3">
      <c r="A595" t="s">
        <v>31</v>
      </c>
      <c r="B595">
        <v>1098</v>
      </c>
      <c r="D595">
        <v>3516</v>
      </c>
      <c r="F595" t="s">
        <v>5290</v>
      </c>
      <c r="G595" t="s">
        <v>5291</v>
      </c>
      <c r="H595">
        <v>34355470000190</v>
      </c>
      <c r="J595" t="s">
        <v>5290</v>
      </c>
      <c r="K595" t="s">
        <v>5290</v>
      </c>
      <c r="L595" t="s">
        <v>5292</v>
      </c>
      <c r="N595" t="s">
        <v>5293</v>
      </c>
      <c r="Q595" t="s">
        <v>778</v>
      </c>
      <c r="R595" t="s">
        <v>1094</v>
      </c>
      <c r="S595" t="s">
        <v>790</v>
      </c>
      <c r="T595" t="s">
        <v>805</v>
      </c>
      <c r="X595" t="s">
        <v>780</v>
      </c>
      <c r="Y595" t="s">
        <v>781</v>
      </c>
      <c r="AA595" s="31"/>
      <c r="AD595">
        <v>0</v>
      </c>
      <c r="AE595" t="s">
        <v>31</v>
      </c>
      <c r="AF595" s="31">
        <v>46122</v>
      </c>
      <c r="AG595" s="61">
        <v>0.65776620370370376</v>
      </c>
      <c r="AI595" t="s">
        <v>795</v>
      </c>
      <c r="AJ595" s="31">
        <v>46122</v>
      </c>
      <c r="AK595" s="61">
        <v>0.65869212962962964</v>
      </c>
      <c r="AL595" t="s">
        <v>1226</v>
      </c>
      <c r="AP595" t="s">
        <v>31</v>
      </c>
      <c r="AS595" s="31"/>
      <c r="AT595">
        <v>30</v>
      </c>
      <c r="AY595">
        <v>1</v>
      </c>
    </row>
    <row r="596" spans="1:51" x14ac:dyDescent="0.3">
      <c r="A596" t="s">
        <v>31</v>
      </c>
      <c r="B596">
        <v>1099</v>
      </c>
      <c r="D596">
        <v>3518</v>
      </c>
      <c r="F596" t="s">
        <v>5294</v>
      </c>
      <c r="G596" t="s">
        <v>5295</v>
      </c>
      <c r="H596">
        <v>527682000195</v>
      </c>
      <c r="J596" t="s">
        <v>5294</v>
      </c>
      <c r="K596" t="s">
        <v>5294</v>
      </c>
      <c r="L596" t="s">
        <v>5296</v>
      </c>
      <c r="N596" t="s">
        <v>5297</v>
      </c>
      <c r="Q596" t="s">
        <v>778</v>
      </c>
      <c r="R596" t="s">
        <v>5298</v>
      </c>
      <c r="S596" t="s">
        <v>790</v>
      </c>
      <c r="T596" t="s">
        <v>805</v>
      </c>
      <c r="X596" t="s">
        <v>780</v>
      </c>
      <c r="Y596" t="s">
        <v>781</v>
      </c>
      <c r="AA596" s="31"/>
      <c r="AD596">
        <v>5</v>
      </c>
      <c r="AE596" t="s">
        <v>31</v>
      </c>
      <c r="AF596" s="31">
        <v>46122</v>
      </c>
      <c r="AG596" s="61">
        <v>0.71690972222222227</v>
      </c>
      <c r="AI596" t="s">
        <v>782</v>
      </c>
      <c r="AJ596" s="31"/>
      <c r="AK596" s="61"/>
      <c r="AP596" t="s">
        <v>31</v>
      </c>
      <c r="AS596" s="31"/>
      <c r="AT596">
        <v>28</v>
      </c>
      <c r="AY596">
        <v>1</v>
      </c>
    </row>
    <row r="597" spans="1:51" x14ac:dyDescent="0.3">
      <c r="A597" t="s">
        <v>31</v>
      </c>
      <c r="B597">
        <v>1100</v>
      </c>
      <c r="D597">
        <v>3522</v>
      </c>
      <c r="F597" t="s">
        <v>5299</v>
      </c>
      <c r="G597" t="s">
        <v>5300</v>
      </c>
      <c r="H597">
        <v>28516601000170</v>
      </c>
      <c r="J597" t="s">
        <v>5299</v>
      </c>
      <c r="K597" t="s">
        <v>5299</v>
      </c>
      <c r="L597" t="s">
        <v>5301</v>
      </c>
      <c r="N597" t="s">
        <v>5302</v>
      </c>
      <c r="Q597" t="s">
        <v>778</v>
      </c>
      <c r="R597" t="s">
        <v>5303</v>
      </c>
      <c r="S597" t="s">
        <v>790</v>
      </c>
      <c r="T597" t="s">
        <v>805</v>
      </c>
      <c r="X597" t="s">
        <v>780</v>
      </c>
      <c r="Y597" t="s">
        <v>781</v>
      </c>
      <c r="AA597" s="31"/>
      <c r="AD597">
        <v>5</v>
      </c>
      <c r="AE597" t="s">
        <v>31</v>
      </c>
      <c r="AF597" s="31">
        <v>46122</v>
      </c>
      <c r="AG597" s="61">
        <v>0.72449074074074071</v>
      </c>
      <c r="AI597" t="s">
        <v>782</v>
      </c>
      <c r="AJ597" s="31"/>
      <c r="AK597" s="61"/>
      <c r="AP597" t="s">
        <v>31</v>
      </c>
      <c r="AS597" s="31"/>
      <c r="AT597">
        <v>30</v>
      </c>
      <c r="AY597">
        <v>1</v>
      </c>
    </row>
    <row r="598" spans="1:51" x14ac:dyDescent="0.3">
      <c r="A598" t="s">
        <v>31</v>
      </c>
      <c r="B598">
        <v>1101</v>
      </c>
      <c r="D598">
        <v>3530</v>
      </c>
      <c r="F598" t="s">
        <v>5304</v>
      </c>
      <c r="G598" t="s">
        <v>398</v>
      </c>
      <c r="H598">
        <v>12259254000108</v>
      </c>
      <c r="J598" t="s">
        <v>5304</v>
      </c>
      <c r="K598" t="s">
        <v>5304</v>
      </c>
      <c r="L598" t="s">
        <v>4915</v>
      </c>
      <c r="N598" t="s">
        <v>5305</v>
      </c>
      <c r="Q598" t="s">
        <v>778</v>
      </c>
      <c r="R598" t="s">
        <v>1094</v>
      </c>
      <c r="S598" t="s">
        <v>790</v>
      </c>
      <c r="T598" t="s">
        <v>805</v>
      </c>
      <c r="X598" t="s">
        <v>780</v>
      </c>
      <c r="Y598" t="s">
        <v>857</v>
      </c>
      <c r="AA598" s="31">
        <v>46234</v>
      </c>
      <c r="AD598">
        <v>2</v>
      </c>
      <c r="AE598" t="s">
        <v>31</v>
      </c>
      <c r="AF598" s="31">
        <v>46125</v>
      </c>
      <c r="AG598" s="61">
        <v>0.52216435185185184</v>
      </c>
      <c r="AI598" t="s">
        <v>782</v>
      </c>
      <c r="AJ598" s="31"/>
      <c r="AK598" s="61"/>
      <c r="AP598" t="s">
        <v>31</v>
      </c>
      <c r="AS598" s="31"/>
      <c r="AT598">
        <v>30</v>
      </c>
      <c r="AY598">
        <v>1</v>
      </c>
    </row>
    <row r="599" spans="1:51" x14ac:dyDescent="0.3">
      <c r="A599" t="s">
        <v>44</v>
      </c>
      <c r="B599">
        <v>1102</v>
      </c>
      <c r="D599">
        <v>3533</v>
      </c>
      <c r="F599" t="s">
        <v>5306</v>
      </c>
      <c r="G599" t="s">
        <v>5307</v>
      </c>
      <c r="H599">
        <v>50306471000524</v>
      </c>
      <c r="J599" t="s">
        <v>5306</v>
      </c>
      <c r="K599" t="s">
        <v>5306</v>
      </c>
      <c r="L599" t="s">
        <v>5308</v>
      </c>
      <c r="N599" t="s">
        <v>5309</v>
      </c>
      <c r="Q599" t="s">
        <v>778</v>
      </c>
      <c r="R599" t="s">
        <v>1596</v>
      </c>
      <c r="S599" t="s">
        <v>790</v>
      </c>
      <c r="T599" t="s">
        <v>805</v>
      </c>
      <c r="X599" t="s">
        <v>780</v>
      </c>
      <c r="Y599" t="s">
        <v>781</v>
      </c>
      <c r="AA599" s="31"/>
      <c r="AD599">
        <v>2</v>
      </c>
      <c r="AE599" t="s">
        <v>44</v>
      </c>
      <c r="AF599" s="31">
        <v>46125</v>
      </c>
      <c r="AG599" s="61">
        <v>0.63520833333333337</v>
      </c>
      <c r="AI599" t="s">
        <v>782</v>
      </c>
      <c r="AJ599" s="31"/>
      <c r="AK599" s="61"/>
      <c r="AS599" s="31"/>
      <c r="AT599">
        <v>30</v>
      </c>
      <c r="AW599" t="s">
        <v>4741</v>
      </c>
      <c r="AY599">
        <v>1</v>
      </c>
    </row>
    <row r="600" spans="1:51" x14ac:dyDescent="0.3">
      <c r="A600" t="s">
        <v>31</v>
      </c>
      <c r="B600">
        <v>1103</v>
      </c>
      <c r="D600">
        <v>3534</v>
      </c>
      <c r="E600" t="s">
        <v>5310</v>
      </c>
      <c r="G600" t="s">
        <v>409</v>
      </c>
      <c r="H600">
        <v>8822792000191</v>
      </c>
      <c r="J600" t="s">
        <v>5311</v>
      </c>
      <c r="K600" t="s">
        <v>5311</v>
      </c>
      <c r="L600" t="s">
        <v>5312</v>
      </c>
      <c r="N600" t="s">
        <v>5313</v>
      </c>
      <c r="Q600" t="s">
        <v>778</v>
      </c>
      <c r="R600" t="s">
        <v>1094</v>
      </c>
      <c r="S600" t="s">
        <v>790</v>
      </c>
      <c r="T600" t="s">
        <v>814</v>
      </c>
      <c r="W600" t="s">
        <v>2878</v>
      </c>
      <c r="X600" t="s">
        <v>780</v>
      </c>
      <c r="Y600" t="s">
        <v>857</v>
      </c>
      <c r="AA600" s="31">
        <v>46295</v>
      </c>
      <c r="AD600">
        <v>1</v>
      </c>
      <c r="AE600" t="s">
        <v>22</v>
      </c>
      <c r="AF600" s="31">
        <v>46126</v>
      </c>
      <c r="AG600" s="61">
        <v>0.41895833333333332</v>
      </c>
      <c r="AI600" t="s">
        <v>782</v>
      </c>
      <c r="AJ600" s="31"/>
      <c r="AK600" s="61"/>
      <c r="AP600" t="s">
        <v>31</v>
      </c>
      <c r="AS600" s="31"/>
      <c r="AT600">
        <v>30</v>
      </c>
      <c r="AY600">
        <v>1</v>
      </c>
    </row>
    <row r="601" spans="1:51" x14ac:dyDescent="0.3">
      <c r="A601" t="s">
        <v>31</v>
      </c>
      <c r="B601">
        <v>1104</v>
      </c>
      <c r="D601">
        <v>3527</v>
      </c>
      <c r="E601" t="s">
        <v>5314</v>
      </c>
      <c r="G601" t="s">
        <v>5315</v>
      </c>
      <c r="J601" t="s">
        <v>5316</v>
      </c>
      <c r="K601" t="s">
        <v>5316</v>
      </c>
      <c r="L601">
        <v>33988611992</v>
      </c>
      <c r="N601" t="s">
        <v>5317</v>
      </c>
      <c r="Q601" t="s">
        <v>778</v>
      </c>
      <c r="S601" t="s">
        <v>5318</v>
      </c>
      <c r="T601" t="s">
        <v>1191</v>
      </c>
      <c r="W601" t="s">
        <v>2559</v>
      </c>
      <c r="X601" t="s">
        <v>780</v>
      </c>
      <c r="Y601" t="s">
        <v>781</v>
      </c>
      <c r="AA601" s="31">
        <v>46142</v>
      </c>
      <c r="AD601">
        <v>0</v>
      </c>
      <c r="AE601" t="s">
        <v>22</v>
      </c>
      <c r="AF601" s="31">
        <v>46126</v>
      </c>
      <c r="AG601" s="61">
        <v>0.4208101851851852</v>
      </c>
      <c r="AI601" t="s">
        <v>795</v>
      </c>
      <c r="AJ601" s="31">
        <v>46126</v>
      </c>
      <c r="AK601" s="61">
        <v>0.43841435185185179</v>
      </c>
      <c r="AL601" t="s">
        <v>1226</v>
      </c>
      <c r="AP601" t="s">
        <v>31</v>
      </c>
      <c r="AS601" s="31"/>
      <c r="AT601">
        <v>30</v>
      </c>
      <c r="AY601">
        <v>1</v>
      </c>
    </row>
    <row r="602" spans="1:51" x14ac:dyDescent="0.3">
      <c r="A602" t="s">
        <v>44</v>
      </c>
      <c r="B602">
        <v>1105</v>
      </c>
      <c r="D602">
        <v>3524</v>
      </c>
      <c r="E602" t="s">
        <v>5319</v>
      </c>
      <c r="G602" t="s">
        <v>5320</v>
      </c>
      <c r="J602" t="s">
        <v>5321</v>
      </c>
      <c r="K602" t="s">
        <v>5321</v>
      </c>
      <c r="L602">
        <v>66996472785</v>
      </c>
      <c r="N602" t="s">
        <v>5322</v>
      </c>
      <c r="Q602" t="s">
        <v>778</v>
      </c>
      <c r="T602" t="s">
        <v>2541</v>
      </c>
      <c r="W602" t="s">
        <v>2559</v>
      </c>
      <c r="X602" t="s">
        <v>780</v>
      </c>
      <c r="Y602" t="s">
        <v>897</v>
      </c>
      <c r="AA602" s="31">
        <v>46126</v>
      </c>
      <c r="AD602">
        <v>0</v>
      </c>
      <c r="AE602" t="s">
        <v>22</v>
      </c>
      <c r="AF602" s="31">
        <v>46126</v>
      </c>
      <c r="AG602" s="61">
        <v>0.42281249999999998</v>
      </c>
      <c r="AI602" t="s">
        <v>795</v>
      </c>
      <c r="AJ602" s="31">
        <v>46126</v>
      </c>
      <c r="AK602" s="61">
        <v>0.49921296296296302</v>
      </c>
      <c r="AL602" t="s">
        <v>1226</v>
      </c>
      <c r="AM602" t="s">
        <v>5323</v>
      </c>
      <c r="AP602" t="s">
        <v>44</v>
      </c>
      <c r="AS602" s="31"/>
      <c r="AT602">
        <v>30</v>
      </c>
      <c r="AY602">
        <v>1</v>
      </c>
    </row>
    <row r="603" spans="1:51" x14ac:dyDescent="0.3">
      <c r="A603" t="s">
        <v>44</v>
      </c>
      <c r="B603">
        <v>1106</v>
      </c>
      <c r="D603">
        <v>3525</v>
      </c>
      <c r="G603" t="s">
        <v>5324</v>
      </c>
      <c r="J603" t="s">
        <v>4841</v>
      </c>
      <c r="K603" t="s">
        <v>4841</v>
      </c>
      <c r="L603">
        <v>64999291080</v>
      </c>
      <c r="N603" t="s">
        <v>5325</v>
      </c>
      <c r="Q603" t="s">
        <v>778</v>
      </c>
      <c r="S603" t="s">
        <v>5326</v>
      </c>
      <c r="T603" t="s">
        <v>1191</v>
      </c>
      <c r="W603" t="s">
        <v>3115</v>
      </c>
      <c r="X603" t="s">
        <v>780</v>
      </c>
      <c r="Y603" t="s">
        <v>781</v>
      </c>
      <c r="AA603" s="31">
        <v>46126</v>
      </c>
      <c r="AD603">
        <v>1</v>
      </c>
      <c r="AE603" t="s">
        <v>22</v>
      </c>
      <c r="AF603" s="31">
        <v>46126</v>
      </c>
      <c r="AG603" s="61">
        <v>0.42342592592592587</v>
      </c>
      <c r="AI603" t="s">
        <v>782</v>
      </c>
      <c r="AJ603" s="31"/>
      <c r="AK603" s="61"/>
      <c r="AP603" t="s">
        <v>44</v>
      </c>
      <c r="AS603" s="31"/>
      <c r="AT603">
        <v>30</v>
      </c>
      <c r="AY603">
        <v>1</v>
      </c>
    </row>
    <row r="604" spans="1:51" x14ac:dyDescent="0.3">
      <c r="A604" t="s">
        <v>44</v>
      </c>
      <c r="B604">
        <v>1107</v>
      </c>
      <c r="D604">
        <v>3526</v>
      </c>
      <c r="G604" t="s">
        <v>5327</v>
      </c>
      <c r="H604">
        <v>52975803000165</v>
      </c>
      <c r="J604" t="s">
        <v>5328</v>
      </c>
      <c r="K604" t="s">
        <v>5328</v>
      </c>
      <c r="L604">
        <v>85994341515</v>
      </c>
      <c r="N604" t="s">
        <v>5329</v>
      </c>
      <c r="Q604" t="s">
        <v>778</v>
      </c>
      <c r="R604" t="s">
        <v>5330</v>
      </c>
      <c r="S604" t="s">
        <v>5331</v>
      </c>
      <c r="T604" t="s">
        <v>2541</v>
      </c>
      <c r="W604" t="s">
        <v>3115</v>
      </c>
      <c r="X604" t="s">
        <v>780</v>
      </c>
      <c r="Y604" t="s">
        <v>781</v>
      </c>
      <c r="AA604" s="31">
        <v>46126</v>
      </c>
      <c r="AD604">
        <v>1</v>
      </c>
      <c r="AE604" t="s">
        <v>22</v>
      </c>
      <c r="AF604" s="31">
        <v>46126</v>
      </c>
      <c r="AG604" s="61">
        <v>0.42473379629629632</v>
      </c>
      <c r="AI604" t="s">
        <v>782</v>
      </c>
      <c r="AJ604" s="31"/>
      <c r="AK604" s="61"/>
      <c r="AP604" t="s">
        <v>44</v>
      </c>
      <c r="AS604" s="31"/>
      <c r="AT604">
        <v>30</v>
      </c>
      <c r="AY604">
        <v>1</v>
      </c>
    </row>
    <row r="605" spans="1:51" x14ac:dyDescent="0.3">
      <c r="A605" t="s">
        <v>44</v>
      </c>
      <c r="B605">
        <v>1113</v>
      </c>
      <c r="D605">
        <v>3542</v>
      </c>
      <c r="F605" t="s">
        <v>5332</v>
      </c>
      <c r="G605" t="s">
        <v>399</v>
      </c>
      <c r="H605">
        <v>38116840000197</v>
      </c>
      <c r="J605" t="s">
        <v>5332</v>
      </c>
      <c r="K605" t="s">
        <v>5332</v>
      </c>
      <c r="L605" t="s">
        <v>5333</v>
      </c>
      <c r="N605" t="s">
        <v>5334</v>
      </c>
      <c r="Q605" t="s">
        <v>778</v>
      </c>
      <c r="R605" t="s">
        <v>2945</v>
      </c>
      <c r="S605" t="s">
        <v>1105</v>
      </c>
      <c r="T605" t="s">
        <v>805</v>
      </c>
      <c r="X605" t="s">
        <v>780</v>
      </c>
      <c r="Y605" t="s">
        <v>857</v>
      </c>
      <c r="AA605" s="31"/>
      <c r="AD605">
        <v>1</v>
      </c>
      <c r="AE605" t="s">
        <v>44</v>
      </c>
      <c r="AF605" s="31">
        <v>46126</v>
      </c>
      <c r="AG605" s="61">
        <v>0.69707175925925924</v>
      </c>
      <c r="AI605" t="s">
        <v>782</v>
      </c>
      <c r="AJ605" s="31"/>
      <c r="AK605" s="61"/>
      <c r="AQ605" t="s">
        <v>4698</v>
      </c>
      <c r="AS605" s="31"/>
      <c r="AT605">
        <v>50</v>
      </c>
      <c r="AY605">
        <v>1</v>
      </c>
    </row>
    <row r="606" spans="1:51" x14ac:dyDescent="0.3">
      <c r="A606" t="s">
        <v>44</v>
      </c>
      <c r="B606">
        <v>1114</v>
      </c>
      <c r="D606">
        <v>3544</v>
      </c>
      <c r="G606" t="s">
        <v>410</v>
      </c>
      <c r="H606">
        <v>38116840000197</v>
      </c>
      <c r="J606" t="s">
        <v>5335</v>
      </c>
      <c r="K606" t="s">
        <v>5335</v>
      </c>
      <c r="L606">
        <v>3133780033</v>
      </c>
      <c r="N606" t="s">
        <v>5334</v>
      </c>
      <c r="Q606" t="s">
        <v>778</v>
      </c>
      <c r="R606" t="s">
        <v>2945</v>
      </c>
      <c r="S606" t="s">
        <v>1105</v>
      </c>
      <c r="X606" t="s">
        <v>780</v>
      </c>
      <c r="Y606" t="s">
        <v>857</v>
      </c>
      <c r="AA606" s="31"/>
      <c r="AD606">
        <v>1</v>
      </c>
      <c r="AE606" t="s">
        <v>44</v>
      </c>
      <c r="AF606" s="31">
        <v>46126</v>
      </c>
      <c r="AG606" s="61">
        <v>0.69881944444444444</v>
      </c>
      <c r="AI606" t="s">
        <v>782</v>
      </c>
      <c r="AJ606" s="31"/>
      <c r="AK606" s="61"/>
      <c r="AR606" t="s">
        <v>4698</v>
      </c>
      <c r="AS606" s="31"/>
      <c r="AT606">
        <v>50</v>
      </c>
      <c r="AY606">
        <v>1</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X717"/>
  <sheetViews>
    <sheetView topLeftCell="A373" workbookViewId="0">
      <selection activeCell="A712" sqref="A712"/>
    </sheetView>
  </sheetViews>
  <sheetFormatPr defaultRowHeight="14.4" x14ac:dyDescent="0.3"/>
  <cols>
    <col min="1" max="1" width="17.88671875" bestFit="1" customWidth="1"/>
    <col min="2" max="2" width="17" bestFit="1" customWidth="1"/>
    <col min="3" max="3" width="11.33203125" bestFit="1" customWidth="1"/>
    <col min="4" max="4" width="11.88671875" bestFit="1" customWidth="1"/>
    <col min="5" max="6" width="80.88671875" bestFit="1" customWidth="1"/>
    <col min="7" max="7" width="67.33203125" bestFit="1" customWidth="1"/>
    <col min="8" max="8" width="12" bestFit="1" customWidth="1"/>
    <col min="9" max="9" width="76" bestFit="1" customWidth="1"/>
    <col min="10" max="10" width="80.88671875" bestFit="1" customWidth="1"/>
    <col min="11" max="11" width="40.6640625" bestFit="1" customWidth="1"/>
    <col min="12" max="12" width="18.6640625" bestFit="1" customWidth="1"/>
    <col min="13" max="13" width="44.33203125" bestFit="1" customWidth="1"/>
    <col min="14" max="14" width="17" bestFit="1" customWidth="1"/>
    <col min="15" max="15" width="30.109375" bestFit="1" customWidth="1"/>
    <col min="16" max="16" width="35.33203125" bestFit="1" customWidth="1"/>
    <col min="17" max="17" width="25.109375" bestFit="1" customWidth="1"/>
    <col min="18" max="18" width="19" bestFit="1" customWidth="1"/>
    <col min="19" max="19" width="23.109375" bestFit="1" customWidth="1"/>
    <col min="20" max="20" width="18" bestFit="1" customWidth="1"/>
    <col min="21" max="21" width="20" bestFit="1" customWidth="1"/>
    <col min="22" max="22" width="59.6640625" bestFit="1" customWidth="1"/>
    <col min="23" max="23" width="16.33203125" bestFit="1" customWidth="1"/>
    <col min="24" max="24" width="30.109375" bestFit="1" customWidth="1"/>
    <col min="25" max="25" width="31.88671875" bestFit="1" customWidth="1"/>
    <col min="26" max="26" width="28.33203125" bestFit="1" customWidth="1"/>
    <col min="27" max="27" width="12" bestFit="1" customWidth="1"/>
    <col min="28" max="28" width="14" bestFit="1" customWidth="1"/>
    <col min="29" max="29" width="25.6640625" bestFit="1" customWidth="1"/>
    <col min="30" max="30" width="17.88671875" bestFit="1" customWidth="1"/>
    <col min="31" max="31" width="16.44140625" bestFit="1" customWidth="1"/>
    <col min="32" max="32" width="16.5546875" bestFit="1" customWidth="1"/>
    <col min="33" max="33" width="15.6640625" bestFit="1" customWidth="1"/>
    <col min="34" max="34" width="8.5546875" bestFit="1" customWidth="1"/>
    <col min="35" max="35" width="21" bestFit="1" customWidth="1"/>
    <col min="36" max="36" width="21.109375" bestFit="1" customWidth="1"/>
    <col min="37" max="37" width="56.109375" bestFit="1" customWidth="1"/>
    <col min="38" max="38" width="80.88671875" bestFit="1" customWidth="1"/>
    <col min="39" max="39" width="19.6640625" bestFit="1" customWidth="1"/>
    <col min="40" max="40" width="15.33203125" bestFit="1" customWidth="1"/>
    <col min="41" max="41" width="17.88671875" bestFit="1" customWidth="1"/>
    <col min="42" max="43" width="19.6640625" bestFit="1" customWidth="1"/>
    <col min="44" max="44" width="16.5546875" bestFit="1" customWidth="1"/>
    <col min="45" max="45" width="13.88671875" bestFit="1" customWidth="1"/>
    <col min="46" max="46" width="8.109375" bestFit="1" customWidth="1"/>
    <col min="47" max="47" width="33.88671875" bestFit="1" customWidth="1"/>
    <col min="48" max="48" width="11.88671875" bestFit="1" customWidth="1"/>
    <col min="49" max="49" width="16.6640625" bestFit="1" customWidth="1"/>
    <col min="50" max="50" width="7.109375" bestFit="1" customWidth="1"/>
  </cols>
  <sheetData>
    <row r="1" spans="1:50" x14ac:dyDescent="0.3">
      <c r="A1" t="s">
        <v>212</v>
      </c>
      <c r="B1" t="s">
        <v>731</v>
      </c>
      <c r="C1" t="s">
        <v>732</v>
      </c>
      <c r="D1" t="s">
        <v>733</v>
      </c>
      <c r="E1" t="s">
        <v>734</v>
      </c>
      <c r="F1" t="s">
        <v>735</v>
      </c>
      <c r="G1" t="s">
        <v>736</v>
      </c>
      <c r="H1" t="s">
        <v>40</v>
      </c>
      <c r="I1" t="s">
        <v>737</v>
      </c>
      <c r="J1" t="s">
        <v>738</v>
      </c>
      <c r="K1" t="s">
        <v>739</v>
      </c>
      <c r="L1" t="s">
        <v>740</v>
      </c>
      <c r="M1" t="s">
        <v>741</v>
      </c>
      <c r="N1" t="s">
        <v>742</v>
      </c>
      <c r="O1" t="s">
        <v>743</v>
      </c>
      <c r="P1" t="s">
        <v>744</v>
      </c>
      <c r="Q1" t="s">
        <v>745</v>
      </c>
      <c r="R1" t="s">
        <v>746</v>
      </c>
      <c r="S1" t="s">
        <v>747</v>
      </c>
      <c r="T1" t="s">
        <v>748</v>
      </c>
      <c r="U1" t="s">
        <v>749</v>
      </c>
      <c r="V1" t="s">
        <v>750</v>
      </c>
      <c r="W1" t="s">
        <v>751</v>
      </c>
      <c r="X1" t="s">
        <v>752</v>
      </c>
      <c r="Y1" t="s">
        <v>753</v>
      </c>
      <c r="Z1" t="s">
        <v>754</v>
      </c>
      <c r="AA1" t="s">
        <v>755</v>
      </c>
      <c r="AB1" t="s">
        <v>756</v>
      </c>
      <c r="AC1" t="s">
        <v>757</v>
      </c>
      <c r="AD1" t="s">
        <v>758</v>
      </c>
      <c r="AE1" t="s">
        <v>759</v>
      </c>
      <c r="AF1" t="s">
        <v>760</v>
      </c>
      <c r="AG1" t="s">
        <v>761</v>
      </c>
      <c r="AH1" t="s">
        <v>762</v>
      </c>
      <c r="AI1" t="s">
        <v>763</v>
      </c>
      <c r="AJ1" t="s">
        <v>764</v>
      </c>
      <c r="AK1" t="s">
        <v>765</v>
      </c>
      <c r="AL1" t="s">
        <v>766</v>
      </c>
      <c r="AM1" t="s">
        <v>767</v>
      </c>
      <c r="AN1" t="s">
        <v>249</v>
      </c>
      <c r="AO1" t="s">
        <v>768</v>
      </c>
      <c r="AP1" t="s">
        <v>214</v>
      </c>
      <c r="AQ1" t="s">
        <v>769</v>
      </c>
      <c r="AR1" t="s">
        <v>770</v>
      </c>
      <c r="AS1" t="s">
        <v>260</v>
      </c>
      <c r="AT1" t="s">
        <v>258</v>
      </c>
      <c r="AU1" t="s">
        <v>771</v>
      </c>
      <c r="AV1" t="s">
        <v>257</v>
      </c>
      <c r="AW1" t="s">
        <v>772</v>
      </c>
      <c r="AX1" t="s">
        <v>4593</v>
      </c>
    </row>
    <row r="2" spans="1:50" x14ac:dyDescent="0.3">
      <c r="A2" t="s">
        <v>22</v>
      </c>
      <c r="B2">
        <v>87</v>
      </c>
      <c r="D2">
        <v>548</v>
      </c>
      <c r="G2" t="s">
        <v>774</v>
      </c>
      <c r="J2" t="s">
        <v>775</v>
      </c>
      <c r="K2" t="s">
        <v>776</v>
      </c>
      <c r="M2" t="s">
        <v>777</v>
      </c>
      <c r="V2" t="s">
        <v>779</v>
      </c>
      <c r="W2" t="s">
        <v>780</v>
      </c>
      <c r="X2" t="s">
        <v>781</v>
      </c>
      <c r="Z2" s="31"/>
      <c r="AA2">
        <v>0</v>
      </c>
      <c r="AB2">
        <v>27562</v>
      </c>
      <c r="AC2">
        <v>540</v>
      </c>
      <c r="AD2" t="s">
        <v>22</v>
      </c>
      <c r="AE2" s="31">
        <v>45622</v>
      </c>
      <c r="AF2" s="61">
        <v>0.72627314814814814</v>
      </c>
      <c r="AH2" t="s">
        <v>782</v>
      </c>
      <c r="AI2" s="31"/>
      <c r="AJ2" s="61"/>
      <c r="AO2" t="s">
        <v>22</v>
      </c>
      <c r="AR2" s="31"/>
      <c r="AX2">
        <v>1</v>
      </c>
    </row>
    <row r="3" spans="1:50" x14ac:dyDescent="0.3">
      <c r="A3" t="s">
        <v>44</v>
      </c>
      <c r="B3">
        <v>88</v>
      </c>
      <c r="D3">
        <v>269</v>
      </c>
      <c r="F3" t="s">
        <v>783</v>
      </c>
      <c r="G3" t="s">
        <v>5336</v>
      </c>
      <c r="H3">
        <v>24870219000100</v>
      </c>
      <c r="J3" t="s">
        <v>785</v>
      </c>
      <c r="K3" t="s">
        <v>786</v>
      </c>
      <c r="M3" t="s">
        <v>787</v>
      </c>
      <c r="O3" t="s">
        <v>788</v>
      </c>
      <c r="Q3" t="s">
        <v>789</v>
      </c>
      <c r="R3" t="s">
        <v>790</v>
      </c>
      <c r="S3" t="s">
        <v>791</v>
      </c>
      <c r="V3" t="s">
        <v>5337</v>
      </c>
      <c r="W3" t="s">
        <v>780</v>
      </c>
      <c r="X3" t="s">
        <v>793</v>
      </c>
      <c r="Z3" s="31"/>
      <c r="AC3">
        <v>55</v>
      </c>
      <c r="AD3" t="s">
        <v>794</v>
      </c>
      <c r="AE3" s="31">
        <v>45623</v>
      </c>
      <c r="AF3" s="61">
        <v>0.60320601851851852</v>
      </c>
      <c r="AH3" t="s">
        <v>795</v>
      </c>
      <c r="AI3" s="31">
        <v>45678</v>
      </c>
      <c r="AJ3" s="61">
        <v>0.49710648148148151</v>
      </c>
      <c r="AK3" t="s">
        <v>5338</v>
      </c>
      <c r="AL3" t="s">
        <v>5339</v>
      </c>
      <c r="AM3" t="s">
        <v>798</v>
      </c>
      <c r="AN3" t="s">
        <v>799</v>
      </c>
      <c r="AO3" t="s">
        <v>794</v>
      </c>
      <c r="AP3" t="s">
        <v>798</v>
      </c>
      <c r="AR3" s="31"/>
      <c r="AX3">
        <v>1</v>
      </c>
    </row>
    <row r="4" spans="1:50" x14ac:dyDescent="0.3">
      <c r="A4" t="s">
        <v>22</v>
      </c>
      <c r="B4">
        <v>89</v>
      </c>
      <c r="D4">
        <v>439</v>
      </c>
      <c r="E4" t="s">
        <v>800</v>
      </c>
      <c r="G4" t="s">
        <v>801</v>
      </c>
      <c r="H4">
        <v>51921277000198</v>
      </c>
      <c r="J4" t="s">
        <v>802</v>
      </c>
      <c r="K4" t="s">
        <v>803</v>
      </c>
      <c r="M4" t="s">
        <v>804</v>
      </c>
      <c r="S4" t="s">
        <v>805</v>
      </c>
      <c r="V4" t="s">
        <v>806</v>
      </c>
      <c r="W4" t="s">
        <v>780</v>
      </c>
      <c r="X4" t="s">
        <v>807</v>
      </c>
      <c r="Z4" s="31"/>
      <c r="AC4">
        <v>63</v>
      </c>
      <c r="AD4" t="s">
        <v>594</v>
      </c>
      <c r="AE4" s="31">
        <v>45623</v>
      </c>
      <c r="AF4" s="61">
        <v>0.6035300925925926</v>
      </c>
      <c r="AH4" t="s">
        <v>795</v>
      </c>
      <c r="AI4" s="31">
        <v>45686</v>
      </c>
      <c r="AJ4" s="61">
        <v>4.445601851851852E-2</v>
      </c>
      <c r="AK4" t="s">
        <v>808</v>
      </c>
      <c r="AM4" t="s">
        <v>798</v>
      </c>
      <c r="AO4" t="s">
        <v>594</v>
      </c>
      <c r="AR4" s="31"/>
      <c r="AX4">
        <v>1</v>
      </c>
    </row>
    <row r="5" spans="1:50" x14ac:dyDescent="0.3">
      <c r="A5" t="s">
        <v>44</v>
      </c>
      <c r="B5">
        <v>90</v>
      </c>
      <c r="D5">
        <v>372</v>
      </c>
      <c r="E5" t="s">
        <v>809</v>
      </c>
      <c r="G5" t="s">
        <v>810</v>
      </c>
      <c r="H5">
        <v>1740627000575</v>
      </c>
      <c r="J5" t="s">
        <v>811</v>
      </c>
      <c r="K5" t="s">
        <v>812</v>
      </c>
      <c r="M5" t="s">
        <v>813</v>
      </c>
      <c r="S5" t="s">
        <v>814</v>
      </c>
      <c r="V5" t="s">
        <v>5340</v>
      </c>
      <c r="W5" t="s">
        <v>780</v>
      </c>
      <c r="X5" t="s">
        <v>816</v>
      </c>
      <c r="Y5" t="s">
        <v>817</v>
      </c>
      <c r="Z5" s="31"/>
      <c r="AA5">
        <v>14416</v>
      </c>
      <c r="AB5">
        <v>18072</v>
      </c>
      <c r="AC5">
        <v>266</v>
      </c>
      <c r="AD5" t="s">
        <v>594</v>
      </c>
      <c r="AE5" s="31">
        <v>45623</v>
      </c>
      <c r="AF5" s="61">
        <v>0.64762731481481484</v>
      </c>
      <c r="AH5" t="s">
        <v>818</v>
      </c>
      <c r="AI5" s="31">
        <v>45889</v>
      </c>
      <c r="AJ5" s="61">
        <v>0.4010185185185185</v>
      </c>
      <c r="AM5" t="s">
        <v>819</v>
      </c>
      <c r="AN5" t="s">
        <v>820</v>
      </c>
      <c r="AO5" t="s">
        <v>594</v>
      </c>
      <c r="AP5" t="s">
        <v>821</v>
      </c>
      <c r="AQ5" t="s">
        <v>820</v>
      </c>
      <c r="AR5" s="31"/>
      <c r="AX5">
        <v>1</v>
      </c>
    </row>
    <row r="6" spans="1:50" x14ac:dyDescent="0.3">
      <c r="A6" t="s">
        <v>44</v>
      </c>
      <c r="B6">
        <v>91</v>
      </c>
      <c r="D6">
        <v>502</v>
      </c>
      <c r="E6" t="s">
        <v>822</v>
      </c>
      <c r="G6" t="s">
        <v>823</v>
      </c>
      <c r="H6">
        <v>8196258000117</v>
      </c>
      <c r="J6" t="s">
        <v>5341</v>
      </c>
      <c r="K6" t="s">
        <v>825</v>
      </c>
      <c r="M6" t="s">
        <v>826</v>
      </c>
      <c r="S6" t="s">
        <v>814</v>
      </c>
      <c r="V6" t="s">
        <v>5342</v>
      </c>
      <c r="W6" t="s">
        <v>780</v>
      </c>
      <c r="X6" t="s">
        <v>793</v>
      </c>
      <c r="Z6" s="31"/>
      <c r="AC6">
        <v>55</v>
      </c>
      <c r="AD6" t="s">
        <v>594</v>
      </c>
      <c r="AE6" s="31">
        <v>45623</v>
      </c>
      <c r="AF6" s="61">
        <v>0.64908564814814818</v>
      </c>
      <c r="AH6" t="s">
        <v>795</v>
      </c>
      <c r="AI6" s="31">
        <v>45678</v>
      </c>
      <c r="AJ6" s="61">
        <v>0.49982638888888892</v>
      </c>
      <c r="AK6" t="s">
        <v>5338</v>
      </c>
      <c r="AL6" t="s">
        <v>5339</v>
      </c>
      <c r="AM6" t="s">
        <v>828</v>
      </c>
      <c r="AN6" t="s">
        <v>829</v>
      </c>
      <c r="AO6" t="s">
        <v>594</v>
      </c>
      <c r="AP6" t="s">
        <v>830</v>
      </c>
      <c r="AR6" s="31"/>
      <c r="AX6">
        <v>1</v>
      </c>
    </row>
    <row r="7" spans="1:50" x14ac:dyDescent="0.3">
      <c r="A7" t="s">
        <v>44</v>
      </c>
      <c r="B7">
        <v>92</v>
      </c>
      <c r="D7">
        <v>360</v>
      </c>
      <c r="E7" t="s">
        <v>831</v>
      </c>
      <c r="F7" t="s">
        <v>832</v>
      </c>
      <c r="G7" t="s">
        <v>833</v>
      </c>
      <c r="H7">
        <v>32364538000171</v>
      </c>
      <c r="J7" t="s">
        <v>834</v>
      </c>
      <c r="K7" t="s">
        <v>835</v>
      </c>
      <c r="M7" t="s">
        <v>836</v>
      </c>
      <c r="Q7" t="s">
        <v>837</v>
      </c>
      <c r="R7" t="s">
        <v>790</v>
      </c>
      <c r="S7" t="s">
        <v>805</v>
      </c>
      <c r="V7" t="s">
        <v>838</v>
      </c>
      <c r="W7" t="s">
        <v>780</v>
      </c>
      <c r="X7" t="s">
        <v>807</v>
      </c>
      <c r="Z7" s="31"/>
      <c r="AA7">
        <v>2496</v>
      </c>
      <c r="AC7">
        <v>62</v>
      </c>
      <c r="AD7" t="s">
        <v>594</v>
      </c>
      <c r="AE7" s="31">
        <v>45623</v>
      </c>
      <c r="AF7" s="61">
        <v>0.6508680555555556</v>
      </c>
      <c r="AH7" t="s">
        <v>795</v>
      </c>
      <c r="AI7" s="31">
        <v>45685</v>
      </c>
      <c r="AJ7" s="61">
        <v>0.64828703703703705</v>
      </c>
      <c r="AK7" t="s">
        <v>5338</v>
      </c>
      <c r="AL7" t="s">
        <v>5343</v>
      </c>
      <c r="AM7" t="s">
        <v>840</v>
      </c>
      <c r="AN7" t="s">
        <v>841</v>
      </c>
      <c r="AO7" t="s">
        <v>594</v>
      </c>
      <c r="AP7" t="s">
        <v>821</v>
      </c>
      <c r="AR7" s="31"/>
      <c r="AX7">
        <v>1</v>
      </c>
    </row>
    <row r="8" spans="1:50" x14ac:dyDescent="0.3">
      <c r="A8" t="s">
        <v>22</v>
      </c>
      <c r="B8">
        <v>93</v>
      </c>
      <c r="D8">
        <v>598</v>
      </c>
      <c r="E8" t="s">
        <v>842</v>
      </c>
      <c r="G8" t="s">
        <v>5344</v>
      </c>
      <c r="H8">
        <v>3375396000492</v>
      </c>
      <c r="J8" t="s">
        <v>844</v>
      </c>
      <c r="K8" t="s">
        <v>845</v>
      </c>
      <c r="M8" t="s">
        <v>846</v>
      </c>
      <c r="Q8" t="s">
        <v>847</v>
      </c>
      <c r="R8" t="s">
        <v>848</v>
      </c>
      <c r="S8" t="s">
        <v>791</v>
      </c>
      <c r="V8" t="s">
        <v>5345</v>
      </c>
      <c r="W8" t="s">
        <v>780</v>
      </c>
      <c r="X8" t="s">
        <v>807</v>
      </c>
      <c r="Z8" s="31"/>
      <c r="AA8">
        <v>0</v>
      </c>
      <c r="AB8">
        <v>0</v>
      </c>
      <c r="AC8">
        <v>61</v>
      </c>
      <c r="AD8" t="s">
        <v>22</v>
      </c>
      <c r="AE8" s="31">
        <v>45624</v>
      </c>
      <c r="AF8" s="61">
        <v>0.36658564814814809</v>
      </c>
      <c r="AH8" t="s">
        <v>795</v>
      </c>
      <c r="AI8" s="31">
        <v>45685</v>
      </c>
      <c r="AJ8" s="61">
        <v>0.69954861111111111</v>
      </c>
      <c r="AK8" t="s">
        <v>5338</v>
      </c>
      <c r="AL8" t="s">
        <v>850</v>
      </c>
      <c r="AO8" t="s">
        <v>22</v>
      </c>
      <c r="AR8" s="31"/>
      <c r="AX8">
        <v>1</v>
      </c>
    </row>
    <row r="9" spans="1:50" x14ac:dyDescent="0.3">
      <c r="A9" t="s">
        <v>44</v>
      </c>
      <c r="B9">
        <v>94</v>
      </c>
      <c r="D9">
        <v>378</v>
      </c>
      <c r="F9" t="s">
        <v>851</v>
      </c>
      <c r="G9" t="s">
        <v>852</v>
      </c>
      <c r="H9">
        <v>11650898000160</v>
      </c>
      <c r="J9" t="s">
        <v>853</v>
      </c>
      <c r="K9" t="s">
        <v>854</v>
      </c>
      <c r="M9" t="s">
        <v>855</v>
      </c>
      <c r="O9" t="s">
        <v>856</v>
      </c>
      <c r="S9" t="s">
        <v>791</v>
      </c>
      <c r="V9" t="s">
        <v>5337</v>
      </c>
      <c r="W9" t="s">
        <v>780</v>
      </c>
      <c r="X9" t="s">
        <v>857</v>
      </c>
      <c r="Z9" s="31"/>
      <c r="AA9">
        <v>0</v>
      </c>
      <c r="AB9">
        <v>0</v>
      </c>
      <c r="AC9">
        <v>61</v>
      </c>
      <c r="AD9" t="s">
        <v>794</v>
      </c>
      <c r="AE9" s="31">
        <v>45624</v>
      </c>
      <c r="AF9" s="61">
        <v>0.62634259259259262</v>
      </c>
      <c r="AH9" t="s">
        <v>795</v>
      </c>
      <c r="AI9" s="31">
        <v>45685</v>
      </c>
      <c r="AJ9" s="61">
        <v>0.58120370370370367</v>
      </c>
      <c r="AK9" t="s">
        <v>858</v>
      </c>
      <c r="AL9" t="s">
        <v>859</v>
      </c>
      <c r="AM9" t="s">
        <v>860</v>
      </c>
      <c r="AO9" t="s">
        <v>794</v>
      </c>
      <c r="AR9" s="31"/>
      <c r="AX9">
        <v>1</v>
      </c>
    </row>
    <row r="10" spans="1:50" x14ac:dyDescent="0.3">
      <c r="A10" t="s">
        <v>22</v>
      </c>
      <c r="B10">
        <v>95</v>
      </c>
      <c r="D10">
        <v>778</v>
      </c>
      <c r="E10" t="s">
        <v>861</v>
      </c>
      <c r="G10" t="s">
        <v>862</v>
      </c>
      <c r="H10">
        <v>15211327000180</v>
      </c>
      <c r="J10" t="s">
        <v>863</v>
      </c>
      <c r="K10" t="s">
        <v>864</v>
      </c>
      <c r="M10" t="s">
        <v>865</v>
      </c>
      <c r="S10" t="s">
        <v>791</v>
      </c>
      <c r="V10" t="s">
        <v>5346</v>
      </c>
      <c r="W10" t="s">
        <v>780</v>
      </c>
      <c r="X10" t="s">
        <v>793</v>
      </c>
      <c r="Z10" s="31"/>
      <c r="AC10">
        <v>39</v>
      </c>
      <c r="AD10" t="s">
        <v>22</v>
      </c>
      <c r="AE10" s="31">
        <v>45625</v>
      </c>
      <c r="AF10" s="61">
        <v>0.58859953703703705</v>
      </c>
      <c r="AH10" t="s">
        <v>795</v>
      </c>
      <c r="AI10" s="31">
        <v>45664</v>
      </c>
      <c r="AJ10" s="61">
        <v>0.70936342592592594</v>
      </c>
      <c r="AK10" t="s">
        <v>5347</v>
      </c>
      <c r="AO10" t="s">
        <v>594</v>
      </c>
      <c r="AP10" t="s">
        <v>868</v>
      </c>
      <c r="AR10" s="31"/>
      <c r="AX10">
        <v>1</v>
      </c>
    </row>
    <row r="11" spans="1:50" x14ac:dyDescent="0.3">
      <c r="A11" t="s">
        <v>44</v>
      </c>
      <c r="B11">
        <v>96</v>
      </c>
      <c r="C11">
        <v>155</v>
      </c>
      <c r="D11">
        <v>812</v>
      </c>
      <c r="G11" t="s">
        <v>869</v>
      </c>
      <c r="H11">
        <v>13609763000186</v>
      </c>
      <c r="I11" t="s">
        <v>870</v>
      </c>
      <c r="J11" t="s">
        <v>870</v>
      </c>
      <c r="K11" t="s">
        <v>871</v>
      </c>
      <c r="M11" t="s">
        <v>872</v>
      </c>
      <c r="Q11" t="s">
        <v>873</v>
      </c>
      <c r="R11" t="s">
        <v>874</v>
      </c>
      <c r="S11" t="s">
        <v>791</v>
      </c>
      <c r="V11" t="s">
        <v>875</v>
      </c>
      <c r="W11" t="s">
        <v>780</v>
      </c>
      <c r="X11" t="s">
        <v>816</v>
      </c>
      <c r="Y11" t="s">
        <v>817</v>
      </c>
      <c r="Z11" s="31">
        <v>45688</v>
      </c>
      <c r="AA11">
        <v>8479884</v>
      </c>
      <c r="AB11">
        <v>630984</v>
      </c>
      <c r="AC11">
        <v>62</v>
      </c>
      <c r="AD11" t="s">
        <v>22</v>
      </c>
      <c r="AE11" s="31">
        <v>45627</v>
      </c>
      <c r="AF11" s="61">
        <v>0.85458333333333336</v>
      </c>
      <c r="AH11" t="s">
        <v>818</v>
      </c>
      <c r="AI11" s="31">
        <v>45689</v>
      </c>
      <c r="AJ11" s="61">
        <v>6.9525462962962969E-2</v>
      </c>
      <c r="AN11" t="s">
        <v>876</v>
      </c>
      <c r="AO11" t="s">
        <v>44</v>
      </c>
      <c r="AP11" t="s">
        <v>876</v>
      </c>
      <c r="AR11" s="31"/>
      <c r="AX11">
        <v>1</v>
      </c>
    </row>
    <row r="12" spans="1:50" x14ac:dyDescent="0.3">
      <c r="A12" t="s">
        <v>44</v>
      </c>
      <c r="B12">
        <v>97</v>
      </c>
      <c r="C12">
        <v>155</v>
      </c>
      <c r="D12">
        <v>813</v>
      </c>
      <c r="G12" t="s">
        <v>877</v>
      </c>
      <c r="H12">
        <v>13609763000186</v>
      </c>
      <c r="I12" t="s">
        <v>870</v>
      </c>
      <c r="J12" t="s">
        <v>878</v>
      </c>
      <c r="K12" t="s">
        <v>879</v>
      </c>
      <c r="M12" t="s">
        <v>872</v>
      </c>
      <c r="Q12" t="s">
        <v>873</v>
      </c>
      <c r="R12" t="s">
        <v>874</v>
      </c>
      <c r="V12" t="s">
        <v>880</v>
      </c>
      <c r="W12" t="s">
        <v>780</v>
      </c>
      <c r="X12" t="s">
        <v>807</v>
      </c>
      <c r="Z12" s="31"/>
      <c r="AC12">
        <v>82</v>
      </c>
      <c r="AD12" t="s">
        <v>22</v>
      </c>
      <c r="AE12" s="31">
        <v>45627</v>
      </c>
      <c r="AF12" s="61">
        <v>0.8545949074074074</v>
      </c>
      <c r="AH12" t="s">
        <v>795</v>
      </c>
      <c r="AI12" s="31">
        <v>45709</v>
      </c>
      <c r="AJ12" s="61">
        <v>0.5092592592592593</v>
      </c>
      <c r="AK12" t="s">
        <v>858</v>
      </c>
      <c r="AL12" t="s">
        <v>5348</v>
      </c>
      <c r="AN12" t="s">
        <v>876</v>
      </c>
      <c r="AP12" t="s">
        <v>876</v>
      </c>
      <c r="AR12" s="31"/>
      <c r="AX12">
        <v>1</v>
      </c>
    </row>
    <row r="13" spans="1:50" x14ac:dyDescent="0.3">
      <c r="A13" t="s">
        <v>44</v>
      </c>
      <c r="B13">
        <v>98</v>
      </c>
      <c r="C13">
        <v>156</v>
      </c>
      <c r="D13">
        <v>816</v>
      </c>
      <c r="G13" t="s">
        <v>882</v>
      </c>
      <c r="H13">
        <v>3921447000272</v>
      </c>
      <c r="I13" t="s">
        <v>627</v>
      </c>
      <c r="J13" t="s">
        <v>883</v>
      </c>
      <c r="K13" t="s">
        <v>884</v>
      </c>
      <c r="M13" t="s">
        <v>885</v>
      </c>
      <c r="Q13" t="s">
        <v>886</v>
      </c>
      <c r="R13" t="s">
        <v>790</v>
      </c>
      <c r="V13" t="s">
        <v>887</v>
      </c>
      <c r="W13" t="s">
        <v>780</v>
      </c>
      <c r="X13" t="s">
        <v>816</v>
      </c>
      <c r="Z13" s="31"/>
      <c r="AA13">
        <v>532332</v>
      </c>
      <c r="AB13">
        <v>292918</v>
      </c>
      <c r="AC13">
        <v>110</v>
      </c>
      <c r="AD13" t="s">
        <v>22</v>
      </c>
      <c r="AE13" s="31">
        <v>45627</v>
      </c>
      <c r="AF13" s="61">
        <v>0.8545949074074074</v>
      </c>
      <c r="AH13" t="s">
        <v>818</v>
      </c>
      <c r="AI13" s="31">
        <v>45737</v>
      </c>
      <c r="AJ13" s="61">
        <v>0.45113425925925932</v>
      </c>
      <c r="AN13" t="s">
        <v>888</v>
      </c>
      <c r="AP13" t="s">
        <v>889</v>
      </c>
      <c r="AQ13" t="s">
        <v>890</v>
      </c>
      <c r="AR13" s="31"/>
      <c r="AX13">
        <v>1</v>
      </c>
    </row>
    <row r="14" spans="1:50" x14ac:dyDescent="0.3">
      <c r="A14" t="s">
        <v>44</v>
      </c>
      <c r="B14">
        <v>99</v>
      </c>
      <c r="C14">
        <v>157</v>
      </c>
      <c r="D14">
        <v>818</v>
      </c>
      <c r="G14" t="s">
        <v>891</v>
      </c>
      <c r="H14">
        <v>55773964000164</v>
      </c>
      <c r="I14" t="s">
        <v>892</v>
      </c>
      <c r="J14" t="s">
        <v>844</v>
      </c>
      <c r="K14" t="s">
        <v>893</v>
      </c>
      <c r="M14" t="s">
        <v>894</v>
      </c>
      <c r="Q14" t="s">
        <v>895</v>
      </c>
      <c r="R14" t="s">
        <v>790</v>
      </c>
      <c r="V14" t="s">
        <v>896</v>
      </c>
      <c r="W14" t="s">
        <v>780</v>
      </c>
      <c r="X14" t="s">
        <v>897</v>
      </c>
      <c r="Z14" s="31"/>
      <c r="AC14">
        <v>11</v>
      </c>
      <c r="AD14" t="s">
        <v>22</v>
      </c>
      <c r="AE14" s="31">
        <v>45627</v>
      </c>
      <c r="AF14" s="61">
        <v>0.8545949074074074</v>
      </c>
      <c r="AH14" t="s">
        <v>795</v>
      </c>
      <c r="AI14" s="31">
        <v>45638</v>
      </c>
      <c r="AJ14" s="61">
        <v>0.41818287037037039</v>
      </c>
      <c r="AK14" t="s">
        <v>898</v>
      </c>
      <c r="AL14" t="s">
        <v>899</v>
      </c>
      <c r="AR14" s="31"/>
      <c r="AX14">
        <v>1</v>
      </c>
    </row>
    <row r="15" spans="1:50" x14ac:dyDescent="0.3">
      <c r="A15" t="s">
        <v>44</v>
      </c>
      <c r="B15">
        <v>100</v>
      </c>
      <c r="C15">
        <v>156</v>
      </c>
      <c r="D15">
        <v>816</v>
      </c>
      <c r="G15" t="s">
        <v>900</v>
      </c>
      <c r="H15">
        <v>3921447000272</v>
      </c>
      <c r="I15" t="s">
        <v>627</v>
      </c>
      <c r="J15" t="s">
        <v>883</v>
      </c>
      <c r="K15" t="s">
        <v>884</v>
      </c>
      <c r="M15" t="s">
        <v>885</v>
      </c>
      <c r="Q15" t="s">
        <v>886</v>
      </c>
      <c r="R15" t="s">
        <v>790</v>
      </c>
      <c r="V15" t="s">
        <v>901</v>
      </c>
      <c r="W15" t="s">
        <v>780</v>
      </c>
      <c r="X15" t="s">
        <v>816</v>
      </c>
      <c r="Z15" s="31"/>
      <c r="AA15">
        <v>1600</v>
      </c>
      <c r="AB15">
        <v>256119</v>
      </c>
      <c r="AC15">
        <v>110</v>
      </c>
      <c r="AD15" t="s">
        <v>22</v>
      </c>
      <c r="AE15" s="31">
        <v>45627</v>
      </c>
      <c r="AF15" s="61">
        <v>0.8545949074074074</v>
      </c>
      <c r="AH15" t="s">
        <v>795</v>
      </c>
      <c r="AI15" s="31">
        <v>45737</v>
      </c>
      <c r="AJ15" s="61">
        <v>0.43179398148148151</v>
      </c>
      <c r="AK15" t="s">
        <v>5338</v>
      </c>
      <c r="AL15" t="s">
        <v>5349</v>
      </c>
      <c r="AN15" t="s">
        <v>888</v>
      </c>
      <c r="AP15" t="s">
        <v>903</v>
      </c>
      <c r="AQ15" t="s">
        <v>890</v>
      </c>
      <c r="AR15" s="31"/>
      <c r="AX15">
        <v>1</v>
      </c>
    </row>
    <row r="16" spans="1:50" x14ac:dyDescent="0.3">
      <c r="A16" t="s">
        <v>44</v>
      </c>
      <c r="B16">
        <v>101</v>
      </c>
      <c r="C16">
        <v>158</v>
      </c>
      <c r="D16">
        <v>821</v>
      </c>
      <c r="G16" t="s">
        <v>904</v>
      </c>
      <c r="H16">
        <v>4207648000194</v>
      </c>
      <c r="I16" t="s">
        <v>905</v>
      </c>
      <c r="J16" t="s">
        <v>906</v>
      </c>
      <c r="K16" t="s">
        <v>907</v>
      </c>
      <c r="M16" t="s">
        <v>908</v>
      </c>
      <c r="Q16" t="s">
        <v>909</v>
      </c>
      <c r="R16" t="s">
        <v>790</v>
      </c>
      <c r="V16" t="s">
        <v>838</v>
      </c>
      <c r="W16" t="s">
        <v>780</v>
      </c>
      <c r="X16" t="s">
        <v>807</v>
      </c>
      <c r="Z16" s="31">
        <v>45688</v>
      </c>
      <c r="AA16">
        <v>3928</v>
      </c>
      <c r="AC16">
        <v>51</v>
      </c>
      <c r="AD16" t="s">
        <v>22</v>
      </c>
      <c r="AE16" s="31">
        <v>45627</v>
      </c>
      <c r="AF16" s="61">
        <v>0.8545949074074074</v>
      </c>
      <c r="AH16" t="s">
        <v>795</v>
      </c>
      <c r="AI16" s="31">
        <v>45678</v>
      </c>
      <c r="AJ16" s="61">
        <v>0.49775462962962957</v>
      </c>
      <c r="AK16" t="s">
        <v>5338</v>
      </c>
      <c r="AL16" t="s">
        <v>5339</v>
      </c>
      <c r="AM16" t="s">
        <v>910</v>
      </c>
      <c r="AN16" t="s">
        <v>911</v>
      </c>
      <c r="AO16" t="s">
        <v>594</v>
      </c>
      <c r="AP16" t="s">
        <v>911</v>
      </c>
      <c r="AR16" s="31"/>
      <c r="AX16">
        <v>1</v>
      </c>
    </row>
    <row r="17" spans="1:50" x14ac:dyDescent="0.3">
      <c r="A17" t="s">
        <v>44</v>
      </c>
      <c r="B17">
        <v>102</v>
      </c>
      <c r="C17">
        <v>159</v>
      </c>
      <c r="D17">
        <v>823</v>
      </c>
      <c r="G17" t="s">
        <v>5350</v>
      </c>
      <c r="H17">
        <v>43526090000161</v>
      </c>
      <c r="I17" t="s">
        <v>913</v>
      </c>
      <c r="J17" t="s">
        <v>914</v>
      </c>
      <c r="K17" t="s">
        <v>915</v>
      </c>
      <c r="M17" t="s">
        <v>916</v>
      </c>
      <c r="Q17" t="s">
        <v>909</v>
      </c>
      <c r="R17" t="s">
        <v>790</v>
      </c>
      <c r="V17" t="s">
        <v>896</v>
      </c>
      <c r="W17" t="s">
        <v>780</v>
      </c>
      <c r="X17" t="s">
        <v>816</v>
      </c>
      <c r="Z17" s="31">
        <v>45632</v>
      </c>
      <c r="AA17">
        <v>49012</v>
      </c>
      <c r="AC17">
        <v>18</v>
      </c>
      <c r="AD17" t="s">
        <v>22</v>
      </c>
      <c r="AE17" s="31">
        <v>45627</v>
      </c>
      <c r="AF17" s="61">
        <v>0.8545949074074074</v>
      </c>
      <c r="AH17" t="s">
        <v>818</v>
      </c>
      <c r="AI17" s="31">
        <v>45645</v>
      </c>
      <c r="AJ17" s="61">
        <v>0.61006944444444444</v>
      </c>
      <c r="AN17" t="s">
        <v>917</v>
      </c>
      <c r="AP17" t="s">
        <v>918</v>
      </c>
      <c r="AR17" s="31"/>
      <c r="AX17">
        <v>1</v>
      </c>
    </row>
    <row r="18" spans="1:50" x14ac:dyDescent="0.3">
      <c r="A18" t="s">
        <v>44</v>
      </c>
      <c r="B18">
        <v>103</v>
      </c>
      <c r="C18">
        <v>160</v>
      </c>
      <c r="D18">
        <v>825</v>
      </c>
      <c r="G18" t="s">
        <v>919</v>
      </c>
      <c r="H18">
        <v>4949701000122</v>
      </c>
      <c r="I18" t="s">
        <v>595</v>
      </c>
      <c r="J18" t="s">
        <v>920</v>
      </c>
      <c r="K18" t="s">
        <v>921</v>
      </c>
      <c r="M18" t="s">
        <v>922</v>
      </c>
      <c r="Q18" t="s">
        <v>923</v>
      </c>
      <c r="R18" t="s">
        <v>790</v>
      </c>
      <c r="V18" t="s">
        <v>875</v>
      </c>
      <c r="W18" t="s">
        <v>780</v>
      </c>
      <c r="X18" t="s">
        <v>816</v>
      </c>
      <c r="Y18" t="s">
        <v>817</v>
      </c>
      <c r="Z18" s="31">
        <v>45688</v>
      </c>
      <c r="AA18">
        <v>46854</v>
      </c>
      <c r="AB18">
        <v>348312</v>
      </c>
      <c r="AC18">
        <v>54</v>
      </c>
      <c r="AD18" t="s">
        <v>22</v>
      </c>
      <c r="AE18" s="31">
        <v>45627</v>
      </c>
      <c r="AF18" s="61">
        <v>0.8545949074074074</v>
      </c>
      <c r="AH18" t="s">
        <v>818</v>
      </c>
      <c r="AI18" s="31">
        <v>45681</v>
      </c>
      <c r="AJ18" s="61">
        <v>0.50578703703703709</v>
      </c>
      <c r="AN18" t="s">
        <v>924</v>
      </c>
      <c r="AP18" t="s">
        <v>924</v>
      </c>
      <c r="AQ18" t="s">
        <v>925</v>
      </c>
      <c r="AR18" s="31"/>
      <c r="AX18">
        <v>1</v>
      </c>
    </row>
    <row r="19" spans="1:50" x14ac:dyDescent="0.3">
      <c r="A19" t="s">
        <v>44</v>
      </c>
      <c r="B19">
        <v>104</v>
      </c>
      <c r="C19">
        <v>161</v>
      </c>
      <c r="D19">
        <v>843</v>
      </c>
      <c r="G19" t="s">
        <v>926</v>
      </c>
      <c r="H19">
        <v>2609426000172</v>
      </c>
      <c r="I19" t="s">
        <v>927</v>
      </c>
      <c r="J19" t="s">
        <v>928</v>
      </c>
      <c r="K19" t="s">
        <v>929</v>
      </c>
      <c r="M19" t="s">
        <v>930</v>
      </c>
      <c r="Q19" t="s">
        <v>931</v>
      </c>
      <c r="R19" t="s">
        <v>932</v>
      </c>
      <c r="S19" t="s">
        <v>933</v>
      </c>
      <c r="V19" t="s">
        <v>896</v>
      </c>
      <c r="W19" t="s">
        <v>780</v>
      </c>
      <c r="X19" t="s">
        <v>807</v>
      </c>
      <c r="Z19" s="31"/>
      <c r="AC19">
        <v>120</v>
      </c>
      <c r="AD19" t="s">
        <v>22</v>
      </c>
      <c r="AE19" s="31">
        <v>45627</v>
      </c>
      <c r="AF19" s="61">
        <v>0.8545949074074074</v>
      </c>
      <c r="AH19" t="s">
        <v>795</v>
      </c>
      <c r="AI19" s="31">
        <v>45747</v>
      </c>
      <c r="AJ19" s="61">
        <v>0.6567708333333333</v>
      </c>
      <c r="AK19" t="s">
        <v>934</v>
      </c>
      <c r="AL19" t="s">
        <v>5351</v>
      </c>
      <c r="AN19" t="s">
        <v>936</v>
      </c>
      <c r="AP19" t="s">
        <v>937</v>
      </c>
      <c r="AR19" s="31"/>
      <c r="AX19">
        <v>1</v>
      </c>
    </row>
    <row r="20" spans="1:50" x14ac:dyDescent="0.3">
      <c r="A20" t="s">
        <v>44</v>
      </c>
      <c r="B20">
        <v>105</v>
      </c>
      <c r="C20">
        <v>162</v>
      </c>
      <c r="D20">
        <v>829</v>
      </c>
      <c r="G20" t="s">
        <v>938</v>
      </c>
      <c r="H20">
        <v>17545517000169</v>
      </c>
      <c r="I20" t="s">
        <v>939</v>
      </c>
      <c r="J20" t="s">
        <v>940</v>
      </c>
      <c r="K20" t="s">
        <v>941</v>
      </c>
      <c r="M20" t="s">
        <v>942</v>
      </c>
      <c r="Q20" t="s">
        <v>943</v>
      </c>
      <c r="R20" t="s">
        <v>790</v>
      </c>
      <c r="V20" t="s">
        <v>944</v>
      </c>
      <c r="W20" t="s">
        <v>780</v>
      </c>
      <c r="X20" t="s">
        <v>807</v>
      </c>
      <c r="Z20" s="31"/>
      <c r="AC20">
        <v>58</v>
      </c>
      <c r="AD20" t="s">
        <v>22</v>
      </c>
      <c r="AE20" s="31">
        <v>45627</v>
      </c>
      <c r="AF20" s="61">
        <v>0.8545949074074074</v>
      </c>
      <c r="AH20" t="s">
        <v>795</v>
      </c>
      <c r="AI20" s="31">
        <v>45685</v>
      </c>
      <c r="AJ20" s="61">
        <v>0.6466898148148148</v>
      </c>
      <c r="AK20" t="s">
        <v>5338</v>
      </c>
      <c r="AL20" t="s">
        <v>5339</v>
      </c>
      <c r="AM20" t="s">
        <v>945</v>
      </c>
      <c r="AN20" t="s">
        <v>946</v>
      </c>
      <c r="AO20" t="s">
        <v>594</v>
      </c>
      <c r="AP20" t="s">
        <v>947</v>
      </c>
      <c r="AR20" s="31"/>
      <c r="AX20">
        <v>1</v>
      </c>
    </row>
    <row r="21" spans="1:50" x14ac:dyDescent="0.3">
      <c r="A21" t="s">
        <v>44</v>
      </c>
      <c r="B21">
        <v>106</v>
      </c>
      <c r="C21">
        <v>162</v>
      </c>
      <c r="D21">
        <v>829</v>
      </c>
      <c r="G21" t="s">
        <v>948</v>
      </c>
      <c r="H21">
        <v>17545517000169</v>
      </c>
      <c r="I21" t="s">
        <v>939</v>
      </c>
      <c r="J21" t="s">
        <v>940</v>
      </c>
      <c r="K21" t="s">
        <v>941</v>
      </c>
      <c r="M21" t="s">
        <v>942</v>
      </c>
      <c r="Q21" t="s">
        <v>943</v>
      </c>
      <c r="R21" t="s">
        <v>790</v>
      </c>
      <c r="V21" t="s">
        <v>949</v>
      </c>
      <c r="W21" t="s">
        <v>780</v>
      </c>
      <c r="X21" t="s">
        <v>807</v>
      </c>
      <c r="Z21" s="31"/>
      <c r="AC21">
        <v>58</v>
      </c>
      <c r="AD21" t="s">
        <v>22</v>
      </c>
      <c r="AE21" s="31">
        <v>45627</v>
      </c>
      <c r="AF21" s="61">
        <v>0.8545949074074074</v>
      </c>
      <c r="AH21" t="s">
        <v>795</v>
      </c>
      <c r="AI21" s="31">
        <v>45685</v>
      </c>
      <c r="AJ21" s="61">
        <v>0.64710648148148153</v>
      </c>
      <c r="AK21" t="s">
        <v>5338</v>
      </c>
      <c r="AL21" t="s">
        <v>5339</v>
      </c>
      <c r="AM21" t="s">
        <v>945</v>
      </c>
      <c r="AN21" t="s">
        <v>946</v>
      </c>
      <c r="AO21" t="s">
        <v>594</v>
      </c>
      <c r="AP21" t="s">
        <v>947</v>
      </c>
      <c r="AR21" s="31"/>
      <c r="AX21">
        <v>1</v>
      </c>
    </row>
    <row r="22" spans="1:50" x14ac:dyDescent="0.3">
      <c r="A22" t="s">
        <v>44</v>
      </c>
      <c r="B22">
        <v>107</v>
      </c>
      <c r="C22">
        <v>163</v>
      </c>
      <c r="D22">
        <v>832</v>
      </c>
      <c r="G22" t="s">
        <v>950</v>
      </c>
      <c r="H22">
        <v>5861238000125</v>
      </c>
      <c r="I22" t="s">
        <v>951</v>
      </c>
      <c r="J22" t="s">
        <v>952</v>
      </c>
      <c r="K22" t="s">
        <v>953</v>
      </c>
      <c r="M22" t="s">
        <v>954</v>
      </c>
      <c r="Q22" t="s">
        <v>955</v>
      </c>
      <c r="R22" t="s">
        <v>956</v>
      </c>
      <c r="V22" t="s">
        <v>591</v>
      </c>
      <c r="W22" t="s">
        <v>780</v>
      </c>
      <c r="X22" t="s">
        <v>807</v>
      </c>
      <c r="Z22" s="31"/>
      <c r="AC22">
        <v>58</v>
      </c>
      <c r="AD22" t="s">
        <v>22</v>
      </c>
      <c r="AE22" s="31">
        <v>45627</v>
      </c>
      <c r="AF22" s="61">
        <v>0.8545949074074074</v>
      </c>
      <c r="AH22" t="s">
        <v>795</v>
      </c>
      <c r="AI22" s="31">
        <v>45685</v>
      </c>
      <c r="AJ22" s="61">
        <v>0.64769675925925929</v>
      </c>
      <c r="AK22" t="s">
        <v>934</v>
      </c>
      <c r="AN22" t="s">
        <v>957</v>
      </c>
      <c r="AP22" t="s">
        <v>957</v>
      </c>
      <c r="AR22" s="31"/>
      <c r="AX22">
        <v>1</v>
      </c>
    </row>
    <row r="23" spans="1:50" x14ac:dyDescent="0.3">
      <c r="A23" t="s">
        <v>44</v>
      </c>
      <c r="B23">
        <v>108</v>
      </c>
      <c r="C23">
        <v>160</v>
      </c>
      <c r="D23">
        <v>825</v>
      </c>
      <c r="G23" t="s">
        <v>958</v>
      </c>
      <c r="H23">
        <v>4949701000122</v>
      </c>
      <c r="I23" t="s">
        <v>595</v>
      </c>
      <c r="J23" t="s">
        <v>920</v>
      </c>
      <c r="K23" t="s">
        <v>921</v>
      </c>
      <c r="M23" t="s">
        <v>922</v>
      </c>
      <c r="Q23" t="s">
        <v>923</v>
      </c>
      <c r="R23" t="s">
        <v>790</v>
      </c>
      <c r="V23" t="s">
        <v>880</v>
      </c>
      <c r="W23" t="s">
        <v>780</v>
      </c>
      <c r="X23" t="s">
        <v>816</v>
      </c>
      <c r="Y23" t="s">
        <v>959</v>
      </c>
      <c r="Z23" s="31">
        <v>45688</v>
      </c>
      <c r="AA23">
        <v>1600</v>
      </c>
      <c r="AB23">
        <v>224819</v>
      </c>
      <c r="AC23">
        <v>60</v>
      </c>
      <c r="AD23" t="s">
        <v>22</v>
      </c>
      <c r="AE23" s="31">
        <v>45627</v>
      </c>
      <c r="AF23" s="61">
        <v>0.8545949074074074</v>
      </c>
      <c r="AH23" t="s">
        <v>818</v>
      </c>
      <c r="AI23" s="31">
        <v>45687</v>
      </c>
      <c r="AJ23" s="61">
        <v>0.39712962962962961</v>
      </c>
      <c r="AN23" t="s">
        <v>960</v>
      </c>
      <c r="AP23" t="s">
        <v>961</v>
      </c>
      <c r="AQ23" t="s">
        <v>925</v>
      </c>
      <c r="AR23" s="31"/>
      <c r="AX23">
        <v>1</v>
      </c>
    </row>
    <row r="24" spans="1:50" x14ac:dyDescent="0.3">
      <c r="A24" t="s">
        <v>44</v>
      </c>
      <c r="B24">
        <v>109</v>
      </c>
      <c r="C24">
        <v>164</v>
      </c>
      <c r="D24">
        <v>835</v>
      </c>
      <c r="G24" t="s">
        <v>962</v>
      </c>
      <c r="H24">
        <v>2531826000102</v>
      </c>
      <c r="I24" t="s">
        <v>963</v>
      </c>
      <c r="J24" t="s">
        <v>964</v>
      </c>
      <c r="K24" t="s">
        <v>965</v>
      </c>
      <c r="M24" t="s">
        <v>966</v>
      </c>
      <c r="Q24" t="s">
        <v>873</v>
      </c>
      <c r="R24" t="s">
        <v>874</v>
      </c>
      <c r="V24" t="s">
        <v>896</v>
      </c>
      <c r="W24" t="s">
        <v>780</v>
      </c>
      <c r="X24" t="s">
        <v>857</v>
      </c>
      <c r="Z24" s="31"/>
      <c r="AC24">
        <v>18</v>
      </c>
      <c r="AD24" t="s">
        <v>22</v>
      </c>
      <c r="AE24" s="31">
        <v>45627</v>
      </c>
      <c r="AF24" s="61">
        <v>0.8545949074074074</v>
      </c>
      <c r="AH24" t="s">
        <v>795</v>
      </c>
      <c r="AI24" s="31">
        <v>45645</v>
      </c>
      <c r="AJ24" s="61">
        <v>0.63103009259259257</v>
      </c>
      <c r="AK24" t="s">
        <v>898</v>
      </c>
      <c r="AL24" t="s">
        <v>5352</v>
      </c>
      <c r="AN24" t="s">
        <v>799</v>
      </c>
      <c r="AP24" t="s">
        <v>798</v>
      </c>
      <c r="AR24" s="31"/>
      <c r="AX24">
        <v>1</v>
      </c>
    </row>
    <row r="25" spans="1:50" x14ac:dyDescent="0.3">
      <c r="A25" t="s">
        <v>44</v>
      </c>
      <c r="B25">
        <v>110</v>
      </c>
      <c r="C25">
        <v>165</v>
      </c>
      <c r="D25">
        <v>836</v>
      </c>
      <c r="G25" t="s">
        <v>968</v>
      </c>
      <c r="H25">
        <v>29341068000116</v>
      </c>
      <c r="I25" t="s">
        <v>969</v>
      </c>
      <c r="J25" t="s">
        <v>969</v>
      </c>
      <c r="K25" t="s">
        <v>970</v>
      </c>
      <c r="M25" t="s">
        <v>971</v>
      </c>
      <c r="Q25" t="s">
        <v>972</v>
      </c>
      <c r="R25" t="s">
        <v>973</v>
      </c>
      <c r="V25" t="s">
        <v>896</v>
      </c>
      <c r="W25" t="s">
        <v>780</v>
      </c>
      <c r="X25" t="s">
        <v>793</v>
      </c>
      <c r="Z25" s="31"/>
      <c r="AC25">
        <v>57</v>
      </c>
      <c r="AD25" t="s">
        <v>22</v>
      </c>
      <c r="AE25" s="31">
        <v>45627</v>
      </c>
      <c r="AF25" s="61">
        <v>0.8545949074074074</v>
      </c>
      <c r="AH25" t="s">
        <v>795</v>
      </c>
      <c r="AI25" s="31">
        <v>45684</v>
      </c>
      <c r="AJ25" s="61">
        <v>0.4944560185185185</v>
      </c>
      <c r="AK25" t="s">
        <v>5353</v>
      </c>
      <c r="AL25" t="s">
        <v>5354</v>
      </c>
      <c r="AN25" t="s">
        <v>799</v>
      </c>
      <c r="AP25" t="s">
        <v>798</v>
      </c>
      <c r="AR25" s="31"/>
      <c r="AX25">
        <v>1</v>
      </c>
    </row>
    <row r="26" spans="1:50" x14ac:dyDescent="0.3">
      <c r="A26" t="s">
        <v>44</v>
      </c>
      <c r="B26">
        <v>111</v>
      </c>
      <c r="C26">
        <v>165</v>
      </c>
      <c r="D26">
        <v>837</v>
      </c>
      <c r="G26" t="s">
        <v>976</v>
      </c>
      <c r="H26">
        <v>29341068000116</v>
      </c>
      <c r="I26" t="s">
        <v>969</v>
      </c>
      <c r="J26" t="s">
        <v>977</v>
      </c>
      <c r="K26" t="s">
        <v>970</v>
      </c>
      <c r="M26" t="s">
        <v>971</v>
      </c>
      <c r="Q26" t="s">
        <v>972</v>
      </c>
      <c r="R26" t="s">
        <v>973</v>
      </c>
      <c r="V26" t="s">
        <v>901</v>
      </c>
      <c r="W26" t="s">
        <v>780</v>
      </c>
      <c r="X26" t="s">
        <v>793</v>
      </c>
      <c r="Z26" s="31"/>
      <c r="AC26">
        <v>57</v>
      </c>
      <c r="AD26" t="s">
        <v>22</v>
      </c>
      <c r="AE26" s="31">
        <v>45627</v>
      </c>
      <c r="AF26" s="61">
        <v>0.8545949074074074</v>
      </c>
      <c r="AH26" t="s">
        <v>795</v>
      </c>
      <c r="AI26" s="31">
        <v>45684</v>
      </c>
      <c r="AJ26" s="61">
        <v>0.49512731481481481</v>
      </c>
      <c r="AK26" t="s">
        <v>5353</v>
      </c>
      <c r="AL26" t="s">
        <v>5354</v>
      </c>
      <c r="AN26" t="s">
        <v>799</v>
      </c>
      <c r="AP26" t="s">
        <v>798</v>
      </c>
      <c r="AR26" s="31"/>
      <c r="AX26">
        <v>1</v>
      </c>
    </row>
    <row r="27" spans="1:50" x14ac:dyDescent="0.3">
      <c r="A27" t="s">
        <v>44</v>
      </c>
      <c r="B27">
        <v>113</v>
      </c>
      <c r="C27">
        <v>167</v>
      </c>
      <c r="D27">
        <v>842</v>
      </c>
      <c r="G27" t="s">
        <v>978</v>
      </c>
      <c r="H27">
        <v>7973104000121</v>
      </c>
      <c r="I27" t="s">
        <v>979</v>
      </c>
      <c r="J27" t="s">
        <v>980</v>
      </c>
      <c r="K27" t="s">
        <v>981</v>
      </c>
      <c r="M27" t="s">
        <v>982</v>
      </c>
      <c r="Q27" t="s">
        <v>983</v>
      </c>
      <c r="R27" t="s">
        <v>932</v>
      </c>
      <c r="V27" t="s">
        <v>984</v>
      </c>
      <c r="W27" t="s">
        <v>780</v>
      </c>
      <c r="X27" t="s">
        <v>807</v>
      </c>
      <c r="Z27" s="31"/>
      <c r="AC27">
        <v>81</v>
      </c>
      <c r="AD27" t="s">
        <v>22</v>
      </c>
      <c r="AE27" s="31">
        <v>45627</v>
      </c>
      <c r="AF27" s="61">
        <v>0.85460648148148144</v>
      </c>
      <c r="AH27" t="s">
        <v>795</v>
      </c>
      <c r="AI27" s="31">
        <v>45708</v>
      </c>
      <c r="AJ27" s="61">
        <v>0.47692129629629632</v>
      </c>
      <c r="AK27" t="s">
        <v>5338</v>
      </c>
      <c r="AL27" t="s">
        <v>5355</v>
      </c>
      <c r="AN27" t="s">
        <v>986</v>
      </c>
      <c r="AR27" s="31"/>
      <c r="AX27">
        <v>1</v>
      </c>
    </row>
    <row r="28" spans="1:50" x14ac:dyDescent="0.3">
      <c r="A28" t="s">
        <v>44</v>
      </c>
      <c r="B28">
        <v>114</v>
      </c>
      <c r="C28">
        <v>161</v>
      </c>
      <c r="D28">
        <v>827</v>
      </c>
      <c r="G28" t="s">
        <v>987</v>
      </c>
      <c r="H28">
        <v>2609426000172</v>
      </c>
      <c r="I28" t="s">
        <v>927</v>
      </c>
      <c r="J28" t="s">
        <v>928</v>
      </c>
      <c r="K28" t="s">
        <v>929</v>
      </c>
      <c r="M28" t="s">
        <v>930</v>
      </c>
      <c r="Q28" t="s">
        <v>931</v>
      </c>
      <c r="R28" t="s">
        <v>932</v>
      </c>
      <c r="S28" t="s">
        <v>933</v>
      </c>
      <c r="V28" t="s">
        <v>901</v>
      </c>
      <c r="W28" t="s">
        <v>780</v>
      </c>
      <c r="X28" t="s">
        <v>807</v>
      </c>
      <c r="Z28" s="31"/>
      <c r="AC28">
        <v>120</v>
      </c>
      <c r="AD28" t="s">
        <v>22</v>
      </c>
      <c r="AE28" s="31">
        <v>45627</v>
      </c>
      <c r="AF28" s="61">
        <v>0.85460648148148144</v>
      </c>
      <c r="AH28" t="s">
        <v>795</v>
      </c>
      <c r="AI28" s="31">
        <v>45747</v>
      </c>
      <c r="AJ28" s="61">
        <v>0.65732638888888884</v>
      </c>
      <c r="AK28" t="s">
        <v>934</v>
      </c>
      <c r="AL28" t="s">
        <v>5356</v>
      </c>
      <c r="AN28" t="s">
        <v>936</v>
      </c>
      <c r="AP28" t="s">
        <v>937</v>
      </c>
      <c r="AR28" s="31"/>
      <c r="AX28">
        <v>1</v>
      </c>
    </row>
    <row r="29" spans="1:50" x14ac:dyDescent="0.3">
      <c r="A29" t="s">
        <v>44</v>
      </c>
      <c r="B29">
        <v>116</v>
      </c>
      <c r="D29">
        <v>847</v>
      </c>
      <c r="G29" t="s">
        <v>989</v>
      </c>
      <c r="H29">
        <v>58151616000143</v>
      </c>
      <c r="J29" t="s">
        <v>990</v>
      </c>
      <c r="K29" t="s">
        <v>991</v>
      </c>
      <c r="M29" t="s">
        <v>992</v>
      </c>
      <c r="Q29" t="s">
        <v>993</v>
      </c>
      <c r="R29" t="s">
        <v>932</v>
      </c>
      <c r="V29" t="s">
        <v>994</v>
      </c>
      <c r="W29" t="s">
        <v>780</v>
      </c>
      <c r="X29" t="s">
        <v>816</v>
      </c>
      <c r="Y29" t="s">
        <v>995</v>
      </c>
      <c r="Z29" s="31">
        <v>45688</v>
      </c>
      <c r="AA29">
        <v>4736912</v>
      </c>
      <c r="AB29">
        <v>98326</v>
      </c>
      <c r="AC29">
        <v>53</v>
      </c>
      <c r="AD29" t="s">
        <v>44</v>
      </c>
      <c r="AE29" s="31">
        <v>45628</v>
      </c>
      <c r="AF29" s="61">
        <v>0.39987268518518521</v>
      </c>
      <c r="AH29" t="s">
        <v>818</v>
      </c>
      <c r="AI29" s="31">
        <v>45681</v>
      </c>
      <c r="AJ29" s="61">
        <v>0.47471064814814817</v>
      </c>
      <c r="AN29" t="s">
        <v>996</v>
      </c>
      <c r="AO29" t="s">
        <v>44</v>
      </c>
      <c r="AP29" t="s">
        <v>997</v>
      </c>
      <c r="AR29" s="31"/>
      <c r="AX29">
        <v>1</v>
      </c>
    </row>
    <row r="30" spans="1:50" x14ac:dyDescent="0.3">
      <c r="A30" t="s">
        <v>44</v>
      </c>
      <c r="B30">
        <v>118</v>
      </c>
      <c r="D30">
        <v>851</v>
      </c>
      <c r="G30" t="s">
        <v>998</v>
      </c>
      <c r="H30">
        <v>64582232000188</v>
      </c>
      <c r="J30" t="s">
        <v>999</v>
      </c>
      <c r="K30" t="s">
        <v>1000</v>
      </c>
      <c r="M30" t="s">
        <v>1001</v>
      </c>
      <c r="W30" t="s">
        <v>780</v>
      </c>
      <c r="X30" t="s">
        <v>807</v>
      </c>
      <c r="Z30" s="31">
        <v>45688</v>
      </c>
      <c r="AA30">
        <v>202945</v>
      </c>
      <c r="AC30">
        <v>64</v>
      </c>
      <c r="AD30" t="s">
        <v>44</v>
      </c>
      <c r="AE30" s="31">
        <v>45630</v>
      </c>
      <c r="AF30" s="61">
        <v>0.49253472222222222</v>
      </c>
      <c r="AH30" t="s">
        <v>795</v>
      </c>
      <c r="AI30" s="31">
        <v>45694</v>
      </c>
      <c r="AJ30" s="61">
        <v>0.66188657407407403</v>
      </c>
      <c r="AK30" t="s">
        <v>858</v>
      </c>
      <c r="AL30" t="s">
        <v>5357</v>
      </c>
      <c r="AM30" t="s">
        <v>830</v>
      </c>
      <c r="AN30" t="s">
        <v>1003</v>
      </c>
      <c r="AO30" t="s">
        <v>44</v>
      </c>
      <c r="AP30" t="s">
        <v>996</v>
      </c>
      <c r="AR30" s="31"/>
      <c r="AX30">
        <v>1</v>
      </c>
    </row>
    <row r="31" spans="1:50" x14ac:dyDescent="0.3">
      <c r="A31" t="s">
        <v>44</v>
      </c>
      <c r="B31">
        <v>122</v>
      </c>
      <c r="D31">
        <v>855</v>
      </c>
      <c r="E31" t="s">
        <v>1004</v>
      </c>
      <c r="G31" t="s">
        <v>1005</v>
      </c>
      <c r="H31">
        <v>8520654000158</v>
      </c>
      <c r="J31" t="s">
        <v>1006</v>
      </c>
      <c r="K31" t="s">
        <v>1007</v>
      </c>
      <c r="M31" t="s">
        <v>1008</v>
      </c>
      <c r="S31" t="s">
        <v>791</v>
      </c>
      <c r="V31" t="s">
        <v>5358</v>
      </c>
      <c r="W31" t="s">
        <v>780</v>
      </c>
      <c r="X31" t="s">
        <v>816</v>
      </c>
      <c r="Y31" t="s">
        <v>817</v>
      </c>
      <c r="Z31" s="31">
        <v>46112</v>
      </c>
      <c r="AA31">
        <v>4519984</v>
      </c>
      <c r="AB31">
        <v>522464</v>
      </c>
      <c r="AC31">
        <v>512</v>
      </c>
      <c r="AD31" t="s">
        <v>594</v>
      </c>
      <c r="AE31" s="31">
        <v>45630</v>
      </c>
      <c r="AF31" s="61">
        <v>0.61173611111111115</v>
      </c>
      <c r="AH31" t="s">
        <v>818</v>
      </c>
      <c r="AI31" s="31">
        <v>46142</v>
      </c>
      <c r="AJ31" s="61">
        <v>0.60101851851851851</v>
      </c>
      <c r="AM31" t="s">
        <v>997</v>
      </c>
      <c r="AN31" t="s">
        <v>1010</v>
      </c>
      <c r="AO31" t="s">
        <v>44</v>
      </c>
      <c r="AP31" t="s">
        <v>1011</v>
      </c>
      <c r="AQ31" t="s">
        <v>1010</v>
      </c>
      <c r="AR31" s="31">
        <v>46049</v>
      </c>
      <c r="AS31">
        <v>80</v>
      </c>
      <c r="AX31">
        <v>1</v>
      </c>
    </row>
    <row r="32" spans="1:50" x14ac:dyDescent="0.3">
      <c r="A32" t="s">
        <v>44</v>
      </c>
      <c r="B32">
        <v>125</v>
      </c>
      <c r="D32">
        <v>860</v>
      </c>
      <c r="G32" t="s">
        <v>5359</v>
      </c>
      <c r="J32" t="s">
        <v>5360</v>
      </c>
      <c r="K32" t="s">
        <v>991</v>
      </c>
      <c r="M32" t="s">
        <v>992</v>
      </c>
      <c r="V32" t="s">
        <v>994</v>
      </c>
      <c r="W32" t="s">
        <v>780</v>
      </c>
      <c r="X32" t="s">
        <v>816</v>
      </c>
      <c r="Z32" s="31">
        <v>45688</v>
      </c>
      <c r="AA32">
        <v>1600</v>
      </c>
      <c r="AB32">
        <v>157626</v>
      </c>
      <c r="AC32">
        <v>49</v>
      </c>
      <c r="AD32" t="s">
        <v>44</v>
      </c>
      <c r="AE32" s="31">
        <v>45632</v>
      </c>
      <c r="AF32" s="61">
        <v>0.68636574074074075</v>
      </c>
      <c r="AH32" t="s">
        <v>818</v>
      </c>
      <c r="AI32" s="31">
        <v>45681</v>
      </c>
      <c r="AJ32" s="61">
        <v>0.48759259259259258</v>
      </c>
      <c r="AN32" t="s">
        <v>996</v>
      </c>
      <c r="AP32" t="s">
        <v>829</v>
      </c>
      <c r="AR32" s="31"/>
      <c r="AX32">
        <v>1</v>
      </c>
    </row>
    <row r="33" spans="1:50" x14ac:dyDescent="0.3">
      <c r="A33" t="s">
        <v>44</v>
      </c>
      <c r="B33">
        <v>127</v>
      </c>
      <c r="D33">
        <v>981</v>
      </c>
      <c r="G33" t="s">
        <v>1015</v>
      </c>
      <c r="H33">
        <v>48885921000105</v>
      </c>
      <c r="J33" t="s">
        <v>1016</v>
      </c>
      <c r="K33" t="s">
        <v>1017</v>
      </c>
      <c r="M33" t="s">
        <v>1018</v>
      </c>
      <c r="S33" t="s">
        <v>791</v>
      </c>
      <c r="W33" t="s">
        <v>780</v>
      </c>
      <c r="X33" t="s">
        <v>816</v>
      </c>
      <c r="Z33" s="31">
        <v>45657</v>
      </c>
      <c r="AA33">
        <v>450</v>
      </c>
      <c r="AC33">
        <v>2</v>
      </c>
      <c r="AD33" t="s">
        <v>44</v>
      </c>
      <c r="AE33" s="31">
        <v>45636</v>
      </c>
      <c r="AF33" s="61">
        <v>0.44290509259259259</v>
      </c>
      <c r="AH33" t="s">
        <v>818</v>
      </c>
      <c r="AI33" s="31">
        <v>45638</v>
      </c>
      <c r="AJ33" s="61">
        <v>0.67709490740740741</v>
      </c>
      <c r="AM33" t="s">
        <v>1019</v>
      </c>
      <c r="AN33" t="s">
        <v>1020</v>
      </c>
      <c r="AO33" t="s">
        <v>44</v>
      </c>
      <c r="AP33" t="s">
        <v>996</v>
      </c>
      <c r="AQ33" t="s">
        <v>1021</v>
      </c>
      <c r="AR33" s="31"/>
      <c r="AX33">
        <v>1</v>
      </c>
    </row>
    <row r="34" spans="1:50" x14ac:dyDescent="0.3">
      <c r="A34" t="s">
        <v>44</v>
      </c>
      <c r="B34">
        <v>130</v>
      </c>
      <c r="D34">
        <v>987</v>
      </c>
      <c r="G34" t="s">
        <v>1022</v>
      </c>
      <c r="H34">
        <v>5691820000190</v>
      </c>
      <c r="J34" t="s">
        <v>57</v>
      </c>
      <c r="K34" t="s">
        <v>1024</v>
      </c>
      <c r="M34" t="s">
        <v>1025</v>
      </c>
      <c r="Q34" t="s">
        <v>1026</v>
      </c>
      <c r="R34" t="s">
        <v>1027</v>
      </c>
      <c r="V34" t="s">
        <v>994</v>
      </c>
      <c r="W34" t="s">
        <v>780</v>
      </c>
      <c r="X34" t="s">
        <v>816</v>
      </c>
      <c r="Z34" s="31">
        <v>45688</v>
      </c>
      <c r="AA34">
        <v>0</v>
      </c>
      <c r="AB34">
        <v>3564</v>
      </c>
      <c r="AC34">
        <v>43</v>
      </c>
      <c r="AD34" t="s">
        <v>44</v>
      </c>
      <c r="AE34" s="31">
        <v>45638</v>
      </c>
      <c r="AF34" s="61">
        <v>0.38504629629629628</v>
      </c>
      <c r="AH34" t="s">
        <v>818</v>
      </c>
      <c r="AI34" s="31">
        <v>45681</v>
      </c>
      <c r="AJ34" s="61">
        <v>0.46354166666666669</v>
      </c>
      <c r="AM34" t="s">
        <v>821</v>
      </c>
      <c r="AN34" t="s">
        <v>821</v>
      </c>
      <c r="AO34" t="s">
        <v>44</v>
      </c>
      <c r="AP34" t="s">
        <v>821</v>
      </c>
      <c r="AR34" s="31"/>
      <c r="AX34">
        <v>1</v>
      </c>
    </row>
    <row r="35" spans="1:50" x14ac:dyDescent="0.3">
      <c r="A35" t="s">
        <v>44</v>
      </c>
      <c r="B35">
        <v>131</v>
      </c>
      <c r="D35">
        <v>990</v>
      </c>
      <c r="G35" t="s">
        <v>1028</v>
      </c>
      <c r="J35" t="s">
        <v>1029</v>
      </c>
      <c r="K35" t="s">
        <v>1030</v>
      </c>
      <c r="M35" t="s">
        <v>1031</v>
      </c>
      <c r="W35" t="s">
        <v>780</v>
      </c>
      <c r="X35" t="s">
        <v>857</v>
      </c>
      <c r="Z35" s="31"/>
      <c r="AA35">
        <v>37964</v>
      </c>
      <c r="AC35">
        <v>7</v>
      </c>
      <c r="AD35" t="s">
        <v>44</v>
      </c>
      <c r="AE35" s="31">
        <v>45638</v>
      </c>
      <c r="AF35" s="61">
        <v>0.45196759259259262</v>
      </c>
      <c r="AH35" t="s">
        <v>795</v>
      </c>
      <c r="AI35" s="31">
        <v>45645</v>
      </c>
      <c r="AJ35" s="61">
        <v>0.40232638888888889</v>
      </c>
      <c r="AK35" t="s">
        <v>5353</v>
      </c>
      <c r="AL35" t="s">
        <v>5361</v>
      </c>
      <c r="AN35" t="s">
        <v>1033</v>
      </c>
      <c r="AP35" t="s">
        <v>1021</v>
      </c>
      <c r="AQ35" t="s">
        <v>1033</v>
      </c>
      <c r="AR35" s="31"/>
      <c r="AX35">
        <v>1</v>
      </c>
    </row>
    <row r="36" spans="1:50" x14ac:dyDescent="0.3">
      <c r="A36" t="s">
        <v>44</v>
      </c>
      <c r="B36">
        <v>135</v>
      </c>
      <c r="D36">
        <v>996</v>
      </c>
      <c r="G36" t="s">
        <v>1034</v>
      </c>
      <c r="J36" t="s">
        <v>1035</v>
      </c>
      <c r="K36" t="s">
        <v>1036</v>
      </c>
      <c r="M36" t="s">
        <v>1037</v>
      </c>
      <c r="V36" t="s">
        <v>994</v>
      </c>
      <c r="W36" t="s">
        <v>780</v>
      </c>
      <c r="X36" t="s">
        <v>816</v>
      </c>
      <c r="Z36" s="31"/>
      <c r="AA36">
        <v>28832</v>
      </c>
      <c r="AB36">
        <v>110248</v>
      </c>
      <c r="AC36">
        <v>83</v>
      </c>
      <c r="AD36" t="s">
        <v>44</v>
      </c>
      <c r="AE36" s="31">
        <v>45638</v>
      </c>
      <c r="AF36" s="61">
        <v>0.72285879629629635</v>
      </c>
      <c r="AH36" t="s">
        <v>795</v>
      </c>
      <c r="AI36" s="31">
        <v>45721</v>
      </c>
      <c r="AJ36" s="61">
        <v>0.46725694444444438</v>
      </c>
      <c r="AK36" t="s">
        <v>5338</v>
      </c>
      <c r="AL36" t="s">
        <v>5362</v>
      </c>
      <c r="AN36" t="s">
        <v>1039</v>
      </c>
      <c r="AR36" s="31"/>
      <c r="AX36">
        <v>1</v>
      </c>
    </row>
    <row r="37" spans="1:50" x14ac:dyDescent="0.3">
      <c r="A37" t="s">
        <v>44</v>
      </c>
      <c r="B37">
        <v>138</v>
      </c>
      <c r="D37">
        <v>1103</v>
      </c>
      <c r="G37" t="s">
        <v>1040</v>
      </c>
      <c r="H37">
        <v>54734384000103</v>
      </c>
      <c r="J37" t="s">
        <v>607</v>
      </c>
      <c r="K37" t="s">
        <v>1042</v>
      </c>
      <c r="M37" t="s">
        <v>1043</v>
      </c>
      <c r="V37" t="s">
        <v>994</v>
      </c>
      <c r="W37" t="s">
        <v>780</v>
      </c>
      <c r="X37" t="s">
        <v>807</v>
      </c>
      <c r="Z37" s="31"/>
      <c r="AA37">
        <v>49588</v>
      </c>
      <c r="AC37">
        <v>23</v>
      </c>
      <c r="AD37" t="s">
        <v>44</v>
      </c>
      <c r="AE37" s="31">
        <v>45643</v>
      </c>
      <c r="AF37" s="61">
        <v>0.51571759259259264</v>
      </c>
      <c r="AH37" t="s">
        <v>795</v>
      </c>
      <c r="AI37" s="31">
        <v>45666</v>
      </c>
      <c r="AJ37" s="61">
        <v>0.6648263888888889</v>
      </c>
      <c r="AK37" t="s">
        <v>5338</v>
      </c>
      <c r="AL37" t="s">
        <v>5363</v>
      </c>
      <c r="AN37" t="s">
        <v>1045</v>
      </c>
      <c r="AP37" t="s">
        <v>1033</v>
      </c>
      <c r="AR37" s="31"/>
      <c r="AX37">
        <v>1</v>
      </c>
    </row>
    <row r="38" spans="1:50" x14ac:dyDescent="0.3">
      <c r="A38" t="s">
        <v>44</v>
      </c>
      <c r="B38">
        <v>139</v>
      </c>
      <c r="D38">
        <v>1113</v>
      </c>
      <c r="G38" t="s">
        <v>5364</v>
      </c>
      <c r="J38" t="s">
        <v>5365</v>
      </c>
      <c r="K38" t="s">
        <v>1048</v>
      </c>
      <c r="M38" t="s">
        <v>1049</v>
      </c>
      <c r="W38" t="s">
        <v>780</v>
      </c>
      <c r="X38" t="s">
        <v>793</v>
      </c>
      <c r="Z38" s="31">
        <v>45688</v>
      </c>
      <c r="AA38">
        <v>168592</v>
      </c>
      <c r="AB38">
        <v>6426</v>
      </c>
      <c r="AC38">
        <v>40</v>
      </c>
      <c r="AD38" t="s">
        <v>44</v>
      </c>
      <c r="AE38" s="31">
        <v>45645</v>
      </c>
      <c r="AF38" s="61">
        <v>0.40438657407407408</v>
      </c>
      <c r="AH38" t="s">
        <v>795</v>
      </c>
      <c r="AI38" s="31">
        <v>45685</v>
      </c>
      <c r="AJ38" s="61">
        <v>0.60306712962962961</v>
      </c>
      <c r="AK38" t="s">
        <v>934</v>
      </c>
      <c r="AL38" t="s">
        <v>5366</v>
      </c>
      <c r="AM38" t="s">
        <v>1003</v>
      </c>
      <c r="AN38" t="s">
        <v>1003</v>
      </c>
      <c r="AP38" t="s">
        <v>1003</v>
      </c>
      <c r="AR38" s="31"/>
      <c r="AX38">
        <v>1</v>
      </c>
    </row>
    <row r="39" spans="1:50" x14ac:dyDescent="0.3">
      <c r="A39" t="s">
        <v>44</v>
      </c>
      <c r="B39">
        <v>140</v>
      </c>
      <c r="D39">
        <v>1114</v>
      </c>
      <c r="G39" t="s">
        <v>1051</v>
      </c>
      <c r="J39" t="s">
        <v>1061</v>
      </c>
      <c r="K39" t="s">
        <v>1042</v>
      </c>
      <c r="M39" t="s">
        <v>1043</v>
      </c>
      <c r="W39" t="s">
        <v>780</v>
      </c>
      <c r="X39" t="s">
        <v>816</v>
      </c>
      <c r="Y39" t="s">
        <v>995</v>
      </c>
      <c r="Z39" s="31">
        <v>45688</v>
      </c>
      <c r="AA39">
        <v>4587892</v>
      </c>
      <c r="AB39">
        <v>628168</v>
      </c>
      <c r="AC39">
        <v>36</v>
      </c>
      <c r="AD39" t="s">
        <v>44</v>
      </c>
      <c r="AE39" s="31">
        <v>45645</v>
      </c>
      <c r="AF39" s="61">
        <v>0.41775462962962961</v>
      </c>
      <c r="AH39" t="s">
        <v>818</v>
      </c>
      <c r="AI39" s="31">
        <v>45681</v>
      </c>
      <c r="AJ39" s="61">
        <v>0.51848379629629626</v>
      </c>
      <c r="AN39" t="s">
        <v>1053</v>
      </c>
      <c r="AP39" t="s">
        <v>1054</v>
      </c>
      <c r="AQ39" t="s">
        <v>1055</v>
      </c>
      <c r="AR39" s="31"/>
      <c r="AX39">
        <v>1</v>
      </c>
    </row>
    <row r="40" spans="1:50" x14ac:dyDescent="0.3">
      <c r="A40" t="s">
        <v>44</v>
      </c>
      <c r="B40">
        <v>141</v>
      </c>
      <c r="C40">
        <v>159</v>
      </c>
      <c r="D40">
        <v>1115</v>
      </c>
      <c r="G40" t="s">
        <v>1056</v>
      </c>
      <c r="H40">
        <v>43526090000161</v>
      </c>
      <c r="I40" t="s">
        <v>913</v>
      </c>
      <c r="J40" t="s">
        <v>5367</v>
      </c>
      <c r="K40" t="s">
        <v>915</v>
      </c>
      <c r="M40" t="s">
        <v>916</v>
      </c>
      <c r="Q40" t="s">
        <v>909</v>
      </c>
      <c r="R40" t="s">
        <v>790</v>
      </c>
      <c r="W40" t="s">
        <v>780</v>
      </c>
      <c r="X40" t="s">
        <v>816</v>
      </c>
      <c r="Y40" t="s">
        <v>959</v>
      </c>
      <c r="Z40" s="31">
        <v>45688</v>
      </c>
      <c r="AA40">
        <v>1600</v>
      </c>
      <c r="AB40">
        <v>2500</v>
      </c>
      <c r="AC40">
        <v>42</v>
      </c>
      <c r="AD40" t="s">
        <v>44</v>
      </c>
      <c r="AE40" s="31">
        <v>45645</v>
      </c>
      <c r="AF40" s="61">
        <v>0.61128472222222219</v>
      </c>
      <c r="AH40" t="s">
        <v>818</v>
      </c>
      <c r="AI40" s="31">
        <v>45685</v>
      </c>
      <c r="AJ40" s="61">
        <v>0.68137731481481478</v>
      </c>
      <c r="AL40" t="s">
        <v>1058</v>
      </c>
      <c r="AM40" t="s">
        <v>1039</v>
      </c>
      <c r="AN40" t="s">
        <v>1059</v>
      </c>
      <c r="AR40" s="31"/>
      <c r="AX40">
        <v>1</v>
      </c>
    </row>
    <row r="41" spans="1:50" x14ac:dyDescent="0.3">
      <c r="A41" t="s">
        <v>44</v>
      </c>
      <c r="B41">
        <v>142</v>
      </c>
      <c r="D41">
        <v>1117</v>
      </c>
      <c r="G41" t="s">
        <v>1060</v>
      </c>
      <c r="J41" t="s">
        <v>1061</v>
      </c>
      <c r="K41" t="s">
        <v>1042</v>
      </c>
      <c r="M41" t="s">
        <v>1043</v>
      </c>
      <c r="W41" t="s">
        <v>780</v>
      </c>
      <c r="X41" t="s">
        <v>816</v>
      </c>
      <c r="Z41" s="31">
        <v>45688</v>
      </c>
      <c r="AA41">
        <v>1600</v>
      </c>
      <c r="AB41">
        <v>243721</v>
      </c>
      <c r="AC41">
        <v>35</v>
      </c>
      <c r="AD41" t="s">
        <v>44</v>
      </c>
      <c r="AE41" s="31">
        <v>45646</v>
      </c>
      <c r="AF41" s="61">
        <v>0.60428240740740746</v>
      </c>
      <c r="AH41" t="s">
        <v>818</v>
      </c>
      <c r="AI41" s="31">
        <v>45681</v>
      </c>
      <c r="AJ41" s="61">
        <v>0.58530092592592597</v>
      </c>
      <c r="AN41" t="s">
        <v>1053</v>
      </c>
      <c r="AP41" t="s">
        <v>1054</v>
      </c>
      <c r="AQ41" t="s">
        <v>1055</v>
      </c>
      <c r="AR41" s="31"/>
      <c r="AX41">
        <v>1</v>
      </c>
    </row>
    <row r="42" spans="1:50" x14ac:dyDescent="0.3">
      <c r="A42" t="s">
        <v>22</v>
      </c>
      <c r="B42">
        <v>144</v>
      </c>
      <c r="D42">
        <v>181</v>
      </c>
      <c r="E42" t="s">
        <v>1062</v>
      </c>
      <c r="G42" t="s">
        <v>5368</v>
      </c>
      <c r="H42">
        <v>27805256000122</v>
      </c>
      <c r="J42" t="s">
        <v>1064</v>
      </c>
      <c r="K42" t="s">
        <v>1065</v>
      </c>
      <c r="Q42" t="s">
        <v>1066</v>
      </c>
      <c r="R42" t="s">
        <v>1067</v>
      </c>
      <c r="S42" t="s">
        <v>1068</v>
      </c>
      <c r="V42" t="s">
        <v>5369</v>
      </c>
      <c r="W42" t="s">
        <v>780</v>
      </c>
      <c r="X42" t="s">
        <v>816</v>
      </c>
      <c r="Y42" t="s">
        <v>817</v>
      </c>
      <c r="Z42" s="31"/>
      <c r="AA42">
        <v>146772</v>
      </c>
      <c r="AB42">
        <v>1102804</v>
      </c>
      <c r="AC42">
        <v>154</v>
      </c>
      <c r="AD42" t="s">
        <v>22</v>
      </c>
      <c r="AE42" s="31">
        <v>45664</v>
      </c>
      <c r="AF42" s="61">
        <v>0.70750000000000002</v>
      </c>
      <c r="AH42" t="s">
        <v>818</v>
      </c>
      <c r="AI42" s="31">
        <v>45686</v>
      </c>
      <c r="AJ42" s="61">
        <v>4.5011574074074072E-2</v>
      </c>
      <c r="AL42" t="s">
        <v>1058</v>
      </c>
      <c r="AN42" t="s">
        <v>1070</v>
      </c>
      <c r="AO42" t="s">
        <v>22</v>
      </c>
      <c r="AP42" t="s">
        <v>1070</v>
      </c>
      <c r="AR42" s="31"/>
      <c r="AX42">
        <v>1</v>
      </c>
    </row>
    <row r="43" spans="1:50" x14ac:dyDescent="0.3">
      <c r="A43" t="s">
        <v>22</v>
      </c>
      <c r="B43">
        <v>145</v>
      </c>
      <c r="D43">
        <v>12</v>
      </c>
      <c r="E43" t="s">
        <v>5370</v>
      </c>
      <c r="F43" t="s">
        <v>1072</v>
      </c>
      <c r="G43" t="s">
        <v>1073</v>
      </c>
      <c r="H43">
        <v>22752240000185</v>
      </c>
      <c r="J43" t="s">
        <v>1074</v>
      </c>
      <c r="K43" t="s">
        <v>1075</v>
      </c>
      <c r="M43" t="s">
        <v>1076</v>
      </c>
      <c r="Q43" t="s">
        <v>1077</v>
      </c>
      <c r="S43" t="s">
        <v>791</v>
      </c>
      <c r="V43" t="s">
        <v>806</v>
      </c>
      <c r="W43" t="s">
        <v>780</v>
      </c>
      <c r="X43" t="s">
        <v>807</v>
      </c>
      <c r="Z43" s="31"/>
      <c r="AC43">
        <v>38</v>
      </c>
      <c r="AD43" t="s">
        <v>22</v>
      </c>
      <c r="AE43" s="31">
        <v>45664</v>
      </c>
      <c r="AF43" s="61">
        <v>0.73380787037037032</v>
      </c>
      <c r="AH43" t="s">
        <v>795</v>
      </c>
      <c r="AI43" s="31">
        <v>45702</v>
      </c>
      <c r="AJ43" s="61">
        <v>0.64967592592592593</v>
      </c>
      <c r="AK43" t="s">
        <v>5338</v>
      </c>
      <c r="AP43" t="s">
        <v>960</v>
      </c>
      <c r="AR43" s="31"/>
      <c r="AX43">
        <v>1</v>
      </c>
    </row>
    <row r="44" spans="1:50" x14ac:dyDescent="0.3">
      <c r="A44" t="s">
        <v>44</v>
      </c>
      <c r="B44">
        <v>148</v>
      </c>
      <c r="D44">
        <v>270</v>
      </c>
      <c r="E44" t="s">
        <v>5371</v>
      </c>
      <c r="F44" t="s">
        <v>1079</v>
      </c>
      <c r="G44" t="s">
        <v>1080</v>
      </c>
      <c r="H44">
        <v>45723541000186</v>
      </c>
      <c r="J44" t="s">
        <v>1081</v>
      </c>
      <c r="K44" t="s">
        <v>1082</v>
      </c>
      <c r="M44" t="s">
        <v>1083</v>
      </c>
      <c r="O44" t="s">
        <v>1084</v>
      </c>
      <c r="Q44" t="s">
        <v>1085</v>
      </c>
      <c r="R44" t="s">
        <v>790</v>
      </c>
      <c r="S44" t="s">
        <v>791</v>
      </c>
      <c r="V44" t="s">
        <v>1086</v>
      </c>
      <c r="W44" t="s">
        <v>780</v>
      </c>
      <c r="X44" t="s">
        <v>807</v>
      </c>
      <c r="Z44" s="31"/>
      <c r="AA44">
        <v>16960</v>
      </c>
      <c r="AB44">
        <v>4714</v>
      </c>
      <c r="AC44">
        <v>72</v>
      </c>
      <c r="AD44" t="s">
        <v>794</v>
      </c>
      <c r="AE44" s="31">
        <v>45665</v>
      </c>
      <c r="AF44" s="61">
        <v>0.46423611111111113</v>
      </c>
      <c r="AH44" t="s">
        <v>795</v>
      </c>
      <c r="AI44" s="31">
        <v>45737</v>
      </c>
      <c r="AJ44" s="61">
        <v>0.43061342592592589</v>
      </c>
      <c r="AK44" t="s">
        <v>858</v>
      </c>
      <c r="AL44" t="s">
        <v>5372</v>
      </c>
      <c r="AN44" t="s">
        <v>1088</v>
      </c>
      <c r="AO44" t="s">
        <v>794</v>
      </c>
      <c r="AP44" t="s">
        <v>1089</v>
      </c>
      <c r="AQ44" t="s">
        <v>1088</v>
      </c>
      <c r="AR44" s="31"/>
      <c r="AX44">
        <v>1</v>
      </c>
    </row>
    <row r="45" spans="1:50" x14ac:dyDescent="0.3">
      <c r="A45" t="s">
        <v>44</v>
      </c>
      <c r="B45">
        <v>151</v>
      </c>
      <c r="D45">
        <v>1540</v>
      </c>
      <c r="G45" t="s">
        <v>1090</v>
      </c>
      <c r="H45">
        <v>21733807000103</v>
      </c>
      <c r="J45" t="s">
        <v>5373</v>
      </c>
      <c r="K45" t="s">
        <v>1092</v>
      </c>
      <c r="M45" t="s">
        <v>1093</v>
      </c>
      <c r="Q45" t="s">
        <v>1094</v>
      </c>
      <c r="R45" t="s">
        <v>790</v>
      </c>
      <c r="W45" t="s">
        <v>780</v>
      </c>
      <c r="X45" t="s">
        <v>807</v>
      </c>
      <c r="Z45" s="31"/>
      <c r="AA45">
        <v>4830624</v>
      </c>
      <c r="AB45">
        <v>384549</v>
      </c>
      <c r="AC45">
        <v>43</v>
      </c>
      <c r="AD45" t="s">
        <v>44</v>
      </c>
      <c r="AE45" s="31">
        <v>45666</v>
      </c>
      <c r="AF45" s="61">
        <v>0.66763888888888889</v>
      </c>
      <c r="AH45" t="s">
        <v>795</v>
      </c>
      <c r="AI45" s="31">
        <v>45709</v>
      </c>
      <c r="AJ45" s="61">
        <v>0.60252314814814811</v>
      </c>
      <c r="AK45" t="s">
        <v>934</v>
      </c>
      <c r="AL45" t="s">
        <v>5374</v>
      </c>
      <c r="AN45" t="s">
        <v>1088</v>
      </c>
      <c r="AP45" t="s">
        <v>1096</v>
      </c>
      <c r="AQ45" t="s">
        <v>1039</v>
      </c>
      <c r="AR45" s="31"/>
      <c r="AX45">
        <v>1</v>
      </c>
    </row>
    <row r="46" spans="1:50" x14ac:dyDescent="0.3">
      <c r="A46" t="s">
        <v>22</v>
      </c>
      <c r="B46">
        <v>154</v>
      </c>
      <c r="C46">
        <v>177</v>
      </c>
      <c r="D46">
        <v>1546</v>
      </c>
      <c r="G46" t="s">
        <v>1097</v>
      </c>
      <c r="H46">
        <v>58636773000149</v>
      </c>
      <c r="I46" t="s">
        <v>1098</v>
      </c>
      <c r="J46" t="s">
        <v>1099</v>
      </c>
      <c r="K46" t="s">
        <v>1100</v>
      </c>
      <c r="M46" t="s">
        <v>1101</v>
      </c>
      <c r="N46" t="s">
        <v>1102</v>
      </c>
      <c r="P46" t="s">
        <v>5375</v>
      </c>
      <c r="Q46" t="s">
        <v>1104</v>
      </c>
      <c r="R46" t="s">
        <v>1105</v>
      </c>
      <c r="S46" t="s">
        <v>814</v>
      </c>
      <c r="T46" t="s">
        <v>814</v>
      </c>
      <c r="V46" t="s">
        <v>5376</v>
      </c>
      <c r="W46" t="s">
        <v>780</v>
      </c>
      <c r="X46" t="s">
        <v>807</v>
      </c>
      <c r="Y46" t="s">
        <v>817</v>
      </c>
      <c r="Z46" s="31"/>
      <c r="AA46">
        <v>5689656</v>
      </c>
      <c r="AB46">
        <v>259936</v>
      </c>
      <c r="AC46">
        <v>151</v>
      </c>
      <c r="AD46" t="s">
        <v>794</v>
      </c>
      <c r="AE46" s="31">
        <v>45667</v>
      </c>
      <c r="AF46" s="61">
        <v>0.50881944444444449</v>
      </c>
      <c r="AH46" t="s">
        <v>795</v>
      </c>
      <c r="AI46" s="31">
        <v>45818</v>
      </c>
      <c r="AJ46" s="61">
        <v>0.61144675925925929</v>
      </c>
      <c r="AK46" t="s">
        <v>858</v>
      </c>
      <c r="AM46" t="s">
        <v>1107</v>
      </c>
      <c r="AN46" t="s">
        <v>960</v>
      </c>
      <c r="AO46" t="s">
        <v>22</v>
      </c>
      <c r="AP46" t="s">
        <v>1107</v>
      </c>
      <c r="AR46" s="31"/>
      <c r="AX46">
        <v>1</v>
      </c>
    </row>
    <row r="47" spans="1:50" x14ac:dyDescent="0.3">
      <c r="A47" t="s">
        <v>22</v>
      </c>
      <c r="B47">
        <v>155</v>
      </c>
      <c r="D47">
        <v>1547</v>
      </c>
      <c r="G47" t="s">
        <v>1108</v>
      </c>
      <c r="J47" t="s">
        <v>1109</v>
      </c>
      <c r="K47" t="s">
        <v>1110</v>
      </c>
      <c r="M47" t="s">
        <v>1111</v>
      </c>
      <c r="W47" t="s">
        <v>780</v>
      </c>
      <c r="X47" t="s">
        <v>857</v>
      </c>
      <c r="Z47" s="31"/>
      <c r="AC47">
        <v>18</v>
      </c>
      <c r="AD47" t="s">
        <v>22</v>
      </c>
      <c r="AE47" s="31">
        <v>45667</v>
      </c>
      <c r="AF47" s="61">
        <v>0.61699074074074078</v>
      </c>
      <c r="AH47" t="s">
        <v>795</v>
      </c>
      <c r="AI47" s="31">
        <v>45685</v>
      </c>
      <c r="AJ47" s="61">
        <v>0.70386574074074071</v>
      </c>
      <c r="AK47" t="s">
        <v>5338</v>
      </c>
      <c r="AL47" t="s">
        <v>1112</v>
      </c>
      <c r="AN47" t="s">
        <v>1113</v>
      </c>
      <c r="AO47" t="s">
        <v>22</v>
      </c>
      <c r="AP47" t="s">
        <v>1113</v>
      </c>
      <c r="AR47" s="31"/>
      <c r="AX47">
        <v>1</v>
      </c>
    </row>
    <row r="48" spans="1:50" x14ac:dyDescent="0.3">
      <c r="A48" t="s">
        <v>22</v>
      </c>
      <c r="B48">
        <v>164</v>
      </c>
      <c r="D48">
        <v>1582</v>
      </c>
      <c r="G48" t="s">
        <v>1114</v>
      </c>
      <c r="H48">
        <v>2675142000184</v>
      </c>
      <c r="J48" t="s">
        <v>1115</v>
      </c>
      <c r="K48" t="s">
        <v>1116</v>
      </c>
      <c r="M48" t="s">
        <v>1117</v>
      </c>
      <c r="Q48" t="s">
        <v>923</v>
      </c>
      <c r="S48" t="s">
        <v>814</v>
      </c>
      <c r="V48" t="s">
        <v>1118</v>
      </c>
      <c r="W48" t="s">
        <v>780</v>
      </c>
      <c r="X48" t="s">
        <v>807</v>
      </c>
      <c r="Z48" s="31"/>
      <c r="AC48">
        <v>65</v>
      </c>
      <c r="AD48" t="s">
        <v>794</v>
      </c>
      <c r="AE48" s="31">
        <v>45672</v>
      </c>
      <c r="AF48" s="61">
        <v>0.73280092592592594</v>
      </c>
      <c r="AH48" t="s">
        <v>795</v>
      </c>
      <c r="AI48" s="31">
        <v>45737</v>
      </c>
      <c r="AJ48" s="61">
        <v>0.60968750000000005</v>
      </c>
      <c r="AK48" t="s">
        <v>5377</v>
      </c>
      <c r="AM48" t="s">
        <v>1120</v>
      </c>
      <c r="AN48" t="s">
        <v>960</v>
      </c>
      <c r="AO48" t="s">
        <v>794</v>
      </c>
      <c r="AP48" t="s">
        <v>1121</v>
      </c>
      <c r="AR48" s="31"/>
      <c r="AX48">
        <v>1</v>
      </c>
    </row>
    <row r="49" spans="1:50" x14ac:dyDescent="0.3">
      <c r="A49" t="s">
        <v>44</v>
      </c>
      <c r="B49">
        <v>166</v>
      </c>
      <c r="D49">
        <v>745</v>
      </c>
      <c r="F49" t="s">
        <v>1122</v>
      </c>
      <c r="G49" t="s">
        <v>1123</v>
      </c>
      <c r="H49">
        <v>48314771000180</v>
      </c>
      <c r="J49" t="s">
        <v>1124</v>
      </c>
      <c r="K49" t="s">
        <v>1125</v>
      </c>
      <c r="M49" t="s">
        <v>1126</v>
      </c>
      <c r="O49" t="s">
        <v>1127</v>
      </c>
      <c r="V49" t="s">
        <v>1128</v>
      </c>
      <c r="W49" t="s">
        <v>780</v>
      </c>
      <c r="X49" t="s">
        <v>857</v>
      </c>
      <c r="Z49" s="31"/>
      <c r="AC49">
        <v>36</v>
      </c>
      <c r="AD49" t="s">
        <v>794</v>
      </c>
      <c r="AE49" s="31">
        <v>45673</v>
      </c>
      <c r="AF49" s="61">
        <v>0.46156249999999999</v>
      </c>
      <c r="AH49" t="s">
        <v>795</v>
      </c>
      <c r="AI49" s="31">
        <v>45709</v>
      </c>
      <c r="AJ49" s="61">
        <v>0.50829861111111108</v>
      </c>
      <c r="AK49" t="s">
        <v>5338</v>
      </c>
      <c r="AL49" t="s">
        <v>5378</v>
      </c>
      <c r="AM49" t="s">
        <v>1130</v>
      </c>
      <c r="AO49" t="s">
        <v>794</v>
      </c>
      <c r="AP49" t="s">
        <v>1131</v>
      </c>
      <c r="AR49" s="31"/>
      <c r="AX49">
        <v>1</v>
      </c>
    </row>
    <row r="50" spans="1:50" x14ac:dyDescent="0.3">
      <c r="A50" t="s">
        <v>22</v>
      </c>
      <c r="B50">
        <v>167</v>
      </c>
      <c r="D50">
        <v>1599</v>
      </c>
      <c r="G50" t="s">
        <v>1132</v>
      </c>
      <c r="J50" t="s">
        <v>1133</v>
      </c>
      <c r="K50" t="s">
        <v>1134</v>
      </c>
      <c r="M50" t="s">
        <v>1111</v>
      </c>
      <c r="S50" t="s">
        <v>933</v>
      </c>
      <c r="V50" t="s">
        <v>1135</v>
      </c>
      <c r="W50" t="s">
        <v>780</v>
      </c>
      <c r="X50" t="s">
        <v>807</v>
      </c>
      <c r="Y50" t="s">
        <v>817</v>
      </c>
      <c r="Z50" s="31">
        <v>45808</v>
      </c>
      <c r="AA50">
        <v>46000</v>
      </c>
      <c r="AB50">
        <v>308546</v>
      </c>
      <c r="AC50">
        <v>82</v>
      </c>
      <c r="AD50" t="s">
        <v>22</v>
      </c>
      <c r="AE50" s="31">
        <v>45673</v>
      </c>
      <c r="AF50" s="61">
        <v>0.58497685185185189</v>
      </c>
      <c r="AH50" t="s">
        <v>795</v>
      </c>
      <c r="AI50" s="31">
        <v>45755</v>
      </c>
      <c r="AJ50" s="61">
        <v>0.39619212962962957</v>
      </c>
      <c r="AK50" t="s">
        <v>858</v>
      </c>
      <c r="AN50" t="s">
        <v>1136</v>
      </c>
      <c r="AO50" t="s">
        <v>22</v>
      </c>
      <c r="AP50" t="s">
        <v>1136</v>
      </c>
      <c r="AR50" s="31"/>
      <c r="AX50">
        <v>1</v>
      </c>
    </row>
    <row r="51" spans="1:50" x14ac:dyDescent="0.3">
      <c r="A51" t="s">
        <v>44</v>
      </c>
      <c r="B51">
        <v>169</v>
      </c>
      <c r="D51">
        <v>735</v>
      </c>
      <c r="F51" t="s">
        <v>1137</v>
      </c>
      <c r="G51" t="s">
        <v>1138</v>
      </c>
      <c r="H51">
        <v>16941656000149</v>
      </c>
      <c r="J51" t="s">
        <v>1139</v>
      </c>
      <c r="K51" t="s">
        <v>1140</v>
      </c>
      <c r="M51" t="s">
        <v>1141</v>
      </c>
      <c r="O51" t="s">
        <v>1142</v>
      </c>
      <c r="W51" t="s">
        <v>780</v>
      </c>
      <c r="X51" t="s">
        <v>793</v>
      </c>
      <c r="Z51" s="31"/>
      <c r="AA51">
        <v>16700</v>
      </c>
      <c r="AB51">
        <v>18186</v>
      </c>
      <c r="AC51">
        <v>6</v>
      </c>
      <c r="AD51" t="s">
        <v>794</v>
      </c>
      <c r="AE51" s="31">
        <v>45673</v>
      </c>
      <c r="AF51" s="61">
        <v>0.71754629629629629</v>
      </c>
      <c r="AH51" t="s">
        <v>795</v>
      </c>
      <c r="AI51" s="31">
        <v>45679</v>
      </c>
      <c r="AJ51" s="61">
        <v>0.50843749999999999</v>
      </c>
      <c r="AK51" t="s">
        <v>5338</v>
      </c>
      <c r="AL51" t="s">
        <v>5379</v>
      </c>
      <c r="AM51" t="s">
        <v>1144</v>
      </c>
      <c r="AN51" t="s">
        <v>1145</v>
      </c>
      <c r="AO51" t="s">
        <v>794</v>
      </c>
      <c r="AP51" t="s">
        <v>1146</v>
      </c>
      <c r="AR51" s="31"/>
      <c r="AX51">
        <v>1</v>
      </c>
    </row>
    <row r="52" spans="1:50" x14ac:dyDescent="0.3">
      <c r="A52" t="s">
        <v>44</v>
      </c>
      <c r="B52">
        <v>174</v>
      </c>
      <c r="D52">
        <v>734</v>
      </c>
      <c r="F52" t="s">
        <v>1147</v>
      </c>
      <c r="G52" t="s">
        <v>1148</v>
      </c>
      <c r="H52">
        <v>66559436000123</v>
      </c>
      <c r="J52" t="s">
        <v>1149</v>
      </c>
      <c r="K52" t="s">
        <v>1150</v>
      </c>
      <c r="M52" t="s">
        <v>1151</v>
      </c>
      <c r="O52" t="s">
        <v>1152</v>
      </c>
      <c r="W52" t="s">
        <v>780</v>
      </c>
      <c r="X52" t="s">
        <v>781</v>
      </c>
      <c r="Z52" s="31"/>
      <c r="AC52">
        <v>31</v>
      </c>
      <c r="AD52" t="s">
        <v>794</v>
      </c>
      <c r="AE52" s="31">
        <v>45678</v>
      </c>
      <c r="AF52" s="61">
        <v>0.4437962962962963</v>
      </c>
      <c r="AH52" t="s">
        <v>795</v>
      </c>
      <c r="AI52" s="31">
        <v>45709</v>
      </c>
      <c r="AJ52" s="61">
        <v>0.45508101851851851</v>
      </c>
      <c r="AK52" t="s">
        <v>5338</v>
      </c>
      <c r="AL52" t="s">
        <v>5380</v>
      </c>
      <c r="AM52" t="s">
        <v>1154</v>
      </c>
      <c r="AO52" t="s">
        <v>794</v>
      </c>
      <c r="AP52" t="s">
        <v>1155</v>
      </c>
      <c r="AR52" s="31"/>
      <c r="AX52">
        <v>1</v>
      </c>
    </row>
    <row r="53" spans="1:50" x14ac:dyDescent="0.3">
      <c r="A53" t="s">
        <v>44</v>
      </c>
      <c r="B53">
        <v>178</v>
      </c>
      <c r="D53">
        <v>1619</v>
      </c>
      <c r="G53" t="s">
        <v>5381</v>
      </c>
      <c r="H53">
        <v>2306559000331</v>
      </c>
      <c r="J53" t="s">
        <v>5382</v>
      </c>
      <c r="K53" t="s">
        <v>1158</v>
      </c>
      <c r="M53" t="s">
        <v>1159</v>
      </c>
      <c r="W53" t="s">
        <v>780</v>
      </c>
      <c r="X53" t="s">
        <v>807</v>
      </c>
      <c r="Y53" t="s">
        <v>817</v>
      </c>
      <c r="Z53" s="31"/>
      <c r="AA53">
        <v>11520</v>
      </c>
      <c r="AB53">
        <v>14114</v>
      </c>
      <c r="AC53">
        <v>30</v>
      </c>
      <c r="AD53" t="s">
        <v>44</v>
      </c>
      <c r="AE53" s="31">
        <v>45679</v>
      </c>
      <c r="AF53" s="61">
        <v>0.51081018518518517</v>
      </c>
      <c r="AH53" t="s">
        <v>795</v>
      </c>
      <c r="AI53" s="31">
        <v>45709</v>
      </c>
      <c r="AJ53" s="61">
        <v>0.50973379629629634</v>
      </c>
      <c r="AK53" t="s">
        <v>5353</v>
      </c>
      <c r="AL53" t="s">
        <v>5383</v>
      </c>
      <c r="AN53" t="s">
        <v>1145</v>
      </c>
      <c r="AP53" t="s">
        <v>1161</v>
      </c>
      <c r="AR53" s="31"/>
      <c r="AX53">
        <v>1</v>
      </c>
    </row>
    <row r="54" spans="1:50" x14ac:dyDescent="0.3">
      <c r="A54" t="s">
        <v>44</v>
      </c>
      <c r="B54">
        <v>179</v>
      </c>
      <c r="D54">
        <v>1621</v>
      </c>
      <c r="G54" t="s">
        <v>5384</v>
      </c>
      <c r="J54" t="s">
        <v>5385</v>
      </c>
      <c r="K54" t="s">
        <v>1164</v>
      </c>
      <c r="M54" t="s">
        <v>1165</v>
      </c>
      <c r="W54" t="s">
        <v>780</v>
      </c>
      <c r="X54" t="s">
        <v>793</v>
      </c>
      <c r="Y54" t="s">
        <v>817</v>
      </c>
      <c r="Z54" s="31"/>
      <c r="AA54">
        <v>61056</v>
      </c>
      <c r="AB54">
        <v>625045</v>
      </c>
      <c r="AC54">
        <v>14</v>
      </c>
      <c r="AD54" t="s">
        <v>44</v>
      </c>
      <c r="AE54" s="31">
        <v>45680</v>
      </c>
      <c r="AF54" s="61">
        <v>0.39780092592592592</v>
      </c>
      <c r="AH54" t="s">
        <v>795</v>
      </c>
      <c r="AI54" s="31">
        <v>45694</v>
      </c>
      <c r="AJ54" s="61">
        <v>0.66874999999999996</v>
      </c>
      <c r="AK54" t="s">
        <v>5347</v>
      </c>
      <c r="AL54" t="s">
        <v>5386</v>
      </c>
      <c r="AN54" t="s">
        <v>1167</v>
      </c>
      <c r="AP54" t="s">
        <v>1168</v>
      </c>
      <c r="AQ54" t="s">
        <v>1167</v>
      </c>
      <c r="AR54" s="31"/>
      <c r="AX54">
        <v>1</v>
      </c>
    </row>
    <row r="55" spans="1:50" x14ac:dyDescent="0.3">
      <c r="A55" t="s">
        <v>44</v>
      </c>
      <c r="B55">
        <v>183</v>
      </c>
      <c r="D55">
        <v>1631</v>
      </c>
      <c r="G55" t="s">
        <v>5387</v>
      </c>
      <c r="J55" t="s">
        <v>643</v>
      </c>
      <c r="K55" t="s">
        <v>1171</v>
      </c>
      <c r="M55" t="s">
        <v>1172</v>
      </c>
      <c r="S55" t="s">
        <v>1068</v>
      </c>
      <c r="W55" t="s">
        <v>780</v>
      </c>
      <c r="X55" t="s">
        <v>816</v>
      </c>
      <c r="Y55" t="s">
        <v>817</v>
      </c>
      <c r="Z55" s="31"/>
      <c r="AA55">
        <v>16960</v>
      </c>
      <c r="AB55">
        <v>863104</v>
      </c>
      <c r="AC55">
        <v>103</v>
      </c>
      <c r="AD55" t="s">
        <v>44</v>
      </c>
      <c r="AE55" s="31">
        <v>45681</v>
      </c>
      <c r="AF55" s="61">
        <v>0.4445486111111111</v>
      </c>
      <c r="AH55" t="s">
        <v>818</v>
      </c>
      <c r="AI55" s="31">
        <v>45784</v>
      </c>
      <c r="AJ55" s="61">
        <v>0.37054398148148149</v>
      </c>
      <c r="AN55" t="s">
        <v>890</v>
      </c>
      <c r="AP55" t="s">
        <v>1168</v>
      </c>
      <c r="AR55" s="31"/>
      <c r="AX55">
        <v>1</v>
      </c>
    </row>
    <row r="56" spans="1:50" x14ac:dyDescent="0.3">
      <c r="A56" t="s">
        <v>44</v>
      </c>
      <c r="B56">
        <v>187</v>
      </c>
      <c r="D56">
        <v>1642</v>
      </c>
      <c r="G56" t="s">
        <v>1173</v>
      </c>
      <c r="J56" t="s">
        <v>1174</v>
      </c>
      <c r="K56" t="s">
        <v>1175</v>
      </c>
      <c r="M56" t="s">
        <v>1176</v>
      </c>
      <c r="W56" t="s">
        <v>780</v>
      </c>
      <c r="X56" t="s">
        <v>857</v>
      </c>
      <c r="Z56" s="31"/>
      <c r="AC56">
        <v>49</v>
      </c>
      <c r="AD56" t="s">
        <v>44</v>
      </c>
      <c r="AE56" s="31">
        <v>45684</v>
      </c>
      <c r="AF56" s="61">
        <v>0.62056712962962968</v>
      </c>
      <c r="AH56" t="s">
        <v>795</v>
      </c>
      <c r="AI56" s="31">
        <v>45733</v>
      </c>
      <c r="AJ56" s="61">
        <v>0.41342592592592592</v>
      </c>
      <c r="AK56" t="s">
        <v>5338</v>
      </c>
      <c r="AL56" t="s">
        <v>5388</v>
      </c>
      <c r="AP56" t="s">
        <v>1167</v>
      </c>
      <c r="AR56" s="31"/>
      <c r="AX56">
        <v>1</v>
      </c>
    </row>
    <row r="57" spans="1:50" x14ac:dyDescent="0.3">
      <c r="A57" t="s">
        <v>44</v>
      </c>
      <c r="B57">
        <v>188</v>
      </c>
      <c r="D57">
        <v>1643</v>
      </c>
      <c r="G57" t="s">
        <v>1178</v>
      </c>
      <c r="J57" t="s">
        <v>1179</v>
      </c>
      <c r="K57" t="s">
        <v>1180</v>
      </c>
      <c r="M57" t="s">
        <v>1093</v>
      </c>
      <c r="W57" t="s">
        <v>780</v>
      </c>
      <c r="X57" t="s">
        <v>807</v>
      </c>
      <c r="Z57" s="31"/>
      <c r="AA57">
        <v>1600</v>
      </c>
      <c r="AB57">
        <v>314528</v>
      </c>
      <c r="AC57">
        <v>25</v>
      </c>
      <c r="AD57" t="s">
        <v>44</v>
      </c>
      <c r="AE57" s="31">
        <v>45684</v>
      </c>
      <c r="AF57" s="61">
        <v>0.65873842592592591</v>
      </c>
      <c r="AH57" t="s">
        <v>795</v>
      </c>
      <c r="AI57" s="31">
        <v>45709</v>
      </c>
      <c r="AJ57" s="61">
        <v>0.60328703703703701</v>
      </c>
      <c r="AK57" t="s">
        <v>934</v>
      </c>
      <c r="AN57" t="s">
        <v>1145</v>
      </c>
      <c r="AP57" t="s">
        <v>1096</v>
      </c>
      <c r="AR57" s="31"/>
      <c r="AX57">
        <v>1</v>
      </c>
    </row>
    <row r="58" spans="1:50" x14ac:dyDescent="0.3">
      <c r="A58" t="s">
        <v>44</v>
      </c>
      <c r="B58">
        <v>191</v>
      </c>
      <c r="D58">
        <v>1651</v>
      </c>
      <c r="G58" t="s">
        <v>1181</v>
      </c>
      <c r="J58" t="s">
        <v>5385</v>
      </c>
      <c r="K58" t="s">
        <v>1164</v>
      </c>
      <c r="M58" t="s">
        <v>1165</v>
      </c>
      <c r="W58" t="s">
        <v>780</v>
      </c>
      <c r="X58" t="s">
        <v>793</v>
      </c>
      <c r="Z58" s="31"/>
      <c r="AA58">
        <v>1600</v>
      </c>
      <c r="AB58">
        <v>4063</v>
      </c>
      <c r="AC58">
        <v>9</v>
      </c>
      <c r="AD58" t="s">
        <v>44</v>
      </c>
      <c r="AE58" s="31">
        <v>45685</v>
      </c>
      <c r="AF58" s="61">
        <v>0.62687499999999996</v>
      </c>
      <c r="AH58" t="s">
        <v>795</v>
      </c>
      <c r="AI58" s="31">
        <v>45694</v>
      </c>
      <c r="AJ58" s="61">
        <v>0.66998842592592589</v>
      </c>
      <c r="AK58" t="s">
        <v>5347</v>
      </c>
      <c r="AL58" t="s">
        <v>5386</v>
      </c>
      <c r="AR58" s="31"/>
      <c r="AX58">
        <v>1</v>
      </c>
    </row>
    <row r="59" spans="1:50" x14ac:dyDescent="0.3">
      <c r="A59" t="s">
        <v>22</v>
      </c>
      <c r="B59">
        <v>193</v>
      </c>
      <c r="D59">
        <v>1608</v>
      </c>
      <c r="G59" t="s">
        <v>1182</v>
      </c>
      <c r="H59">
        <v>2142286000175</v>
      </c>
      <c r="J59" t="s">
        <v>1183</v>
      </c>
      <c r="K59" t="s">
        <v>1184</v>
      </c>
      <c r="M59" t="s">
        <v>1185</v>
      </c>
      <c r="Q59" t="s">
        <v>923</v>
      </c>
      <c r="S59" t="s">
        <v>814</v>
      </c>
      <c r="V59" t="s">
        <v>1186</v>
      </c>
      <c r="W59" t="s">
        <v>780</v>
      </c>
      <c r="X59" t="s">
        <v>807</v>
      </c>
      <c r="Z59" s="31"/>
      <c r="AC59">
        <v>9</v>
      </c>
      <c r="AD59" t="s">
        <v>22</v>
      </c>
      <c r="AE59" s="31">
        <v>45685</v>
      </c>
      <c r="AF59" s="61">
        <v>0.69854166666666662</v>
      </c>
      <c r="AH59" t="s">
        <v>795</v>
      </c>
      <c r="AI59" s="31">
        <v>45694</v>
      </c>
      <c r="AJ59" s="61">
        <v>0.72714120370370372</v>
      </c>
      <c r="AK59" t="s">
        <v>5347</v>
      </c>
      <c r="AN59" t="s">
        <v>1187</v>
      </c>
      <c r="AP59" t="s">
        <v>1187</v>
      </c>
      <c r="AR59" s="31"/>
      <c r="AX59">
        <v>1</v>
      </c>
    </row>
    <row r="60" spans="1:50" x14ac:dyDescent="0.3">
      <c r="A60" t="s">
        <v>22</v>
      </c>
      <c r="B60">
        <v>195</v>
      </c>
      <c r="D60">
        <v>1603</v>
      </c>
      <c r="G60" t="s">
        <v>1188</v>
      </c>
      <c r="J60" t="s">
        <v>1189</v>
      </c>
      <c r="K60" t="s">
        <v>1190</v>
      </c>
      <c r="M60" t="s">
        <v>1111</v>
      </c>
      <c r="S60" t="s">
        <v>1191</v>
      </c>
      <c r="W60" t="s">
        <v>780</v>
      </c>
      <c r="X60" t="s">
        <v>807</v>
      </c>
      <c r="Z60" s="31"/>
      <c r="AC60">
        <v>9</v>
      </c>
      <c r="AD60" t="s">
        <v>22</v>
      </c>
      <c r="AE60" s="31">
        <v>45685</v>
      </c>
      <c r="AF60" s="61">
        <v>0.71567129629629633</v>
      </c>
      <c r="AH60" t="s">
        <v>795</v>
      </c>
      <c r="AI60" s="31">
        <v>45694</v>
      </c>
      <c r="AJ60" s="61">
        <v>0.73074074074074069</v>
      </c>
      <c r="AK60" t="s">
        <v>858</v>
      </c>
      <c r="AN60" t="s">
        <v>1187</v>
      </c>
      <c r="AP60" t="s">
        <v>1187</v>
      </c>
      <c r="AR60" s="31"/>
      <c r="AX60">
        <v>1</v>
      </c>
    </row>
    <row r="61" spans="1:50" x14ac:dyDescent="0.3">
      <c r="A61" t="s">
        <v>22</v>
      </c>
      <c r="B61">
        <v>196</v>
      </c>
      <c r="D61">
        <v>1596</v>
      </c>
      <c r="F61" t="s">
        <v>1192</v>
      </c>
      <c r="G61" t="s">
        <v>1193</v>
      </c>
      <c r="H61">
        <v>56884678000139</v>
      </c>
      <c r="J61" t="s">
        <v>1194</v>
      </c>
      <c r="K61" t="s">
        <v>1195</v>
      </c>
      <c r="M61" t="s">
        <v>1196</v>
      </c>
      <c r="Q61" t="s">
        <v>1197</v>
      </c>
      <c r="R61" t="s">
        <v>790</v>
      </c>
      <c r="S61" t="s">
        <v>1191</v>
      </c>
      <c r="V61" t="s">
        <v>1198</v>
      </c>
      <c r="W61" t="s">
        <v>780</v>
      </c>
      <c r="X61" t="s">
        <v>807</v>
      </c>
      <c r="Z61" s="31"/>
      <c r="AC61">
        <v>1</v>
      </c>
      <c r="AD61" t="s">
        <v>22</v>
      </c>
      <c r="AE61" s="31">
        <v>45685</v>
      </c>
      <c r="AF61" s="61">
        <v>0.71672453703703709</v>
      </c>
      <c r="AH61" t="s">
        <v>795</v>
      </c>
      <c r="AI61" s="31">
        <v>45686</v>
      </c>
      <c r="AJ61" s="61">
        <v>4.1851851851851848E-2</v>
      </c>
      <c r="AK61" t="s">
        <v>5347</v>
      </c>
      <c r="AN61" t="s">
        <v>1187</v>
      </c>
      <c r="AO61" t="s">
        <v>22</v>
      </c>
      <c r="AP61" t="s">
        <v>1187</v>
      </c>
      <c r="AR61" s="31"/>
      <c r="AX61">
        <v>1</v>
      </c>
    </row>
    <row r="62" spans="1:50" x14ac:dyDescent="0.3">
      <c r="A62" t="s">
        <v>22</v>
      </c>
      <c r="B62">
        <v>197</v>
      </c>
      <c r="D62">
        <v>1598</v>
      </c>
      <c r="G62" t="s">
        <v>1199</v>
      </c>
      <c r="J62" t="s">
        <v>5389</v>
      </c>
      <c r="K62" t="s">
        <v>1201</v>
      </c>
      <c r="M62" t="s">
        <v>1111</v>
      </c>
      <c r="S62" t="s">
        <v>1191</v>
      </c>
      <c r="V62" t="s">
        <v>1198</v>
      </c>
      <c r="W62" t="s">
        <v>780</v>
      </c>
      <c r="X62" t="s">
        <v>807</v>
      </c>
      <c r="Z62" s="31"/>
      <c r="AC62">
        <v>1</v>
      </c>
      <c r="AD62" t="s">
        <v>22</v>
      </c>
      <c r="AE62" s="31">
        <v>45685</v>
      </c>
      <c r="AF62" s="61">
        <v>0.71711805555555552</v>
      </c>
      <c r="AH62" t="s">
        <v>795</v>
      </c>
      <c r="AI62" s="31">
        <v>45686</v>
      </c>
      <c r="AJ62" s="61">
        <v>4.3159722222222217E-2</v>
      </c>
      <c r="AK62" t="s">
        <v>5347</v>
      </c>
      <c r="AN62" t="s">
        <v>1187</v>
      </c>
      <c r="AP62" t="s">
        <v>1187</v>
      </c>
      <c r="AR62" s="31"/>
      <c r="AX62">
        <v>1</v>
      </c>
    </row>
    <row r="63" spans="1:50" x14ac:dyDescent="0.3">
      <c r="A63" t="s">
        <v>22</v>
      </c>
      <c r="B63">
        <v>198</v>
      </c>
      <c r="D63">
        <v>1600</v>
      </c>
      <c r="G63" t="s">
        <v>1202</v>
      </c>
      <c r="J63" t="s">
        <v>1203</v>
      </c>
      <c r="K63" t="s">
        <v>1204</v>
      </c>
      <c r="M63" t="s">
        <v>1205</v>
      </c>
      <c r="Q63" t="s">
        <v>1206</v>
      </c>
      <c r="S63" t="s">
        <v>814</v>
      </c>
      <c r="V63" t="s">
        <v>1198</v>
      </c>
      <c r="W63" t="s">
        <v>780</v>
      </c>
      <c r="X63" t="s">
        <v>807</v>
      </c>
      <c r="Z63" s="31"/>
      <c r="AC63">
        <v>1</v>
      </c>
      <c r="AD63" t="s">
        <v>22</v>
      </c>
      <c r="AE63" s="31">
        <v>45685</v>
      </c>
      <c r="AF63" s="61">
        <v>0.71755787037037033</v>
      </c>
      <c r="AH63" t="s">
        <v>795</v>
      </c>
      <c r="AI63" s="31">
        <v>45686</v>
      </c>
      <c r="AJ63" s="61">
        <v>4.5671296296296293E-2</v>
      </c>
      <c r="AK63" t="s">
        <v>5347</v>
      </c>
      <c r="AN63" t="s">
        <v>1187</v>
      </c>
      <c r="AP63" t="s">
        <v>1187</v>
      </c>
      <c r="AR63" s="31"/>
      <c r="AX63">
        <v>1</v>
      </c>
    </row>
    <row r="64" spans="1:50" x14ac:dyDescent="0.3">
      <c r="A64" t="s">
        <v>22</v>
      </c>
      <c r="B64">
        <v>199</v>
      </c>
      <c r="D64">
        <v>1623</v>
      </c>
      <c r="E64" t="s">
        <v>5390</v>
      </c>
      <c r="G64" t="s">
        <v>1208</v>
      </c>
      <c r="J64" t="s">
        <v>1209</v>
      </c>
      <c r="K64" t="s">
        <v>1210</v>
      </c>
      <c r="M64" t="s">
        <v>1211</v>
      </c>
      <c r="Q64" t="s">
        <v>1212</v>
      </c>
      <c r="S64" t="s">
        <v>1068</v>
      </c>
      <c r="V64" t="s">
        <v>1068</v>
      </c>
      <c r="W64" t="s">
        <v>780</v>
      </c>
      <c r="X64" t="s">
        <v>807</v>
      </c>
      <c r="Z64" s="31"/>
      <c r="AC64">
        <v>9</v>
      </c>
      <c r="AD64" t="s">
        <v>22</v>
      </c>
      <c r="AE64" s="31">
        <v>45685</v>
      </c>
      <c r="AF64" s="61">
        <v>0.71810185185185182</v>
      </c>
      <c r="AH64" t="s">
        <v>795</v>
      </c>
      <c r="AI64" s="31">
        <v>45694</v>
      </c>
      <c r="AJ64" s="61">
        <v>0.73619212962962965</v>
      </c>
      <c r="AK64" t="s">
        <v>5347</v>
      </c>
      <c r="AN64" t="s">
        <v>1187</v>
      </c>
      <c r="AQ64" t="s">
        <v>1187</v>
      </c>
      <c r="AR64" s="31"/>
      <c r="AX64">
        <v>1</v>
      </c>
    </row>
    <row r="65" spans="1:50" x14ac:dyDescent="0.3">
      <c r="A65" t="s">
        <v>44</v>
      </c>
      <c r="B65">
        <v>200</v>
      </c>
      <c r="D65">
        <v>1660</v>
      </c>
      <c r="G65" t="s">
        <v>1213</v>
      </c>
      <c r="J65" t="s">
        <v>1214</v>
      </c>
      <c r="K65" t="s">
        <v>1215</v>
      </c>
      <c r="M65" t="s">
        <v>1216</v>
      </c>
      <c r="W65" t="s">
        <v>780</v>
      </c>
      <c r="X65" t="s">
        <v>897</v>
      </c>
      <c r="Z65" s="31"/>
      <c r="AC65">
        <v>51</v>
      </c>
      <c r="AD65" t="s">
        <v>44</v>
      </c>
      <c r="AE65" s="31">
        <v>45686</v>
      </c>
      <c r="AF65" s="61">
        <v>0.39648148148148149</v>
      </c>
      <c r="AH65" t="s">
        <v>795</v>
      </c>
      <c r="AI65" s="31">
        <v>45737</v>
      </c>
      <c r="AJ65" s="61">
        <v>0.61332175925925925</v>
      </c>
      <c r="AK65" t="s">
        <v>858</v>
      </c>
      <c r="AL65" t="s">
        <v>5391</v>
      </c>
      <c r="AP65" t="s">
        <v>1059</v>
      </c>
      <c r="AR65" s="31"/>
      <c r="AX65">
        <v>1</v>
      </c>
    </row>
    <row r="66" spans="1:50" x14ac:dyDescent="0.3">
      <c r="A66" t="s">
        <v>22</v>
      </c>
      <c r="B66">
        <v>201</v>
      </c>
      <c r="D66">
        <v>198</v>
      </c>
      <c r="F66" t="s">
        <v>1218</v>
      </c>
      <c r="G66" t="s">
        <v>1219</v>
      </c>
      <c r="H66">
        <v>13474916000125</v>
      </c>
      <c r="J66" t="s">
        <v>1220</v>
      </c>
      <c r="K66" t="s">
        <v>1221</v>
      </c>
      <c r="M66" t="s">
        <v>1222</v>
      </c>
      <c r="O66" t="s">
        <v>1223</v>
      </c>
      <c r="Q66" t="s">
        <v>1224</v>
      </c>
      <c r="R66" t="s">
        <v>790</v>
      </c>
      <c r="S66" t="s">
        <v>791</v>
      </c>
      <c r="V66" t="s">
        <v>1225</v>
      </c>
      <c r="W66" t="s">
        <v>780</v>
      </c>
      <c r="X66" t="s">
        <v>857</v>
      </c>
      <c r="Z66" s="31"/>
      <c r="AC66">
        <v>8</v>
      </c>
      <c r="AD66" t="s">
        <v>794</v>
      </c>
      <c r="AE66" s="31">
        <v>45686</v>
      </c>
      <c r="AF66" s="61">
        <v>0.49991898148148151</v>
      </c>
      <c r="AH66" t="s">
        <v>795</v>
      </c>
      <c r="AI66" s="31">
        <v>45694</v>
      </c>
      <c r="AJ66" s="61">
        <v>0.57891203703703709</v>
      </c>
      <c r="AK66" t="s">
        <v>5392</v>
      </c>
      <c r="AM66" t="s">
        <v>1227</v>
      </c>
      <c r="AO66" t="s">
        <v>794</v>
      </c>
      <c r="AP66" t="s">
        <v>1228</v>
      </c>
      <c r="AR66" s="31"/>
      <c r="AX66">
        <v>1</v>
      </c>
    </row>
    <row r="67" spans="1:50" x14ac:dyDescent="0.3">
      <c r="A67" t="s">
        <v>44</v>
      </c>
      <c r="B67">
        <v>202</v>
      </c>
      <c r="D67">
        <v>1665</v>
      </c>
      <c r="G67" t="s">
        <v>5393</v>
      </c>
      <c r="J67" t="s">
        <v>1035</v>
      </c>
      <c r="K67" t="s">
        <v>1036</v>
      </c>
      <c r="M67" t="s">
        <v>1037</v>
      </c>
      <c r="W67" t="s">
        <v>780</v>
      </c>
      <c r="X67" t="s">
        <v>816</v>
      </c>
      <c r="Z67" s="31"/>
      <c r="AA67">
        <v>1600</v>
      </c>
      <c r="AB67">
        <v>1824</v>
      </c>
      <c r="AC67">
        <v>34</v>
      </c>
      <c r="AD67" t="s">
        <v>44</v>
      </c>
      <c r="AE67" s="31">
        <v>45687</v>
      </c>
      <c r="AF67" s="61">
        <v>0.41543981481481479</v>
      </c>
      <c r="AH67" t="s">
        <v>795</v>
      </c>
      <c r="AI67" s="31">
        <v>45721</v>
      </c>
      <c r="AJ67" s="61">
        <v>0.46659722222222222</v>
      </c>
      <c r="AK67" t="s">
        <v>5338</v>
      </c>
      <c r="AL67" t="s">
        <v>5394</v>
      </c>
      <c r="AN67" t="s">
        <v>1039</v>
      </c>
      <c r="AR67" s="31"/>
      <c r="AX67">
        <v>1</v>
      </c>
    </row>
    <row r="68" spans="1:50" x14ac:dyDescent="0.3">
      <c r="A68" t="s">
        <v>44</v>
      </c>
      <c r="B68">
        <v>203</v>
      </c>
      <c r="D68">
        <v>1666</v>
      </c>
      <c r="G68" t="s">
        <v>1232</v>
      </c>
      <c r="J68" t="s">
        <v>1233</v>
      </c>
      <c r="K68" t="s">
        <v>1234</v>
      </c>
      <c r="M68" t="s">
        <v>1235</v>
      </c>
      <c r="W68" t="s">
        <v>780</v>
      </c>
      <c r="X68" t="s">
        <v>857</v>
      </c>
      <c r="Z68" s="31"/>
      <c r="AC68">
        <v>22</v>
      </c>
      <c r="AD68" t="s">
        <v>44</v>
      </c>
      <c r="AE68" s="31">
        <v>45687</v>
      </c>
      <c r="AF68" s="61">
        <v>0.45832175925925928</v>
      </c>
      <c r="AH68" t="s">
        <v>795</v>
      </c>
      <c r="AI68" s="31">
        <v>45709</v>
      </c>
      <c r="AJ68" s="61">
        <v>0.50681712962962966</v>
      </c>
      <c r="AK68" t="s">
        <v>858</v>
      </c>
      <c r="AL68" t="s">
        <v>5395</v>
      </c>
      <c r="AP68" t="s">
        <v>1237</v>
      </c>
      <c r="AR68" s="31"/>
      <c r="AX68">
        <v>1</v>
      </c>
    </row>
    <row r="69" spans="1:50" x14ac:dyDescent="0.3">
      <c r="A69" t="s">
        <v>44</v>
      </c>
      <c r="B69">
        <v>204</v>
      </c>
      <c r="D69">
        <v>1669</v>
      </c>
      <c r="G69" t="s">
        <v>1238</v>
      </c>
      <c r="J69" t="s">
        <v>1239</v>
      </c>
      <c r="K69" t="s">
        <v>1240</v>
      </c>
      <c r="M69" t="s">
        <v>1241</v>
      </c>
      <c r="W69" t="s">
        <v>780</v>
      </c>
      <c r="X69" t="s">
        <v>781</v>
      </c>
      <c r="Z69" s="31"/>
      <c r="AA69">
        <v>837998</v>
      </c>
      <c r="AB69">
        <v>516364</v>
      </c>
      <c r="AC69">
        <v>0</v>
      </c>
      <c r="AD69" t="s">
        <v>22</v>
      </c>
      <c r="AE69" s="31">
        <v>45689</v>
      </c>
      <c r="AF69" s="61">
        <v>7.4224537037037033E-2</v>
      </c>
      <c r="AH69" t="s">
        <v>818</v>
      </c>
      <c r="AI69" s="31">
        <v>45689</v>
      </c>
      <c r="AJ69" s="61">
        <v>0.14140046296296299</v>
      </c>
      <c r="AR69" s="31"/>
      <c r="AX69">
        <v>1</v>
      </c>
    </row>
    <row r="70" spans="1:50" x14ac:dyDescent="0.3">
      <c r="A70" t="s">
        <v>22</v>
      </c>
      <c r="B70">
        <v>205</v>
      </c>
      <c r="D70">
        <v>1670</v>
      </c>
      <c r="G70" t="s">
        <v>1242</v>
      </c>
      <c r="J70" t="s">
        <v>1243</v>
      </c>
      <c r="K70" t="s">
        <v>1244</v>
      </c>
      <c r="M70" t="s">
        <v>1245</v>
      </c>
      <c r="W70" t="s">
        <v>780</v>
      </c>
      <c r="X70" t="s">
        <v>816</v>
      </c>
      <c r="Z70" s="31"/>
      <c r="AA70">
        <v>299984</v>
      </c>
      <c r="AB70">
        <v>0</v>
      </c>
      <c r="AC70">
        <v>0</v>
      </c>
      <c r="AD70" t="s">
        <v>22</v>
      </c>
      <c r="AE70" s="31">
        <v>45689</v>
      </c>
      <c r="AF70" s="61">
        <v>9.1087962962962968E-2</v>
      </c>
      <c r="AH70" t="s">
        <v>818</v>
      </c>
      <c r="AI70" s="31">
        <v>45689</v>
      </c>
      <c r="AJ70" s="61">
        <v>9.9201388888888895E-2</v>
      </c>
      <c r="AN70" t="s">
        <v>888</v>
      </c>
      <c r="AO70" t="s">
        <v>22</v>
      </c>
      <c r="AP70" t="s">
        <v>888</v>
      </c>
      <c r="AR70" s="31"/>
      <c r="AX70">
        <v>1</v>
      </c>
    </row>
    <row r="71" spans="1:50" x14ac:dyDescent="0.3">
      <c r="A71" t="s">
        <v>22</v>
      </c>
      <c r="B71">
        <v>206</v>
      </c>
      <c r="D71">
        <v>1671</v>
      </c>
      <c r="G71" t="s">
        <v>1246</v>
      </c>
      <c r="J71" t="s">
        <v>1247</v>
      </c>
      <c r="K71" t="s">
        <v>1248</v>
      </c>
      <c r="M71" t="s">
        <v>1249</v>
      </c>
      <c r="W71" t="s">
        <v>780</v>
      </c>
      <c r="X71" t="s">
        <v>816</v>
      </c>
      <c r="Z71" s="31"/>
      <c r="AA71">
        <v>1936</v>
      </c>
      <c r="AB71">
        <v>0</v>
      </c>
      <c r="AC71">
        <v>0</v>
      </c>
      <c r="AD71" t="s">
        <v>22</v>
      </c>
      <c r="AE71" s="31">
        <v>45689</v>
      </c>
      <c r="AF71" s="61">
        <v>9.2152777777777778E-2</v>
      </c>
      <c r="AH71" t="s">
        <v>818</v>
      </c>
      <c r="AI71" s="31">
        <v>45689</v>
      </c>
      <c r="AJ71" s="61">
        <v>9.7048611111111113E-2</v>
      </c>
      <c r="AN71" t="s">
        <v>1250</v>
      </c>
      <c r="AO71" t="s">
        <v>22</v>
      </c>
      <c r="AP71" t="s">
        <v>1250</v>
      </c>
      <c r="AR71" s="31"/>
      <c r="AX71">
        <v>1</v>
      </c>
    </row>
    <row r="72" spans="1:50" x14ac:dyDescent="0.3">
      <c r="A72" t="s">
        <v>22</v>
      </c>
      <c r="B72">
        <v>207</v>
      </c>
      <c r="D72">
        <v>1672</v>
      </c>
      <c r="G72" t="s">
        <v>1251</v>
      </c>
      <c r="J72" t="s">
        <v>1252</v>
      </c>
      <c r="M72" t="s">
        <v>1253</v>
      </c>
      <c r="W72" t="s">
        <v>780</v>
      </c>
      <c r="X72" t="s">
        <v>816</v>
      </c>
      <c r="Z72" s="31"/>
      <c r="AA72">
        <v>6160</v>
      </c>
      <c r="AB72">
        <v>0</v>
      </c>
      <c r="AC72">
        <v>0</v>
      </c>
      <c r="AD72" t="s">
        <v>22</v>
      </c>
      <c r="AE72" s="31">
        <v>45689</v>
      </c>
      <c r="AF72" s="61">
        <v>9.2499999999999999E-2</v>
      </c>
      <c r="AH72" t="s">
        <v>818</v>
      </c>
      <c r="AI72" s="31">
        <v>45689</v>
      </c>
      <c r="AJ72" s="61">
        <v>9.7812499999999997E-2</v>
      </c>
      <c r="AN72" t="s">
        <v>1254</v>
      </c>
      <c r="AO72" t="s">
        <v>22</v>
      </c>
      <c r="AP72" t="s">
        <v>1254</v>
      </c>
      <c r="AR72" s="31"/>
      <c r="AX72">
        <v>1</v>
      </c>
    </row>
    <row r="73" spans="1:50" x14ac:dyDescent="0.3">
      <c r="A73" t="s">
        <v>22</v>
      </c>
      <c r="B73">
        <v>208</v>
      </c>
      <c r="D73">
        <v>1673</v>
      </c>
      <c r="G73" t="s">
        <v>1255</v>
      </c>
      <c r="J73" t="s">
        <v>678</v>
      </c>
      <c r="M73" t="s">
        <v>1256</v>
      </c>
      <c r="W73" t="s">
        <v>780</v>
      </c>
      <c r="X73" t="s">
        <v>816</v>
      </c>
      <c r="Z73" s="31"/>
      <c r="AA73">
        <v>486308</v>
      </c>
      <c r="AB73">
        <v>3564</v>
      </c>
      <c r="AC73">
        <v>0</v>
      </c>
      <c r="AD73" t="s">
        <v>22</v>
      </c>
      <c r="AE73" s="31">
        <v>45689</v>
      </c>
      <c r="AF73" s="61">
        <v>9.331018518518519E-2</v>
      </c>
      <c r="AH73" t="s">
        <v>818</v>
      </c>
      <c r="AI73" s="31">
        <v>45689</v>
      </c>
      <c r="AJ73" s="61">
        <v>9.6041666666666664E-2</v>
      </c>
      <c r="AN73" t="s">
        <v>1070</v>
      </c>
      <c r="AO73" t="s">
        <v>22</v>
      </c>
      <c r="AP73" t="s">
        <v>1070</v>
      </c>
      <c r="AR73" s="31"/>
      <c r="AX73">
        <v>1</v>
      </c>
    </row>
    <row r="74" spans="1:50" x14ac:dyDescent="0.3">
      <c r="A74" t="s">
        <v>44</v>
      </c>
      <c r="B74">
        <v>209</v>
      </c>
      <c r="D74">
        <v>1710</v>
      </c>
      <c r="G74" t="s">
        <v>5396</v>
      </c>
      <c r="J74" t="s">
        <v>5397</v>
      </c>
      <c r="K74" t="s">
        <v>1259</v>
      </c>
      <c r="M74" t="s">
        <v>1260</v>
      </c>
      <c r="S74" t="s">
        <v>1068</v>
      </c>
      <c r="W74" t="s">
        <v>780</v>
      </c>
      <c r="X74" t="s">
        <v>857</v>
      </c>
      <c r="Y74" t="s">
        <v>817</v>
      </c>
      <c r="Z74" s="31"/>
      <c r="AC74">
        <v>68</v>
      </c>
      <c r="AD74" t="s">
        <v>44</v>
      </c>
      <c r="AE74" s="31">
        <v>45694</v>
      </c>
      <c r="AF74" s="61">
        <v>0.4337152777777778</v>
      </c>
      <c r="AH74" t="s">
        <v>795</v>
      </c>
      <c r="AI74" s="31">
        <v>45762</v>
      </c>
      <c r="AJ74" s="61">
        <v>0.69322916666666667</v>
      </c>
      <c r="AK74" t="s">
        <v>5338</v>
      </c>
      <c r="AL74" t="s">
        <v>5398</v>
      </c>
      <c r="AP74" t="s">
        <v>1262</v>
      </c>
      <c r="AR74" s="31"/>
      <c r="AX74">
        <v>1</v>
      </c>
    </row>
    <row r="75" spans="1:50" x14ac:dyDescent="0.3">
      <c r="A75" t="s">
        <v>44</v>
      </c>
      <c r="B75">
        <v>210</v>
      </c>
      <c r="D75">
        <v>1711</v>
      </c>
      <c r="G75" t="s">
        <v>1263</v>
      </c>
      <c r="H75">
        <v>12792269000137</v>
      </c>
      <c r="J75" t="s">
        <v>624</v>
      </c>
      <c r="K75" t="s">
        <v>1264</v>
      </c>
      <c r="M75" t="s">
        <v>1265</v>
      </c>
      <c r="V75" t="s">
        <v>1266</v>
      </c>
      <c r="W75" t="s">
        <v>780</v>
      </c>
      <c r="X75" t="s">
        <v>816</v>
      </c>
      <c r="Y75" t="s">
        <v>995</v>
      </c>
      <c r="Z75" s="31"/>
      <c r="AA75">
        <v>65920</v>
      </c>
      <c r="AB75">
        <v>481924</v>
      </c>
      <c r="AC75">
        <v>25</v>
      </c>
      <c r="AD75" t="s">
        <v>44</v>
      </c>
      <c r="AE75" s="31">
        <v>45694</v>
      </c>
      <c r="AF75" s="61">
        <v>0.45374999999999999</v>
      </c>
      <c r="AH75" t="s">
        <v>818</v>
      </c>
      <c r="AI75" s="31">
        <v>45719</v>
      </c>
      <c r="AJ75" s="61">
        <v>0.4811111111111111</v>
      </c>
      <c r="AN75" t="s">
        <v>1262</v>
      </c>
      <c r="AP75" t="s">
        <v>1262</v>
      </c>
      <c r="AQ75" t="s">
        <v>1267</v>
      </c>
      <c r="AR75" s="31"/>
      <c r="AX75">
        <v>1</v>
      </c>
    </row>
    <row r="76" spans="1:50" x14ac:dyDescent="0.3">
      <c r="A76" t="s">
        <v>44</v>
      </c>
      <c r="B76">
        <v>211</v>
      </c>
      <c r="D76">
        <v>1712</v>
      </c>
      <c r="G76" t="s">
        <v>1268</v>
      </c>
      <c r="J76" t="s">
        <v>5399</v>
      </c>
      <c r="K76" t="s">
        <v>1264</v>
      </c>
      <c r="M76" t="s">
        <v>1265</v>
      </c>
      <c r="V76" t="s">
        <v>1266</v>
      </c>
      <c r="W76" t="s">
        <v>780</v>
      </c>
      <c r="X76" t="s">
        <v>816</v>
      </c>
      <c r="Z76" s="31"/>
      <c r="AA76">
        <v>1600</v>
      </c>
      <c r="AB76">
        <v>25908</v>
      </c>
      <c r="AC76">
        <v>14</v>
      </c>
      <c r="AD76" t="s">
        <v>44</v>
      </c>
      <c r="AE76" s="31">
        <v>45694</v>
      </c>
      <c r="AF76" s="61">
        <v>0.48604166666666659</v>
      </c>
      <c r="AH76" t="s">
        <v>795</v>
      </c>
      <c r="AI76" s="31">
        <v>45708</v>
      </c>
      <c r="AJ76" s="61">
        <v>0.66526620370370371</v>
      </c>
      <c r="AK76" t="s">
        <v>858</v>
      </c>
      <c r="AL76" t="s">
        <v>5400</v>
      </c>
      <c r="AN76" t="s">
        <v>1262</v>
      </c>
      <c r="AP76" t="s">
        <v>1262</v>
      </c>
      <c r="AQ76" t="s">
        <v>1267</v>
      </c>
      <c r="AR76" s="31"/>
      <c r="AX76">
        <v>1</v>
      </c>
    </row>
    <row r="77" spans="1:50" x14ac:dyDescent="0.3">
      <c r="A77" t="s">
        <v>44</v>
      </c>
      <c r="B77">
        <v>212</v>
      </c>
      <c r="D77">
        <v>1713</v>
      </c>
      <c r="G77" t="s">
        <v>5401</v>
      </c>
      <c r="J77" t="s">
        <v>1272</v>
      </c>
      <c r="K77" t="s">
        <v>1273</v>
      </c>
      <c r="M77" t="s">
        <v>1274</v>
      </c>
      <c r="S77" t="s">
        <v>1068</v>
      </c>
      <c r="W77" t="s">
        <v>780</v>
      </c>
      <c r="X77" t="s">
        <v>857</v>
      </c>
      <c r="Y77" t="s">
        <v>817</v>
      </c>
      <c r="Z77" s="31"/>
      <c r="AC77">
        <v>60</v>
      </c>
      <c r="AD77" t="s">
        <v>44</v>
      </c>
      <c r="AE77" s="31">
        <v>45694</v>
      </c>
      <c r="AF77" s="61">
        <v>0.5163078703703704</v>
      </c>
      <c r="AH77" t="s">
        <v>795</v>
      </c>
      <c r="AI77" s="31">
        <v>45754</v>
      </c>
      <c r="AJ77" s="61">
        <v>0.4931828703703704</v>
      </c>
      <c r="AK77" t="s">
        <v>5338</v>
      </c>
      <c r="AL77" t="s">
        <v>1275</v>
      </c>
      <c r="AP77" t="s">
        <v>1262</v>
      </c>
      <c r="AR77" s="31"/>
      <c r="AX77">
        <v>1</v>
      </c>
    </row>
    <row r="78" spans="1:50" x14ac:dyDescent="0.3">
      <c r="A78" t="s">
        <v>44</v>
      </c>
      <c r="B78">
        <v>213</v>
      </c>
      <c r="D78">
        <v>1714</v>
      </c>
      <c r="G78" t="s">
        <v>5402</v>
      </c>
      <c r="J78" t="s">
        <v>5403</v>
      </c>
      <c r="K78" t="s">
        <v>1278</v>
      </c>
      <c r="M78" t="s">
        <v>1279</v>
      </c>
      <c r="W78" t="s">
        <v>780</v>
      </c>
      <c r="X78" t="s">
        <v>897</v>
      </c>
      <c r="Z78" s="31"/>
      <c r="AA78">
        <v>14400</v>
      </c>
      <c r="AB78">
        <v>18034</v>
      </c>
      <c r="AC78">
        <v>43</v>
      </c>
      <c r="AD78" t="s">
        <v>44</v>
      </c>
      <c r="AE78" s="31">
        <v>45694</v>
      </c>
      <c r="AF78" s="61">
        <v>0.52555555555555555</v>
      </c>
      <c r="AH78" t="s">
        <v>795</v>
      </c>
      <c r="AI78" s="31">
        <v>45737</v>
      </c>
      <c r="AJ78" s="61">
        <v>0.60868055555555556</v>
      </c>
      <c r="AK78" t="s">
        <v>858</v>
      </c>
      <c r="AL78" t="s">
        <v>5404</v>
      </c>
      <c r="AN78" t="s">
        <v>1281</v>
      </c>
      <c r="AP78" t="s">
        <v>1262</v>
      </c>
      <c r="AR78" s="31"/>
      <c r="AX78">
        <v>1</v>
      </c>
    </row>
    <row r="79" spans="1:50" x14ac:dyDescent="0.3">
      <c r="A79" t="s">
        <v>22</v>
      </c>
      <c r="B79">
        <v>214</v>
      </c>
      <c r="D79">
        <v>1661</v>
      </c>
      <c r="G79" t="s">
        <v>1282</v>
      </c>
      <c r="J79" t="s">
        <v>914</v>
      </c>
      <c r="K79" t="s">
        <v>1283</v>
      </c>
      <c r="M79" t="s">
        <v>1284</v>
      </c>
      <c r="Q79" t="s">
        <v>1285</v>
      </c>
      <c r="S79" t="s">
        <v>814</v>
      </c>
      <c r="W79" t="s">
        <v>780</v>
      </c>
      <c r="X79" t="s">
        <v>807</v>
      </c>
      <c r="Z79" s="31"/>
      <c r="AC79">
        <v>0</v>
      </c>
      <c r="AD79" t="s">
        <v>22</v>
      </c>
      <c r="AE79" s="31">
        <v>45694</v>
      </c>
      <c r="AF79" s="61">
        <v>0.57986111111111116</v>
      </c>
      <c r="AH79" t="s">
        <v>795</v>
      </c>
      <c r="AI79" s="31">
        <v>45694</v>
      </c>
      <c r="AJ79" s="61">
        <v>0.72984953703703703</v>
      </c>
      <c r="AK79" t="s">
        <v>5347</v>
      </c>
      <c r="AN79" t="s">
        <v>1286</v>
      </c>
      <c r="AP79" t="s">
        <v>1286</v>
      </c>
      <c r="AR79" s="31"/>
      <c r="AX79">
        <v>1</v>
      </c>
    </row>
    <row r="80" spans="1:50" x14ac:dyDescent="0.3">
      <c r="A80" t="s">
        <v>22</v>
      </c>
      <c r="B80">
        <v>215</v>
      </c>
      <c r="D80">
        <v>1715</v>
      </c>
      <c r="G80" t="s">
        <v>1287</v>
      </c>
      <c r="J80" t="s">
        <v>1288</v>
      </c>
      <c r="K80" t="s">
        <v>1289</v>
      </c>
      <c r="M80" t="s">
        <v>1290</v>
      </c>
      <c r="S80" t="s">
        <v>814</v>
      </c>
      <c r="V80" t="s">
        <v>5405</v>
      </c>
      <c r="W80" t="s">
        <v>780</v>
      </c>
      <c r="X80" t="s">
        <v>807</v>
      </c>
      <c r="Z80" s="31"/>
      <c r="AA80">
        <v>43740</v>
      </c>
      <c r="AB80">
        <v>158239</v>
      </c>
      <c r="AC80">
        <v>13</v>
      </c>
      <c r="AD80" t="s">
        <v>22</v>
      </c>
      <c r="AE80" s="31">
        <v>45694</v>
      </c>
      <c r="AF80" s="61">
        <v>0.58037037037037043</v>
      </c>
      <c r="AH80" t="s">
        <v>795</v>
      </c>
      <c r="AI80" s="31">
        <v>45707</v>
      </c>
      <c r="AJ80" s="61">
        <v>0.38752314814814809</v>
      </c>
      <c r="AK80" t="s">
        <v>5347</v>
      </c>
      <c r="AN80" t="s">
        <v>1292</v>
      </c>
      <c r="AP80" t="s">
        <v>1293</v>
      </c>
      <c r="AR80" s="31"/>
      <c r="AX80">
        <v>1</v>
      </c>
    </row>
    <row r="81" spans="1:50" x14ac:dyDescent="0.3">
      <c r="A81" t="s">
        <v>22</v>
      </c>
      <c r="B81">
        <v>219</v>
      </c>
      <c r="D81">
        <v>1720</v>
      </c>
      <c r="G81" t="s">
        <v>1294</v>
      </c>
      <c r="J81" t="s">
        <v>1295</v>
      </c>
      <c r="K81" t="s">
        <v>1296</v>
      </c>
      <c r="M81" t="s">
        <v>1297</v>
      </c>
      <c r="W81" t="s">
        <v>780</v>
      </c>
      <c r="X81" t="s">
        <v>816</v>
      </c>
      <c r="Z81" s="31"/>
      <c r="AA81">
        <v>14400</v>
      </c>
      <c r="AB81">
        <v>122984</v>
      </c>
      <c r="AC81">
        <v>8</v>
      </c>
      <c r="AD81" t="s">
        <v>22</v>
      </c>
      <c r="AE81" s="31">
        <v>45694</v>
      </c>
      <c r="AF81" s="61">
        <v>0.73803240740740739</v>
      </c>
      <c r="AH81" t="s">
        <v>818</v>
      </c>
      <c r="AI81" s="31">
        <v>45702</v>
      </c>
      <c r="AJ81" s="61">
        <v>0.46967592592592589</v>
      </c>
      <c r="AN81" t="s">
        <v>1293</v>
      </c>
      <c r="AO81" t="s">
        <v>22</v>
      </c>
      <c r="AP81" t="s">
        <v>1293</v>
      </c>
      <c r="AR81" s="31"/>
      <c r="AX81">
        <v>1</v>
      </c>
    </row>
    <row r="82" spans="1:50" x14ac:dyDescent="0.3">
      <c r="A82" t="s">
        <v>44</v>
      </c>
      <c r="B82">
        <v>230</v>
      </c>
      <c r="D82">
        <v>1734</v>
      </c>
      <c r="G82" t="s">
        <v>5406</v>
      </c>
      <c r="J82" t="s">
        <v>5407</v>
      </c>
      <c r="K82" t="s">
        <v>1300</v>
      </c>
      <c r="M82" t="s">
        <v>1301</v>
      </c>
      <c r="S82" t="s">
        <v>1068</v>
      </c>
      <c r="V82" t="s">
        <v>5408</v>
      </c>
      <c r="W82" t="s">
        <v>780</v>
      </c>
      <c r="X82" t="s">
        <v>816</v>
      </c>
      <c r="Y82" t="s">
        <v>817</v>
      </c>
      <c r="Z82" s="31"/>
      <c r="AA82">
        <v>56000</v>
      </c>
      <c r="AB82">
        <v>2101739</v>
      </c>
      <c r="AC82">
        <v>161</v>
      </c>
      <c r="AD82" t="s">
        <v>44</v>
      </c>
      <c r="AE82" s="31">
        <v>45698</v>
      </c>
      <c r="AF82" s="61">
        <v>0.32956018518518521</v>
      </c>
      <c r="AH82" t="s">
        <v>795</v>
      </c>
      <c r="AI82" s="31">
        <v>45859</v>
      </c>
      <c r="AJ82" s="61">
        <v>0.40759259259259262</v>
      </c>
      <c r="AK82" t="s">
        <v>5338</v>
      </c>
      <c r="AL82" t="s">
        <v>5409</v>
      </c>
      <c r="AN82" t="s">
        <v>1304</v>
      </c>
      <c r="AP82" t="s">
        <v>1305</v>
      </c>
      <c r="AR82" s="31"/>
      <c r="AX82">
        <v>1</v>
      </c>
    </row>
    <row r="83" spans="1:50" x14ac:dyDescent="0.3">
      <c r="A83" t="s">
        <v>22</v>
      </c>
      <c r="B83">
        <v>231</v>
      </c>
      <c r="D83">
        <v>1733</v>
      </c>
      <c r="E83" t="s">
        <v>5410</v>
      </c>
      <c r="F83" t="s">
        <v>1307</v>
      </c>
      <c r="G83" t="s">
        <v>1308</v>
      </c>
      <c r="H83">
        <v>14936505000258</v>
      </c>
      <c r="J83" t="s">
        <v>5411</v>
      </c>
      <c r="K83" t="s">
        <v>1310</v>
      </c>
      <c r="M83" t="s">
        <v>1311</v>
      </c>
      <c r="Q83" t="s">
        <v>1312</v>
      </c>
      <c r="R83" t="s">
        <v>790</v>
      </c>
      <c r="S83" t="s">
        <v>1068</v>
      </c>
      <c r="V83" t="s">
        <v>1068</v>
      </c>
      <c r="W83" t="s">
        <v>780</v>
      </c>
      <c r="X83" t="s">
        <v>897</v>
      </c>
      <c r="Z83" s="31"/>
      <c r="AC83">
        <v>38</v>
      </c>
      <c r="AD83" t="s">
        <v>794</v>
      </c>
      <c r="AE83" s="31">
        <v>45699</v>
      </c>
      <c r="AF83" s="61">
        <v>0.65057870370370374</v>
      </c>
      <c r="AH83" t="s">
        <v>795</v>
      </c>
      <c r="AI83" s="31">
        <v>45737</v>
      </c>
      <c r="AJ83" s="61">
        <v>0.63589120370370367</v>
      </c>
      <c r="AK83" t="s">
        <v>5412</v>
      </c>
      <c r="AL83" t="s">
        <v>1313</v>
      </c>
      <c r="AM83" t="s">
        <v>1314</v>
      </c>
      <c r="AO83" t="s">
        <v>794</v>
      </c>
      <c r="AP83" t="s">
        <v>1315</v>
      </c>
      <c r="AR83" s="31"/>
      <c r="AX83">
        <v>1</v>
      </c>
    </row>
    <row r="84" spans="1:50" x14ac:dyDescent="0.3">
      <c r="A84" t="s">
        <v>22</v>
      </c>
      <c r="B84">
        <v>232</v>
      </c>
      <c r="D84">
        <v>1704</v>
      </c>
      <c r="G84" t="s">
        <v>1316</v>
      </c>
      <c r="H84">
        <v>29432229000187</v>
      </c>
      <c r="J84" t="s">
        <v>1317</v>
      </c>
      <c r="K84" t="s">
        <v>1318</v>
      </c>
      <c r="M84" t="s">
        <v>1319</v>
      </c>
      <c r="S84" t="s">
        <v>805</v>
      </c>
      <c r="V84" t="s">
        <v>1320</v>
      </c>
      <c r="W84" t="s">
        <v>780</v>
      </c>
      <c r="X84" t="s">
        <v>897</v>
      </c>
      <c r="Z84" s="31"/>
      <c r="AC84">
        <v>42</v>
      </c>
      <c r="AD84" t="s">
        <v>794</v>
      </c>
      <c r="AE84" s="31">
        <v>45700</v>
      </c>
      <c r="AF84" s="61">
        <v>0.45228009259259261</v>
      </c>
      <c r="AH84" t="s">
        <v>795</v>
      </c>
      <c r="AI84" s="31">
        <v>45742</v>
      </c>
      <c r="AJ84" s="61">
        <v>0.73261574074074076</v>
      </c>
      <c r="AK84" t="s">
        <v>5347</v>
      </c>
      <c r="AM84" t="s">
        <v>1321</v>
      </c>
      <c r="AO84" t="s">
        <v>794</v>
      </c>
      <c r="AP84" t="s">
        <v>1322</v>
      </c>
      <c r="AR84" s="31"/>
      <c r="AX84">
        <v>1</v>
      </c>
    </row>
    <row r="85" spans="1:50" x14ac:dyDescent="0.3">
      <c r="A85" t="s">
        <v>44</v>
      </c>
      <c r="B85">
        <v>233</v>
      </c>
      <c r="D85">
        <v>1747</v>
      </c>
      <c r="G85" t="s">
        <v>5413</v>
      </c>
      <c r="J85" t="s">
        <v>5414</v>
      </c>
      <c r="K85" t="s">
        <v>1325</v>
      </c>
      <c r="M85" t="s">
        <v>1326</v>
      </c>
      <c r="V85" t="s">
        <v>1327</v>
      </c>
      <c r="W85" t="s">
        <v>780</v>
      </c>
      <c r="X85" t="s">
        <v>816</v>
      </c>
      <c r="Z85" s="31"/>
      <c r="AA85">
        <v>60534</v>
      </c>
      <c r="AB85">
        <v>27562</v>
      </c>
      <c r="AC85">
        <v>18</v>
      </c>
      <c r="AD85" t="s">
        <v>44</v>
      </c>
      <c r="AE85" s="31">
        <v>45701</v>
      </c>
      <c r="AF85" s="61">
        <v>0.4293865740740741</v>
      </c>
      <c r="AH85" t="s">
        <v>818</v>
      </c>
      <c r="AI85" s="31">
        <v>45719</v>
      </c>
      <c r="AJ85" s="61">
        <v>0.4816435185185185</v>
      </c>
      <c r="AN85" t="s">
        <v>1328</v>
      </c>
      <c r="AP85" t="s">
        <v>1305</v>
      </c>
      <c r="AR85" s="31"/>
      <c r="AX85">
        <v>1</v>
      </c>
    </row>
    <row r="86" spans="1:50" x14ac:dyDescent="0.3">
      <c r="A86" t="s">
        <v>44</v>
      </c>
      <c r="B86">
        <v>234</v>
      </c>
      <c r="D86">
        <v>1748</v>
      </c>
      <c r="G86" t="s">
        <v>1329</v>
      </c>
      <c r="H86">
        <v>26981837000152</v>
      </c>
      <c r="J86" t="s">
        <v>1330</v>
      </c>
      <c r="K86" t="s">
        <v>1331</v>
      </c>
      <c r="M86" t="s">
        <v>1332</v>
      </c>
      <c r="Q86" t="s">
        <v>1333</v>
      </c>
      <c r="R86" t="s">
        <v>1334</v>
      </c>
      <c r="V86" t="s">
        <v>1327</v>
      </c>
      <c r="W86" t="s">
        <v>780</v>
      </c>
      <c r="X86" t="s">
        <v>793</v>
      </c>
      <c r="Z86" s="31"/>
      <c r="AA86">
        <v>40440</v>
      </c>
      <c r="AB86">
        <v>340574</v>
      </c>
      <c r="AC86">
        <v>11</v>
      </c>
      <c r="AD86" t="s">
        <v>44</v>
      </c>
      <c r="AE86" s="31">
        <v>45701</v>
      </c>
      <c r="AF86" s="61">
        <v>0.45105324074074082</v>
      </c>
      <c r="AH86" t="s">
        <v>795</v>
      </c>
      <c r="AI86" s="31">
        <v>45712</v>
      </c>
      <c r="AJ86" s="61">
        <v>0.69750000000000001</v>
      </c>
      <c r="AK86" t="s">
        <v>5347</v>
      </c>
      <c r="AL86" t="s">
        <v>1335</v>
      </c>
      <c r="AN86" t="s">
        <v>1328</v>
      </c>
      <c r="AP86" t="s">
        <v>1336</v>
      </c>
      <c r="AR86" s="31"/>
      <c r="AX86">
        <v>1</v>
      </c>
    </row>
    <row r="87" spans="1:50" x14ac:dyDescent="0.3">
      <c r="A87" t="s">
        <v>44</v>
      </c>
      <c r="B87">
        <v>235</v>
      </c>
      <c r="D87">
        <v>1750</v>
      </c>
      <c r="G87" t="s">
        <v>5415</v>
      </c>
      <c r="H87">
        <v>43530585000164</v>
      </c>
      <c r="J87" t="s">
        <v>5416</v>
      </c>
      <c r="K87" t="s">
        <v>1339</v>
      </c>
      <c r="M87" t="s">
        <v>1340</v>
      </c>
      <c r="Q87" t="s">
        <v>1341</v>
      </c>
      <c r="R87" t="s">
        <v>932</v>
      </c>
      <c r="V87" t="s">
        <v>1327</v>
      </c>
      <c r="W87" t="s">
        <v>780</v>
      </c>
      <c r="X87" t="s">
        <v>793</v>
      </c>
      <c r="Z87" s="31"/>
      <c r="AA87">
        <v>4663152</v>
      </c>
      <c r="AB87">
        <v>15528</v>
      </c>
      <c r="AC87">
        <v>11</v>
      </c>
      <c r="AD87" t="s">
        <v>44</v>
      </c>
      <c r="AE87" s="31">
        <v>45701</v>
      </c>
      <c r="AF87" s="61">
        <v>0.46368055555555548</v>
      </c>
      <c r="AH87" t="s">
        <v>795</v>
      </c>
      <c r="AI87" s="31">
        <v>45712</v>
      </c>
      <c r="AJ87" s="61">
        <v>0.71800925925925929</v>
      </c>
      <c r="AK87" t="s">
        <v>5347</v>
      </c>
      <c r="AL87" t="s">
        <v>1342</v>
      </c>
      <c r="AN87" t="s">
        <v>1343</v>
      </c>
      <c r="AP87" t="s">
        <v>1336</v>
      </c>
      <c r="AR87" s="31"/>
      <c r="AX87">
        <v>1</v>
      </c>
    </row>
    <row r="88" spans="1:50" x14ac:dyDescent="0.3">
      <c r="A88" t="s">
        <v>44</v>
      </c>
      <c r="B88">
        <v>236</v>
      </c>
      <c r="D88">
        <v>1754</v>
      </c>
      <c r="G88" t="s">
        <v>1344</v>
      </c>
      <c r="H88">
        <v>43530585000164</v>
      </c>
      <c r="J88" t="s">
        <v>1345</v>
      </c>
      <c r="K88" t="s">
        <v>1339</v>
      </c>
      <c r="M88" t="s">
        <v>1340</v>
      </c>
      <c r="Q88" t="s">
        <v>1341</v>
      </c>
      <c r="R88" t="s">
        <v>932</v>
      </c>
      <c r="V88" t="s">
        <v>1327</v>
      </c>
      <c r="W88" t="s">
        <v>780</v>
      </c>
      <c r="X88" t="s">
        <v>793</v>
      </c>
      <c r="Z88" s="31"/>
      <c r="AA88">
        <v>23580</v>
      </c>
      <c r="AB88">
        <v>3060</v>
      </c>
      <c r="AC88">
        <v>11</v>
      </c>
      <c r="AD88" t="s">
        <v>44</v>
      </c>
      <c r="AE88" s="31">
        <v>45701</v>
      </c>
      <c r="AF88" s="61">
        <v>0.46849537037037042</v>
      </c>
      <c r="AH88" t="s">
        <v>795</v>
      </c>
      <c r="AI88" s="31">
        <v>45712</v>
      </c>
      <c r="AJ88" s="61">
        <v>0.71834490740740742</v>
      </c>
      <c r="AK88" t="s">
        <v>5347</v>
      </c>
      <c r="AL88" t="s">
        <v>1342</v>
      </c>
      <c r="AN88" t="s">
        <v>1343</v>
      </c>
      <c r="AP88" t="s">
        <v>1336</v>
      </c>
      <c r="AR88" s="31"/>
      <c r="AX88">
        <v>1</v>
      </c>
    </row>
    <row r="89" spans="1:50" x14ac:dyDescent="0.3">
      <c r="A89" t="s">
        <v>44</v>
      </c>
      <c r="B89">
        <v>237</v>
      </c>
      <c r="D89">
        <v>1758</v>
      </c>
      <c r="G89" t="s">
        <v>1346</v>
      </c>
      <c r="H89">
        <v>12182313000197</v>
      </c>
      <c r="J89" t="s">
        <v>1347</v>
      </c>
      <c r="K89" t="s">
        <v>1348</v>
      </c>
      <c r="M89" t="s">
        <v>1349</v>
      </c>
      <c r="Q89" t="s">
        <v>1350</v>
      </c>
      <c r="R89" t="s">
        <v>874</v>
      </c>
      <c r="S89" t="s">
        <v>1068</v>
      </c>
      <c r="V89" t="s">
        <v>1327</v>
      </c>
      <c r="W89" t="s">
        <v>780</v>
      </c>
      <c r="X89" t="s">
        <v>793</v>
      </c>
      <c r="Y89" t="s">
        <v>817</v>
      </c>
      <c r="Z89" s="31"/>
      <c r="AA89">
        <v>85500</v>
      </c>
      <c r="AB89">
        <v>769354</v>
      </c>
      <c r="AC89">
        <v>62</v>
      </c>
      <c r="AD89" t="s">
        <v>44</v>
      </c>
      <c r="AE89" s="31">
        <v>45701</v>
      </c>
      <c r="AF89" s="61">
        <v>0.47734953703703698</v>
      </c>
      <c r="AH89" t="s">
        <v>795</v>
      </c>
      <c r="AI89" s="31">
        <v>45763</v>
      </c>
      <c r="AJ89" s="61">
        <v>0.39438657407407413</v>
      </c>
      <c r="AK89" t="s">
        <v>5338</v>
      </c>
      <c r="AL89" t="s">
        <v>5417</v>
      </c>
      <c r="AN89" t="s">
        <v>1352</v>
      </c>
      <c r="AP89" t="s">
        <v>1305</v>
      </c>
      <c r="AR89" s="31"/>
      <c r="AX89">
        <v>1</v>
      </c>
    </row>
    <row r="90" spans="1:50" x14ac:dyDescent="0.3">
      <c r="A90" t="s">
        <v>22</v>
      </c>
      <c r="B90">
        <v>242</v>
      </c>
      <c r="D90">
        <v>1746</v>
      </c>
      <c r="G90" t="s">
        <v>1353</v>
      </c>
      <c r="H90">
        <v>865166000170</v>
      </c>
      <c r="J90" t="s">
        <v>1354</v>
      </c>
      <c r="K90" t="s">
        <v>1355</v>
      </c>
      <c r="M90" t="s">
        <v>1356</v>
      </c>
      <c r="Q90" t="s">
        <v>1104</v>
      </c>
      <c r="S90" t="s">
        <v>814</v>
      </c>
      <c r="V90" t="s">
        <v>5418</v>
      </c>
      <c r="W90" t="s">
        <v>780</v>
      </c>
      <c r="X90" t="s">
        <v>807</v>
      </c>
      <c r="Z90" s="31"/>
      <c r="AC90">
        <v>25</v>
      </c>
      <c r="AD90" t="s">
        <v>22</v>
      </c>
      <c r="AE90" s="31">
        <v>45701</v>
      </c>
      <c r="AF90" s="61">
        <v>0.73598379629629629</v>
      </c>
      <c r="AH90" t="s">
        <v>795</v>
      </c>
      <c r="AI90" s="31">
        <v>45726</v>
      </c>
      <c r="AJ90" s="61">
        <v>0.73435185185185181</v>
      </c>
      <c r="AK90" t="s">
        <v>5419</v>
      </c>
      <c r="AO90" t="s">
        <v>22</v>
      </c>
      <c r="AP90" t="s">
        <v>1359</v>
      </c>
      <c r="AR90" s="31"/>
      <c r="AX90">
        <v>1</v>
      </c>
    </row>
    <row r="91" spans="1:50" x14ac:dyDescent="0.3">
      <c r="A91" t="s">
        <v>22</v>
      </c>
      <c r="B91">
        <v>245</v>
      </c>
      <c r="D91">
        <v>1763</v>
      </c>
      <c r="G91" t="s">
        <v>1360</v>
      </c>
      <c r="H91">
        <v>30164963000191</v>
      </c>
      <c r="J91" t="s">
        <v>1361</v>
      </c>
      <c r="K91" t="s">
        <v>1362</v>
      </c>
      <c r="M91" t="s">
        <v>1363</v>
      </c>
      <c r="Q91" t="s">
        <v>923</v>
      </c>
      <c r="S91" t="s">
        <v>814</v>
      </c>
      <c r="V91" t="s">
        <v>5405</v>
      </c>
      <c r="W91" t="s">
        <v>780</v>
      </c>
      <c r="X91" t="s">
        <v>816</v>
      </c>
      <c r="Z91" s="31"/>
      <c r="AA91">
        <v>46332</v>
      </c>
      <c r="AB91">
        <v>257546</v>
      </c>
      <c r="AC91">
        <v>35</v>
      </c>
      <c r="AD91" t="s">
        <v>22</v>
      </c>
      <c r="AE91" s="31">
        <v>45702</v>
      </c>
      <c r="AF91" s="61">
        <v>0.46055555555555561</v>
      </c>
      <c r="AH91" t="s">
        <v>818</v>
      </c>
      <c r="AI91" s="31">
        <v>45737</v>
      </c>
      <c r="AJ91" s="61">
        <v>0.61858796296296292</v>
      </c>
      <c r="AN91" t="s">
        <v>1364</v>
      </c>
      <c r="AO91" t="s">
        <v>22</v>
      </c>
      <c r="AP91" t="s">
        <v>1359</v>
      </c>
      <c r="AR91" s="31"/>
      <c r="AX91">
        <v>1</v>
      </c>
    </row>
    <row r="92" spans="1:50" x14ac:dyDescent="0.3">
      <c r="A92" t="s">
        <v>22</v>
      </c>
      <c r="B92">
        <v>246</v>
      </c>
      <c r="D92">
        <v>1768</v>
      </c>
      <c r="G92" t="s">
        <v>1365</v>
      </c>
      <c r="J92" t="s">
        <v>1366</v>
      </c>
      <c r="K92" t="s">
        <v>1296</v>
      </c>
      <c r="M92" t="s">
        <v>1297</v>
      </c>
      <c r="W92" t="s">
        <v>780</v>
      </c>
      <c r="X92" t="s">
        <v>816</v>
      </c>
      <c r="Z92" s="31"/>
      <c r="AA92">
        <v>0</v>
      </c>
      <c r="AB92">
        <v>3062</v>
      </c>
      <c r="AC92">
        <v>0</v>
      </c>
      <c r="AD92" t="s">
        <v>22</v>
      </c>
      <c r="AE92" s="31">
        <v>45702</v>
      </c>
      <c r="AF92" s="61">
        <v>0.4742939814814815</v>
      </c>
      <c r="AH92" t="s">
        <v>818</v>
      </c>
      <c r="AI92" s="31">
        <v>45702</v>
      </c>
      <c r="AJ92" s="61">
        <v>0.47730324074074082</v>
      </c>
      <c r="AN92" t="s">
        <v>1328</v>
      </c>
      <c r="AO92" t="s">
        <v>22</v>
      </c>
      <c r="AP92" t="s">
        <v>1328</v>
      </c>
      <c r="AR92" s="31"/>
      <c r="AX92">
        <v>1</v>
      </c>
    </row>
    <row r="93" spans="1:50" x14ac:dyDescent="0.3">
      <c r="A93" t="s">
        <v>22</v>
      </c>
      <c r="B93">
        <v>248</v>
      </c>
      <c r="D93">
        <v>1770</v>
      </c>
      <c r="G93" t="s">
        <v>1367</v>
      </c>
      <c r="J93" t="s">
        <v>5420</v>
      </c>
      <c r="K93" t="s">
        <v>1369</v>
      </c>
      <c r="M93" t="s">
        <v>1370</v>
      </c>
      <c r="S93" t="s">
        <v>1068</v>
      </c>
      <c r="V93" t="s">
        <v>1327</v>
      </c>
      <c r="W93" t="s">
        <v>780</v>
      </c>
      <c r="X93" t="s">
        <v>807</v>
      </c>
      <c r="Y93" t="s">
        <v>817</v>
      </c>
      <c r="Z93" s="31"/>
      <c r="AA93">
        <v>64600</v>
      </c>
      <c r="AB93">
        <v>199064</v>
      </c>
      <c r="AC93">
        <v>53</v>
      </c>
      <c r="AD93" t="s">
        <v>22</v>
      </c>
      <c r="AE93" s="31">
        <v>45702</v>
      </c>
      <c r="AF93" s="61">
        <v>0.67921296296296296</v>
      </c>
      <c r="AH93" t="s">
        <v>795</v>
      </c>
      <c r="AI93" s="31">
        <v>45755</v>
      </c>
      <c r="AJ93" s="61">
        <v>0.37805555555555548</v>
      </c>
      <c r="AK93" t="s">
        <v>858</v>
      </c>
      <c r="AN93" t="s">
        <v>1343</v>
      </c>
      <c r="AP93" t="s">
        <v>1328</v>
      </c>
      <c r="AR93" s="31"/>
      <c r="AX93">
        <v>1</v>
      </c>
    </row>
    <row r="94" spans="1:50" x14ac:dyDescent="0.3">
      <c r="A94" t="s">
        <v>22</v>
      </c>
      <c r="B94">
        <v>249</v>
      </c>
      <c r="D94">
        <v>1771</v>
      </c>
      <c r="G94" t="s">
        <v>1371</v>
      </c>
      <c r="J94" t="s">
        <v>1372</v>
      </c>
      <c r="K94" t="s">
        <v>1373</v>
      </c>
      <c r="M94" t="s">
        <v>1111</v>
      </c>
      <c r="S94" t="s">
        <v>933</v>
      </c>
      <c r="V94" t="s">
        <v>1327</v>
      </c>
      <c r="W94" t="s">
        <v>780</v>
      </c>
      <c r="X94" t="s">
        <v>807</v>
      </c>
      <c r="Y94" t="s">
        <v>817</v>
      </c>
      <c r="Z94" s="31"/>
      <c r="AA94">
        <v>16000</v>
      </c>
      <c r="AB94">
        <v>3724</v>
      </c>
      <c r="AC94">
        <v>116</v>
      </c>
      <c r="AD94" t="s">
        <v>22</v>
      </c>
      <c r="AE94" s="31">
        <v>45702</v>
      </c>
      <c r="AF94" s="61">
        <v>0.68333333333333335</v>
      </c>
      <c r="AH94" t="s">
        <v>795</v>
      </c>
      <c r="AI94" s="31">
        <v>45818</v>
      </c>
      <c r="AJ94" s="61">
        <v>0.61789351851851848</v>
      </c>
      <c r="AK94" t="s">
        <v>858</v>
      </c>
      <c r="AN94" t="s">
        <v>1374</v>
      </c>
      <c r="AO94" t="s">
        <v>22</v>
      </c>
      <c r="AP94" t="s">
        <v>1343</v>
      </c>
      <c r="AR94" s="31"/>
      <c r="AX94">
        <v>1</v>
      </c>
    </row>
    <row r="95" spans="1:50" x14ac:dyDescent="0.3">
      <c r="A95" t="s">
        <v>22</v>
      </c>
      <c r="B95">
        <v>250</v>
      </c>
      <c r="D95">
        <v>1772</v>
      </c>
      <c r="G95" t="s">
        <v>1375</v>
      </c>
      <c r="J95" t="s">
        <v>1239</v>
      </c>
      <c r="K95" t="s">
        <v>1376</v>
      </c>
      <c r="M95" t="s">
        <v>1111</v>
      </c>
      <c r="S95" t="s">
        <v>1068</v>
      </c>
      <c r="V95" t="s">
        <v>5421</v>
      </c>
      <c r="W95" t="s">
        <v>780</v>
      </c>
      <c r="X95" t="s">
        <v>857</v>
      </c>
      <c r="Y95" t="s">
        <v>817</v>
      </c>
      <c r="Z95" s="31">
        <v>46935</v>
      </c>
      <c r="AC95">
        <v>208</v>
      </c>
      <c r="AD95" t="s">
        <v>22</v>
      </c>
      <c r="AE95" s="31">
        <v>45702</v>
      </c>
      <c r="AF95" s="61">
        <v>0.68557870370370366</v>
      </c>
      <c r="AH95" t="s">
        <v>795</v>
      </c>
      <c r="AI95" s="31">
        <v>45910</v>
      </c>
      <c r="AJ95" s="61">
        <v>0.6743055555555556</v>
      </c>
      <c r="AK95" t="s">
        <v>5338</v>
      </c>
      <c r="AO95" t="s">
        <v>22</v>
      </c>
      <c r="AP95" t="s">
        <v>1378</v>
      </c>
      <c r="AR95" s="31"/>
      <c r="AX95">
        <v>1</v>
      </c>
    </row>
    <row r="96" spans="1:50" x14ac:dyDescent="0.3">
      <c r="A96" t="s">
        <v>22</v>
      </c>
      <c r="B96">
        <v>253</v>
      </c>
      <c r="D96">
        <v>1776</v>
      </c>
      <c r="G96" t="s">
        <v>1379</v>
      </c>
      <c r="J96" t="s">
        <v>1380</v>
      </c>
      <c r="K96" t="s">
        <v>1381</v>
      </c>
      <c r="M96" t="s">
        <v>1111</v>
      </c>
      <c r="S96" t="s">
        <v>1068</v>
      </c>
      <c r="V96" t="s">
        <v>5422</v>
      </c>
      <c r="W96" t="s">
        <v>780</v>
      </c>
      <c r="X96" t="s">
        <v>807</v>
      </c>
      <c r="Y96" t="s">
        <v>817</v>
      </c>
      <c r="Z96" s="31">
        <v>46037</v>
      </c>
      <c r="AA96">
        <v>48000</v>
      </c>
      <c r="AB96">
        <v>1690959</v>
      </c>
      <c r="AC96">
        <v>299</v>
      </c>
      <c r="AD96" t="s">
        <v>22</v>
      </c>
      <c r="AE96" s="31">
        <v>45702</v>
      </c>
      <c r="AF96" s="61">
        <v>0.72782407407407412</v>
      </c>
      <c r="AH96" t="s">
        <v>795</v>
      </c>
      <c r="AI96" s="31">
        <v>46001</v>
      </c>
      <c r="AJ96" s="61">
        <v>0.71494212962962966</v>
      </c>
      <c r="AK96" t="s">
        <v>858</v>
      </c>
      <c r="AN96" t="s">
        <v>1383</v>
      </c>
      <c r="AO96" t="s">
        <v>22</v>
      </c>
      <c r="AP96" t="s">
        <v>1359</v>
      </c>
      <c r="AR96" s="31"/>
      <c r="AX96">
        <v>1</v>
      </c>
    </row>
    <row r="97" spans="1:50" x14ac:dyDescent="0.3">
      <c r="A97" t="s">
        <v>22</v>
      </c>
      <c r="B97">
        <v>254</v>
      </c>
      <c r="D97">
        <v>1777</v>
      </c>
      <c r="G97" t="s">
        <v>1384</v>
      </c>
      <c r="J97" t="s">
        <v>1385</v>
      </c>
      <c r="K97" t="s">
        <v>1386</v>
      </c>
      <c r="M97" t="s">
        <v>1111</v>
      </c>
      <c r="S97" t="s">
        <v>1068</v>
      </c>
      <c r="V97" t="s">
        <v>1327</v>
      </c>
      <c r="W97" t="s">
        <v>780</v>
      </c>
      <c r="X97" t="s">
        <v>897</v>
      </c>
      <c r="Y97" t="s">
        <v>817</v>
      </c>
      <c r="Z97" s="31"/>
      <c r="AC97">
        <v>40</v>
      </c>
      <c r="AD97" t="s">
        <v>22</v>
      </c>
      <c r="AE97" s="31">
        <v>45702</v>
      </c>
      <c r="AF97" s="61">
        <v>0.73282407407407413</v>
      </c>
      <c r="AH97" t="s">
        <v>795</v>
      </c>
      <c r="AI97" s="31">
        <v>45742</v>
      </c>
      <c r="AJ97" s="61">
        <v>0.72969907407407408</v>
      </c>
      <c r="AK97" t="s">
        <v>5392</v>
      </c>
      <c r="AP97" t="s">
        <v>1359</v>
      </c>
      <c r="AR97" s="31"/>
      <c r="AX97">
        <v>1</v>
      </c>
    </row>
    <row r="98" spans="1:50" x14ac:dyDescent="0.3">
      <c r="A98" t="s">
        <v>22</v>
      </c>
      <c r="B98">
        <v>255</v>
      </c>
      <c r="D98">
        <v>1778</v>
      </c>
      <c r="G98" t="s">
        <v>1387</v>
      </c>
      <c r="J98" t="s">
        <v>1388</v>
      </c>
      <c r="K98" t="s">
        <v>1389</v>
      </c>
      <c r="M98" t="s">
        <v>1111</v>
      </c>
      <c r="S98" t="s">
        <v>1068</v>
      </c>
      <c r="V98" t="s">
        <v>1327</v>
      </c>
      <c r="W98" t="s">
        <v>780</v>
      </c>
      <c r="X98" t="s">
        <v>897</v>
      </c>
      <c r="Y98" t="s">
        <v>817</v>
      </c>
      <c r="Z98" s="31"/>
      <c r="AC98">
        <v>116</v>
      </c>
      <c r="AD98" t="s">
        <v>22</v>
      </c>
      <c r="AE98" s="31">
        <v>45702</v>
      </c>
      <c r="AF98" s="61">
        <v>0.73409722222222218</v>
      </c>
      <c r="AH98" t="s">
        <v>795</v>
      </c>
      <c r="AI98" s="31">
        <v>45818</v>
      </c>
      <c r="AJ98" s="61">
        <v>0.61849537037037039</v>
      </c>
      <c r="AK98" t="s">
        <v>5338</v>
      </c>
      <c r="AP98" t="s">
        <v>1378</v>
      </c>
      <c r="AR98" s="31"/>
      <c r="AX98">
        <v>1</v>
      </c>
    </row>
    <row r="99" spans="1:50" x14ac:dyDescent="0.3">
      <c r="A99" t="s">
        <v>22</v>
      </c>
      <c r="B99">
        <v>256</v>
      </c>
      <c r="D99">
        <v>1781</v>
      </c>
      <c r="G99" t="s">
        <v>1390</v>
      </c>
      <c r="J99" t="s">
        <v>5423</v>
      </c>
      <c r="K99" t="s">
        <v>1392</v>
      </c>
      <c r="M99" t="s">
        <v>1393</v>
      </c>
      <c r="S99" t="s">
        <v>933</v>
      </c>
      <c r="W99" t="s">
        <v>780</v>
      </c>
      <c r="X99" t="s">
        <v>857</v>
      </c>
      <c r="Y99" t="s">
        <v>817</v>
      </c>
      <c r="Z99" s="31"/>
      <c r="AC99">
        <v>37</v>
      </c>
      <c r="AD99" t="s">
        <v>22</v>
      </c>
      <c r="AE99" s="31">
        <v>45705</v>
      </c>
      <c r="AF99" s="61">
        <v>0.51423611111111112</v>
      </c>
      <c r="AH99" t="s">
        <v>795</v>
      </c>
      <c r="AI99" s="31">
        <v>45742</v>
      </c>
      <c r="AJ99" s="61">
        <v>0.73364583333333333</v>
      </c>
      <c r="AK99" t="s">
        <v>858</v>
      </c>
      <c r="AN99" t="s">
        <v>1378</v>
      </c>
      <c r="AO99" t="s">
        <v>22</v>
      </c>
      <c r="AP99" t="s">
        <v>1378</v>
      </c>
      <c r="AR99" s="31"/>
      <c r="AX99">
        <v>1</v>
      </c>
    </row>
    <row r="100" spans="1:50" x14ac:dyDescent="0.3">
      <c r="A100" t="s">
        <v>22</v>
      </c>
      <c r="B100">
        <v>257</v>
      </c>
      <c r="D100">
        <v>1780</v>
      </c>
      <c r="G100" t="s">
        <v>1394</v>
      </c>
      <c r="J100" t="s">
        <v>1395</v>
      </c>
      <c r="K100" t="s">
        <v>1396</v>
      </c>
      <c r="M100" t="s">
        <v>1397</v>
      </c>
      <c r="Q100" t="s">
        <v>1398</v>
      </c>
      <c r="S100" t="s">
        <v>814</v>
      </c>
      <c r="V100" t="s">
        <v>5424</v>
      </c>
      <c r="W100" t="s">
        <v>780</v>
      </c>
      <c r="X100" t="s">
        <v>807</v>
      </c>
      <c r="Y100" t="s">
        <v>817</v>
      </c>
      <c r="Z100" s="31"/>
      <c r="AA100">
        <v>1234935</v>
      </c>
      <c r="AB100">
        <v>833725</v>
      </c>
      <c r="AC100">
        <v>113</v>
      </c>
      <c r="AD100" t="s">
        <v>22</v>
      </c>
      <c r="AE100" s="31">
        <v>45705</v>
      </c>
      <c r="AF100" s="61">
        <v>0.53861111111111115</v>
      </c>
      <c r="AH100" t="s">
        <v>795</v>
      </c>
      <c r="AI100" s="31">
        <v>45818</v>
      </c>
      <c r="AJ100" s="61">
        <v>0.60993055555555553</v>
      </c>
      <c r="AK100" t="s">
        <v>5353</v>
      </c>
      <c r="AN100" t="s">
        <v>1378</v>
      </c>
      <c r="AO100" t="s">
        <v>22</v>
      </c>
      <c r="AP100" t="s">
        <v>1378</v>
      </c>
      <c r="AR100" s="31"/>
      <c r="AX100">
        <v>1</v>
      </c>
    </row>
    <row r="101" spans="1:50" x14ac:dyDescent="0.3">
      <c r="A101" t="s">
        <v>22</v>
      </c>
      <c r="B101">
        <v>258</v>
      </c>
      <c r="D101">
        <v>1782</v>
      </c>
      <c r="G101" t="s">
        <v>1400</v>
      </c>
      <c r="J101" t="s">
        <v>1401</v>
      </c>
      <c r="K101" t="s">
        <v>1402</v>
      </c>
      <c r="M101" t="s">
        <v>1403</v>
      </c>
      <c r="V101" t="s">
        <v>1327</v>
      </c>
      <c r="W101" t="s">
        <v>780</v>
      </c>
      <c r="X101" t="s">
        <v>807</v>
      </c>
      <c r="Z101" s="31"/>
      <c r="AC101">
        <v>21</v>
      </c>
      <c r="AD101" t="s">
        <v>22</v>
      </c>
      <c r="AE101" s="31">
        <v>45705</v>
      </c>
      <c r="AF101" s="61">
        <v>0.54</v>
      </c>
      <c r="AH101" t="s">
        <v>795</v>
      </c>
      <c r="AI101" s="31">
        <v>45726</v>
      </c>
      <c r="AJ101" s="61">
        <v>0.73636574074074079</v>
      </c>
      <c r="AK101" t="s">
        <v>5347</v>
      </c>
      <c r="AN101" t="s">
        <v>1378</v>
      </c>
      <c r="AO101" t="s">
        <v>22</v>
      </c>
      <c r="AP101" t="s">
        <v>1378</v>
      </c>
      <c r="AR101" s="31"/>
      <c r="AX101">
        <v>1</v>
      </c>
    </row>
    <row r="102" spans="1:50" x14ac:dyDescent="0.3">
      <c r="A102" t="s">
        <v>22</v>
      </c>
      <c r="B102">
        <v>259</v>
      </c>
      <c r="D102">
        <v>1783</v>
      </c>
      <c r="G102" t="s">
        <v>1404</v>
      </c>
      <c r="J102" t="s">
        <v>5425</v>
      </c>
      <c r="K102" t="s">
        <v>1406</v>
      </c>
      <c r="M102" t="s">
        <v>1111</v>
      </c>
      <c r="S102" t="s">
        <v>1068</v>
      </c>
      <c r="V102" t="s">
        <v>5426</v>
      </c>
      <c r="W102" t="s">
        <v>780</v>
      </c>
      <c r="X102" t="s">
        <v>897</v>
      </c>
      <c r="Y102" t="s">
        <v>817</v>
      </c>
      <c r="Z102" s="31"/>
      <c r="AC102">
        <v>75</v>
      </c>
      <c r="AD102" t="s">
        <v>22</v>
      </c>
      <c r="AE102" s="31">
        <v>45705</v>
      </c>
      <c r="AF102" s="61">
        <v>0.55487268518518518</v>
      </c>
      <c r="AH102" t="s">
        <v>795</v>
      </c>
      <c r="AI102" s="31">
        <v>45780</v>
      </c>
      <c r="AJ102" s="61">
        <v>0.45906249999999998</v>
      </c>
      <c r="AK102" t="s">
        <v>5338</v>
      </c>
      <c r="AO102" t="s">
        <v>22</v>
      </c>
      <c r="AP102" t="s">
        <v>1408</v>
      </c>
      <c r="AR102" s="31"/>
      <c r="AX102">
        <v>1</v>
      </c>
    </row>
    <row r="103" spans="1:50" x14ac:dyDescent="0.3">
      <c r="A103" t="s">
        <v>22</v>
      </c>
      <c r="B103">
        <v>260</v>
      </c>
      <c r="D103">
        <v>1785</v>
      </c>
      <c r="G103" t="s">
        <v>1409</v>
      </c>
      <c r="J103" t="s">
        <v>5427</v>
      </c>
      <c r="K103" t="s">
        <v>1411</v>
      </c>
      <c r="M103" t="s">
        <v>1111</v>
      </c>
      <c r="S103" t="s">
        <v>1068</v>
      </c>
      <c r="V103" t="s">
        <v>1266</v>
      </c>
      <c r="W103" t="s">
        <v>780</v>
      </c>
      <c r="X103" t="s">
        <v>897</v>
      </c>
      <c r="Y103" t="s">
        <v>817</v>
      </c>
      <c r="Z103" s="31"/>
      <c r="AC103">
        <v>37</v>
      </c>
      <c r="AD103" t="s">
        <v>22</v>
      </c>
      <c r="AE103" s="31">
        <v>45705</v>
      </c>
      <c r="AF103" s="61">
        <v>0.55835648148148154</v>
      </c>
      <c r="AH103" t="s">
        <v>795</v>
      </c>
      <c r="AI103" s="31">
        <v>45742</v>
      </c>
      <c r="AJ103" s="61">
        <v>0.73165509259259254</v>
      </c>
      <c r="AK103" t="s">
        <v>5347</v>
      </c>
      <c r="AO103" t="s">
        <v>22</v>
      </c>
      <c r="AP103" t="s">
        <v>1408</v>
      </c>
      <c r="AR103" s="31"/>
      <c r="AX103">
        <v>1</v>
      </c>
    </row>
    <row r="104" spans="1:50" x14ac:dyDescent="0.3">
      <c r="A104" t="s">
        <v>44</v>
      </c>
      <c r="B104">
        <v>261</v>
      </c>
      <c r="D104">
        <v>1786</v>
      </c>
      <c r="G104" t="s">
        <v>1412</v>
      </c>
      <c r="J104" t="s">
        <v>1413</v>
      </c>
      <c r="K104" t="s">
        <v>1414</v>
      </c>
      <c r="M104" t="s">
        <v>1340</v>
      </c>
      <c r="V104" t="s">
        <v>1327</v>
      </c>
      <c r="W104" t="s">
        <v>780</v>
      </c>
      <c r="X104" t="s">
        <v>793</v>
      </c>
      <c r="Z104" s="31"/>
      <c r="AA104">
        <v>1600</v>
      </c>
      <c r="AB104">
        <v>2101</v>
      </c>
      <c r="AC104">
        <v>7</v>
      </c>
      <c r="AD104" t="s">
        <v>44</v>
      </c>
      <c r="AE104" s="31">
        <v>45705</v>
      </c>
      <c r="AF104" s="61">
        <v>0.62410879629629634</v>
      </c>
      <c r="AH104" t="s">
        <v>795</v>
      </c>
      <c r="AI104" s="31">
        <v>45712</v>
      </c>
      <c r="AJ104" s="61">
        <v>0.71869212962962958</v>
      </c>
      <c r="AK104" t="s">
        <v>5347</v>
      </c>
      <c r="AL104" t="s">
        <v>1342</v>
      </c>
      <c r="AN104" t="s">
        <v>1343</v>
      </c>
      <c r="AP104" t="s">
        <v>1336</v>
      </c>
      <c r="AR104" s="31"/>
      <c r="AX104">
        <v>1</v>
      </c>
    </row>
    <row r="105" spans="1:50" x14ac:dyDescent="0.3">
      <c r="A105" t="s">
        <v>22</v>
      </c>
      <c r="B105">
        <v>263</v>
      </c>
      <c r="D105">
        <v>1790</v>
      </c>
      <c r="E105" t="s">
        <v>1415</v>
      </c>
      <c r="G105" t="s">
        <v>1416</v>
      </c>
      <c r="J105" t="s">
        <v>1417</v>
      </c>
      <c r="K105" t="s">
        <v>1418</v>
      </c>
      <c r="M105" t="s">
        <v>1111</v>
      </c>
      <c r="S105" t="s">
        <v>791</v>
      </c>
      <c r="V105" t="s">
        <v>1419</v>
      </c>
      <c r="W105" t="s">
        <v>780</v>
      </c>
      <c r="X105" t="s">
        <v>793</v>
      </c>
      <c r="Y105" t="s">
        <v>817</v>
      </c>
      <c r="Z105" s="31">
        <v>46053</v>
      </c>
      <c r="AC105">
        <v>364</v>
      </c>
      <c r="AD105" t="s">
        <v>22</v>
      </c>
      <c r="AE105" s="31">
        <v>45706</v>
      </c>
      <c r="AF105" s="61">
        <v>0.41710648148148149</v>
      </c>
      <c r="AH105" t="s">
        <v>795</v>
      </c>
      <c r="AI105" s="31">
        <v>46070</v>
      </c>
      <c r="AJ105" s="61">
        <v>0.60356481481481483</v>
      </c>
      <c r="AK105" t="s">
        <v>5338</v>
      </c>
      <c r="AL105" t="s">
        <v>1420</v>
      </c>
      <c r="AN105" t="s">
        <v>1421</v>
      </c>
      <c r="AO105" t="s">
        <v>22</v>
      </c>
      <c r="AP105" t="s">
        <v>1422</v>
      </c>
      <c r="AQ105" t="s">
        <v>1422</v>
      </c>
      <c r="AR105" s="31">
        <v>46045</v>
      </c>
      <c r="AS105">
        <v>50</v>
      </c>
      <c r="AX105">
        <v>1</v>
      </c>
    </row>
    <row r="106" spans="1:50" x14ac:dyDescent="0.3">
      <c r="A106" t="s">
        <v>44</v>
      </c>
      <c r="B106">
        <v>266</v>
      </c>
      <c r="D106">
        <v>1866</v>
      </c>
      <c r="G106" t="s">
        <v>1424</v>
      </c>
      <c r="H106">
        <v>8652421000109</v>
      </c>
      <c r="J106" t="s">
        <v>5428</v>
      </c>
      <c r="K106" t="s">
        <v>1426</v>
      </c>
      <c r="M106" t="s">
        <v>1427</v>
      </c>
      <c r="Q106" t="s">
        <v>1428</v>
      </c>
      <c r="R106" t="s">
        <v>1027</v>
      </c>
      <c r="W106" t="s">
        <v>780</v>
      </c>
      <c r="X106" t="s">
        <v>897</v>
      </c>
      <c r="Z106" s="31"/>
      <c r="AA106">
        <v>14400</v>
      </c>
      <c r="AB106">
        <v>18034</v>
      </c>
      <c r="AC106">
        <v>30</v>
      </c>
      <c r="AD106" t="s">
        <v>44</v>
      </c>
      <c r="AE106" s="31">
        <v>45707</v>
      </c>
      <c r="AF106" s="61">
        <v>0.70996527777777774</v>
      </c>
      <c r="AH106" t="s">
        <v>795</v>
      </c>
      <c r="AI106" s="31">
        <v>45737</v>
      </c>
      <c r="AJ106" s="61">
        <v>0.61376157407407406</v>
      </c>
      <c r="AK106" t="s">
        <v>858</v>
      </c>
      <c r="AL106" t="s">
        <v>5429</v>
      </c>
      <c r="AN106" t="s">
        <v>1430</v>
      </c>
      <c r="AP106" t="s">
        <v>1430</v>
      </c>
      <c r="AR106" s="31"/>
      <c r="AX106">
        <v>1</v>
      </c>
    </row>
    <row r="107" spans="1:50" x14ac:dyDescent="0.3">
      <c r="A107" t="s">
        <v>44</v>
      </c>
      <c r="B107">
        <v>267</v>
      </c>
      <c r="D107">
        <v>1871</v>
      </c>
      <c r="G107" t="s">
        <v>5430</v>
      </c>
      <c r="H107">
        <v>21969045000149</v>
      </c>
      <c r="J107" t="s">
        <v>118</v>
      </c>
      <c r="K107" t="s">
        <v>1433</v>
      </c>
      <c r="M107" t="s">
        <v>1434</v>
      </c>
      <c r="Q107" t="s">
        <v>1435</v>
      </c>
      <c r="R107" t="s">
        <v>790</v>
      </c>
      <c r="S107" t="s">
        <v>1068</v>
      </c>
      <c r="V107" t="s">
        <v>1266</v>
      </c>
      <c r="W107" t="s">
        <v>780</v>
      </c>
      <c r="X107" t="s">
        <v>816</v>
      </c>
      <c r="Y107" t="s">
        <v>817</v>
      </c>
      <c r="Z107" s="31"/>
      <c r="AA107">
        <v>88000</v>
      </c>
      <c r="AB107">
        <v>450432</v>
      </c>
      <c r="AC107">
        <v>64</v>
      </c>
      <c r="AD107" t="s">
        <v>44</v>
      </c>
      <c r="AE107" s="31">
        <v>45707</v>
      </c>
      <c r="AF107" s="61">
        <v>0.71253472222222225</v>
      </c>
      <c r="AH107" t="s">
        <v>818</v>
      </c>
      <c r="AI107" s="31">
        <v>45771</v>
      </c>
      <c r="AJ107" s="61">
        <v>0.50746527777777772</v>
      </c>
      <c r="AN107" t="s">
        <v>1436</v>
      </c>
      <c r="AR107" s="31"/>
      <c r="AX107">
        <v>1</v>
      </c>
    </row>
    <row r="108" spans="1:50" x14ac:dyDescent="0.3">
      <c r="A108" t="s">
        <v>44</v>
      </c>
      <c r="B108">
        <v>268</v>
      </c>
      <c r="D108">
        <v>1874</v>
      </c>
      <c r="G108" t="s">
        <v>1437</v>
      </c>
      <c r="H108">
        <v>52556578000122</v>
      </c>
      <c r="J108" t="s">
        <v>1438</v>
      </c>
      <c r="K108" t="s">
        <v>1439</v>
      </c>
      <c r="M108" t="s">
        <v>1440</v>
      </c>
      <c r="Q108" t="s">
        <v>1441</v>
      </c>
      <c r="R108" t="s">
        <v>790</v>
      </c>
      <c r="S108" t="s">
        <v>1068</v>
      </c>
      <c r="V108" t="s">
        <v>1266</v>
      </c>
      <c r="W108" t="s">
        <v>780</v>
      </c>
      <c r="X108" t="s">
        <v>897</v>
      </c>
      <c r="Y108" t="s">
        <v>817</v>
      </c>
      <c r="Z108" s="31"/>
      <c r="AC108">
        <v>54</v>
      </c>
      <c r="AD108" t="s">
        <v>44</v>
      </c>
      <c r="AE108" s="31">
        <v>45708</v>
      </c>
      <c r="AF108" s="61">
        <v>0.44270833333333331</v>
      </c>
      <c r="AH108" t="s">
        <v>795</v>
      </c>
      <c r="AI108" s="31">
        <v>45762</v>
      </c>
      <c r="AJ108" s="61">
        <v>0.69423611111111116</v>
      </c>
      <c r="AK108" t="s">
        <v>5338</v>
      </c>
      <c r="AL108" t="s">
        <v>5431</v>
      </c>
      <c r="AR108" s="31"/>
      <c r="AX108">
        <v>1</v>
      </c>
    </row>
    <row r="109" spans="1:50" x14ac:dyDescent="0.3">
      <c r="A109" t="s">
        <v>44</v>
      </c>
      <c r="B109">
        <v>270</v>
      </c>
      <c r="C109">
        <v>167</v>
      </c>
      <c r="D109">
        <v>1880</v>
      </c>
      <c r="G109" t="s">
        <v>1443</v>
      </c>
      <c r="H109">
        <v>7973104000121</v>
      </c>
      <c r="I109" t="s">
        <v>979</v>
      </c>
      <c r="J109" t="s">
        <v>1239</v>
      </c>
      <c r="K109" t="s">
        <v>981</v>
      </c>
      <c r="M109" t="s">
        <v>982</v>
      </c>
      <c r="Q109" t="s">
        <v>983</v>
      </c>
      <c r="R109" t="s">
        <v>932</v>
      </c>
      <c r="W109" t="s">
        <v>780</v>
      </c>
      <c r="X109" t="s">
        <v>816</v>
      </c>
      <c r="Z109" s="31"/>
      <c r="AA109">
        <v>0</v>
      </c>
      <c r="AB109">
        <v>49896</v>
      </c>
      <c r="AC109">
        <v>11</v>
      </c>
      <c r="AD109" t="s">
        <v>44</v>
      </c>
      <c r="AE109" s="31">
        <v>45708</v>
      </c>
      <c r="AF109" s="61">
        <v>0.48841435185185178</v>
      </c>
      <c r="AH109" t="s">
        <v>818</v>
      </c>
      <c r="AI109" s="31">
        <v>45719</v>
      </c>
      <c r="AJ109" s="61">
        <v>0.48200231481481481</v>
      </c>
      <c r="AN109" t="s">
        <v>1436</v>
      </c>
      <c r="AR109" s="31"/>
      <c r="AX109">
        <v>1</v>
      </c>
    </row>
    <row r="110" spans="1:50" x14ac:dyDescent="0.3">
      <c r="A110" t="s">
        <v>44</v>
      </c>
      <c r="B110">
        <v>272</v>
      </c>
      <c r="D110">
        <v>1882</v>
      </c>
      <c r="G110" t="s">
        <v>5432</v>
      </c>
      <c r="J110" t="s">
        <v>5432</v>
      </c>
      <c r="K110" t="s">
        <v>1446</v>
      </c>
      <c r="M110" t="s">
        <v>1447</v>
      </c>
      <c r="S110" t="s">
        <v>1068</v>
      </c>
      <c r="V110" t="s">
        <v>1327</v>
      </c>
      <c r="W110" t="s">
        <v>780</v>
      </c>
      <c r="X110" t="s">
        <v>897</v>
      </c>
      <c r="Y110" t="s">
        <v>817</v>
      </c>
      <c r="Z110" s="31"/>
      <c r="AC110">
        <v>50</v>
      </c>
      <c r="AD110" t="s">
        <v>44</v>
      </c>
      <c r="AE110" s="31">
        <v>45712</v>
      </c>
      <c r="AF110" s="61">
        <v>0.39177083333333329</v>
      </c>
      <c r="AH110" t="s">
        <v>795</v>
      </c>
      <c r="AI110" s="31">
        <v>45762</v>
      </c>
      <c r="AJ110" s="61">
        <v>0.69267361111111114</v>
      </c>
      <c r="AK110" t="s">
        <v>5338</v>
      </c>
      <c r="AL110" t="s">
        <v>5433</v>
      </c>
      <c r="AP110" t="s">
        <v>1262</v>
      </c>
      <c r="AR110" s="31"/>
      <c r="AX110">
        <v>1</v>
      </c>
    </row>
    <row r="111" spans="1:50" x14ac:dyDescent="0.3">
      <c r="A111" t="s">
        <v>31</v>
      </c>
      <c r="B111">
        <v>273</v>
      </c>
      <c r="D111">
        <v>1883</v>
      </c>
      <c r="G111" t="s">
        <v>1449</v>
      </c>
      <c r="J111" t="s">
        <v>1450</v>
      </c>
      <c r="K111" t="s">
        <v>1451</v>
      </c>
      <c r="M111" t="s">
        <v>1452</v>
      </c>
      <c r="S111" t="s">
        <v>1068</v>
      </c>
      <c r="W111" t="s">
        <v>780</v>
      </c>
      <c r="X111" t="s">
        <v>816</v>
      </c>
      <c r="Y111" t="s">
        <v>817</v>
      </c>
      <c r="Z111" s="31"/>
      <c r="AA111">
        <v>55440</v>
      </c>
      <c r="AB111">
        <v>560465</v>
      </c>
      <c r="AC111">
        <v>39</v>
      </c>
      <c r="AD111" t="s">
        <v>31</v>
      </c>
      <c r="AE111" s="31">
        <v>45712</v>
      </c>
      <c r="AF111" s="61">
        <v>0.66232638888888884</v>
      </c>
      <c r="AH111" t="s">
        <v>795</v>
      </c>
      <c r="AI111" s="31">
        <v>45751</v>
      </c>
      <c r="AJ111" s="61">
        <v>0.64483796296296292</v>
      </c>
      <c r="AK111" t="s">
        <v>5347</v>
      </c>
      <c r="AN111" t="s">
        <v>1453</v>
      </c>
      <c r="AO111" t="s">
        <v>31</v>
      </c>
      <c r="AP111" t="s">
        <v>1454</v>
      </c>
      <c r="AQ111" t="s">
        <v>1455</v>
      </c>
      <c r="AR111" s="31"/>
      <c r="AX111">
        <v>1</v>
      </c>
    </row>
    <row r="112" spans="1:50" x14ac:dyDescent="0.3">
      <c r="A112" t="s">
        <v>44</v>
      </c>
      <c r="B112">
        <v>277</v>
      </c>
      <c r="D112">
        <v>1887</v>
      </c>
      <c r="G112" t="s">
        <v>1456</v>
      </c>
      <c r="J112" t="s">
        <v>622</v>
      </c>
      <c r="K112" t="s">
        <v>1458</v>
      </c>
      <c r="M112" t="s">
        <v>1459</v>
      </c>
      <c r="W112" t="s">
        <v>780</v>
      </c>
      <c r="X112" t="s">
        <v>816</v>
      </c>
      <c r="Z112" s="31"/>
      <c r="AA112">
        <v>0</v>
      </c>
      <c r="AB112">
        <v>3564</v>
      </c>
      <c r="AC112">
        <v>5</v>
      </c>
      <c r="AD112" t="s">
        <v>44</v>
      </c>
      <c r="AE112" s="31">
        <v>45714</v>
      </c>
      <c r="AF112" s="61">
        <v>0.38343749999999999</v>
      </c>
      <c r="AH112" t="s">
        <v>818</v>
      </c>
      <c r="AI112" s="31">
        <v>45719</v>
      </c>
      <c r="AJ112" s="61">
        <v>0.48221064814814812</v>
      </c>
      <c r="AN112" t="s">
        <v>1460</v>
      </c>
      <c r="AR112" s="31"/>
      <c r="AX112">
        <v>1</v>
      </c>
    </row>
    <row r="113" spans="1:50" x14ac:dyDescent="0.3">
      <c r="A113" t="s">
        <v>44</v>
      </c>
      <c r="B113">
        <v>279</v>
      </c>
      <c r="D113">
        <v>1890</v>
      </c>
      <c r="G113" t="s">
        <v>1461</v>
      </c>
      <c r="J113" t="s">
        <v>1462</v>
      </c>
      <c r="K113" t="s">
        <v>1463</v>
      </c>
      <c r="M113" t="s">
        <v>1111</v>
      </c>
      <c r="W113" t="s">
        <v>780</v>
      </c>
      <c r="X113" t="s">
        <v>897</v>
      </c>
      <c r="Z113" s="31"/>
      <c r="AC113">
        <v>2</v>
      </c>
      <c r="AD113" t="s">
        <v>22</v>
      </c>
      <c r="AE113" s="31">
        <v>45714</v>
      </c>
      <c r="AF113" s="61">
        <v>0.73251157407407408</v>
      </c>
      <c r="AH113" t="s">
        <v>795</v>
      </c>
      <c r="AI113" s="31">
        <v>45716</v>
      </c>
      <c r="AJ113" s="61">
        <v>0.71136574074074077</v>
      </c>
      <c r="AK113" t="s">
        <v>5392</v>
      </c>
      <c r="AL113" t="s">
        <v>5434</v>
      </c>
      <c r="AO113" t="s">
        <v>44</v>
      </c>
      <c r="AR113" s="31"/>
      <c r="AX113">
        <v>1</v>
      </c>
    </row>
    <row r="114" spans="1:50" x14ac:dyDescent="0.3">
      <c r="A114" t="s">
        <v>44</v>
      </c>
      <c r="B114">
        <v>281</v>
      </c>
      <c r="D114">
        <v>1892</v>
      </c>
      <c r="G114" t="s">
        <v>1465</v>
      </c>
      <c r="J114" t="s">
        <v>5435</v>
      </c>
      <c r="K114" t="s">
        <v>1467</v>
      </c>
      <c r="M114" t="s">
        <v>1468</v>
      </c>
      <c r="S114" t="s">
        <v>1068</v>
      </c>
      <c r="W114" t="s">
        <v>780</v>
      </c>
      <c r="X114" t="s">
        <v>816</v>
      </c>
      <c r="Y114" t="s">
        <v>817</v>
      </c>
      <c r="Z114" s="31"/>
      <c r="AA114">
        <v>0</v>
      </c>
      <c r="AB114">
        <v>449635</v>
      </c>
      <c r="AC114">
        <v>55</v>
      </c>
      <c r="AD114" t="s">
        <v>44</v>
      </c>
      <c r="AE114" s="31">
        <v>45716</v>
      </c>
      <c r="AF114" s="61">
        <v>0.42606481481481479</v>
      </c>
      <c r="AH114" t="s">
        <v>818</v>
      </c>
      <c r="AI114" s="31">
        <v>45771</v>
      </c>
      <c r="AJ114" s="61">
        <v>0.50797453703703699</v>
      </c>
      <c r="AN114" t="s">
        <v>1383</v>
      </c>
      <c r="AP114" t="s">
        <v>1460</v>
      </c>
      <c r="AR114" s="31"/>
      <c r="AX114">
        <v>1</v>
      </c>
    </row>
    <row r="115" spans="1:50" x14ac:dyDescent="0.3">
      <c r="A115" t="s">
        <v>44</v>
      </c>
      <c r="B115">
        <v>282</v>
      </c>
      <c r="D115">
        <v>1894</v>
      </c>
      <c r="G115" t="s">
        <v>1469</v>
      </c>
      <c r="J115" t="s">
        <v>113</v>
      </c>
      <c r="K115" t="s">
        <v>1471</v>
      </c>
      <c r="M115" t="s">
        <v>1472</v>
      </c>
      <c r="S115" t="s">
        <v>1068</v>
      </c>
      <c r="W115" t="s">
        <v>780</v>
      </c>
      <c r="X115" t="s">
        <v>793</v>
      </c>
      <c r="Y115" t="s">
        <v>817</v>
      </c>
      <c r="Z115" s="31"/>
      <c r="AA115">
        <v>1600</v>
      </c>
      <c r="AB115">
        <v>5</v>
      </c>
      <c r="AC115">
        <v>47</v>
      </c>
      <c r="AD115" t="s">
        <v>44</v>
      </c>
      <c r="AE115" s="31">
        <v>45716</v>
      </c>
      <c r="AF115" s="61">
        <v>0.70343750000000005</v>
      </c>
      <c r="AH115" t="s">
        <v>795</v>
      </c>
      <c r="AI115" s="31">
        <v>45763</v>
      </c>
      <c r="AJ115" s="61">
        <v>0.3946527777777778</v>
      </c>
      <c r="AK115" t="s">
        <v>5338</v>
      </c>
      <c r="AL115" t="s">
        <v>5417</v>
      </c>
      <c r="AN115" t="s">
        <v>1352</v>
      </c>
      <c r="AP115" t="s">
        <v>1305</v>
      </c>
      <c r="AR115" s="31"/>
      <c r="AX115">
        <v>1</v>
      </c>
    </row>
    <row r="116" spans="1:50" x14ac:dyDescent="0.3">
      <c r="A116" t="s">
        <v>31</v>
      </c>
      <c r="B116">
        <v>283</v>
      </c>
      <c r="D116">
        <v>1895</v>
      </c>
      <c r="G116" t="s">
        <v>1473</v>
      </c>
      <c r="H116">
        <v>37075503000136</v>
      </c>
      <c r="J116" t="s">
        <v>1474</v>
      </c>
      <c r="K116" t="s">
        <v>1475</v>
      </c>
      <c r="M116" t="s">
        <v>1476</v>
      </c>
      <c r="Q116" t="s">
        <v>1477</v>
      </c>
      <c r="R116" t="s">
        <v>932</v>
      </c>
      <c r="W116" t="s">
        <v>780</v>
      </c>
      <c r="X116" t="s">
        <v>816</v>
      </c>
      <c r="Z116" s="31"/>
      <c r="AA116">
        <v>63000</v>
      </c>
      <c r="AB116">
        <v>211328</v>
      </c>
      <c r="AC116">
        <v>20</v>
      </c>
      <c r="AD116" t="s">
        <v>31</v>
      </c>
      <c r="AE116" s="31">
        <v>45720</v>
      </c>
      <c r="AF116" s="61">
        <v>0.40530092592592593</v>
      </c>
      <c r="AH116" t="s">
        <v>818</v>
      </c>
      <c r="AI116" s="31">
        <v>45740</v>
      </c>
      <c r="AJ116" s="61">
        <v>0.80163194444444441</v>
      </c>
      <c r="AN116" t="s">
        <v>1478</v>
      </c>
      <c r="AO116" t="s">
        <v>31</v>
      </c>
      <c r="AR116" s="31"/>
      <c r="AX116">
        <v>1</v>
      </c>
    </row>
    <row r="117" spans="1:50" x14ac:dyDescent="0.3">
      <c r="A117" t="s">
        <v>31</v>
      </c>
      <c r="B117">
        <v>284</v>
      </c>
      <c r="D117">
        <v>1897</v>
      </c>
      <c r="G117" t="s">
        <v>1479</v>
      </c>
      <c r="H117">
        <v>37075503000136</v>
      </c>
      <c r="J117" t="s">
        <v>1474</v>
      </c>
      <c r="K117" t="s">
        <v>1475</v>
      </c>
      <c r="M117" t="s">
        <v>1476</v>
      </c>
      <c r="Q117" t="s">
        <v>1477</v>
      </c>
      <c r="R117" t="s">
        <v>932</v>
      </c>
      <c r="S117" t="s">
        <v>1068</v>
      </c>
      <c r="W117" t="s">
        <v>780</v>
      </c>
      <c r="X117" t="s">
        <v>816</v>
      </c>
      <c r="Z117" s="31"/>
      <c r="AA117">
        <v>1600</v>
      </c>
      <c r="AB117">
        <v>287073</v>
      </c>
      <c r="AC117">
        <v>22</v>
      </c>
      <c r="AD117" t="s">
        <v>31</v>
      </c>
      <c r="AE117" s="31">
        <v>45720</v>
      </c>
      <c r="AF117" s="61">
        <v>0.63810185185185186</v>
      </c>
      <c r="AH117" t="s">
        <v>818</v>
      </c>
      <c r="AI117" s="31">
        <v>45742</v>
      </c>
      <c r="AJ117" s="61">
        <v>0.4453125</v>
      </c>
      <c r="AN117" t="s">
        <v>1478</v>
      </c>
      <c r="AO117" t="s">
        <v>31</v>
      </c>
      <c r="AP117" t="s">
        <v>1478</v>
      </c>
      <c r="AR117" s="31"/>
      <c r="AX117">
        <v>1</v>
      </c>
    </row>
    <row r="118" spans="1:50" x14ac:dyDescent="0.3">
      <c r="A118" t="s">
        <v>31</v>
      </c>
      <c r="B118">
        <v>286</v>
      </c>
      <c r="D118">
        <v>1900</v>
      </c>
      <c r="G118" t="s">
        <v>1480</v>
      </c>
      <c r="H118">
        <v>37075503000136</v>
      </c>
      <c r="J118" t="s">
        <v>1474</v>
      </c>
      <c r="K118" t="s">
        <v>1482</v>
      </c>
      <c r="M118" t="s">
        <v>1476</v>
      </c>
      <c r="Q118" t="s">
        <v>1477</v>
      </c>
      <c r="R118" t="s">
        <v>932</v>
      </c>
      <c r="S118" t="s">
        <v>791</v>
      </c>
      <c r="W118" t="s">
        <v>780</v>
      </c>
      <c r="X118" t="s">
        <v>807</v>
      </c>
      <c r="Y118" t="s">
        <v>817</v>
      </c>
      <c r="Z118" s="31"/>
      <c r="AA118">
        <v>23580</v>
      </c>
      <c r="AB118">
        <v>1800</v>
      </c>
      <c r="AC118">
        <v>65</v>
      </c>
      <c r="AD118" t="s">
        <v>31</v>
      </c>
      <c r="AE118" s="31">
        <v>45726</v>
      </c>
      <c r="AF118" s="61">
        <v>0.63922453703703708</v>
      </c>
      <c r="AH118" t="s">
        <v>795</v>
      </c>
      <c r="AI118" s="31">
        <v>45791</v>
      </c>
      <c r="AJ118" s="61">
        <v>0.48103009259259261</v>
      </c>
      <c r="AK118" t="s">
        <v>934</v>
      </c>
      <c r="AN118" t="s">
        <v>1483</v>
      </c>
      <c r="AO118" t="s">
        <v>31</v>
      </c>
      <c r="AP118" t="s">
        <v>1483</v>
      </c>
      <c r="AR118" s="31"/>
      <c r="AX118">
        <v>1</v>
      </c>
    </row>
    <row r="119" spans="1:50" x14ac:dyDescent="0.3">
      <c r="A119" t="s">
        <v>22</v>
      </c>
      <c r="B119">
        <v>287</v>
      </c>
      <c r="D119">
        <v>1902</v>
      </c>
      <c r="G119" t="s">
        <v>1484</v>
      </c>
      <c r="H119">
        <v>7764744000202</v>
      </c>
      <c r="J119" t="s">
        <v>1485</v>
      </c>
      <c r="K119" t="s">
        <v>1486</v>
      </c>
      <c r="M119" t="s">
        <v>1487</v>
      </c>
      <c r="S119" t="s">
        <v>791</v>
      </c>
      <c r="V119" t="s">
        <v>1488</v>
      </c>
      <c r="W119" t="s">
        <v>780</v>
      </c>
      <c r="X119" t="s">
        <v>807</v>
      </c>
      <c r="Y119" t="s">
        <v>817</v>
      </c>
      <c r="Z119" s="31"/>
      <c r="AA119">
        <v>16000</v>
      </c>
      <c r="AB119">
        <v>68607</v>
      </c>
      <c r="AC119">
        <v>54</v>
      </c>
      <c r="AD119" t="s">
        <v>22</v>
      </c>
      <c r="AE119" s="31">
        <v>45726</v>
      </c>
      <c r="AF119" s="61">
        <v>0.69724537037037038</v>
      </c>
      <c r="AH119" t="s">
        <v>795</v>
      </c>
      <c r="AI119" s="31">
        <v>45780</v>
      </c>
      <c r="AJ119" s="61">
        <v>0.44266203703703699</v>
      </c>
      <c r="AK119" t="s">
        <v>5353</v>
      </c>
      <c r="AN119" t="s">
        <v>1489</v>
      </c>
      <c r="AO119" t="s">
        <v>22</v>
      </c>
      <c r="AP119" t="s">
        <v>1490</v>
      </c>
      <c r="AQ119" t="s">
        <v>1491</v>
      </c>
      <c r="AR119" s="31"/>
      <c r="AX119">
        <v>1</v>
      </c>
    </row>
    <row r="120" spans="1:50" x14ac:dyDescent="0.3">
      <c r="A120" t="s">
        <v>44</v>
      </c>
      <c r="B120">
        <v>291</v>
      </c>
      <c r="D120">
        <v>1904</v>
      </c>
      <c r="G120" t="s">
        <v>1492</v>
      </c>
      <c r="J120" t="s">
        <v>1493</v>
      </c>
      <c r="K120" t="s">
        <v>1494</v>
      </c>
      <c r="M120" t="s">
        <v>1495</v>
      </c>
      <c r="S120" t="s">
        <v>1496</v>
      </c>
      <c r="W120" t="s">
        <v>780</v>
      </c>
      <c r="X120" t="s">
        <v>816</v>
      </c>
      <c r="Y120" t="s">
        <v>817</v>
      </c>
      <c r="Z120" s="31"/>
      <c r="AA120">
        <v>12720</v>
      </c>
      <c r="AB120">
        <v>1764</v>
      </c>
      <c r="AC120">
        <v>47</v>
      </c>
      <c r="AD120" t="s">
        <v>44</v>
      </c>
      <c r="AE120" s="31">
        <v>45729</v>
      </c>
      <c r="AF120" s="61">
        <v>0.59673611111111113</v>
      </c>
      <c r="AH120" t="s">
        <v>818</v>
      </c>
      <c r="AI120" s="31">
        <v>45776</v>
      </c>
      <c r="AJ120" s="61">
        <v>0.60798611111111112</v>
      </c>
      <c r="AN120" t="s">
        <v>1497</v>
      </c>
      <c r="AP120" t="s">
        <v>1497</v>
      </c>
      <c r="AR120" s="31"/>
      <c r="AX120">
        <v>1</v>
      </c>
    </row>
    <row r="121" spans="1:50" x14ac:dyDescent="0.3">
      <c r="A121" t="s">
        <v>22</v>
      </c>
      <c r="B121">
        <v>293</v>
      </c>
      <c r="D121">
        <v>1907</v>
      </c>
      <c r="G121" t="s">
        <v>1498</v>
      </c>
      <c r="J121" t="s">
        <v>1499</v>
      </c>
      <c r="K121" t="s">
        <v>1500</v>
      </c>
      <c r="M121" t="s">
        <v>1501</v>
      </c>
      <c r="Q121" t="s">
        <v>1502</v>
      </c>
      <c r="S121" t="s">
        <v>814</v>
      </c>
      <c r="V121" t="s">
        <v>1198</v>
      </c>
      <c r="W121" t="s">
        <v>780</v>
      </c>
      <c r="X121" t="s">
        <v>857</v>
      </c>
      <c r="Y121" t="s">
        <v>817</v>
      </c>
      <c r="Z121" s="31"/>
      <c r="AC121">
        <v>21</v>
      </c>
      <c r="AD121" t="s">
        <v>22</v>
      </c>
      <c r="AE121" s="31">
        <v>45733</v>
      </c>
      <c r="AF121" s="61">
        <v>0.37027777777777782</v>
      </c>
      <c r="AH121" t="s">
        <v>795</v>
      </c>
      <c r="AI121" s="31">
        <v>45754</v>
      </c>
      <c r="AJ121" s="61">
        <v>0.58361111111111108</v>
      </c>
      <c r="AK121" t="s">
        <v>858</v>
      </c>
      <c r="AN121" t="s">
        <v>1503</v>
      </c>
      <c r="AP121" t="s">
        <v>1503</v>
      </c>
      <c r="AR121" s="31"/>
      <c r="AX121">
        <v>1</v>
      </c>
    </row>
    <row r="122" spans="1:50" x14ac:dyDescent="0.3">
      <c r="A122" t="s">
        <v>22</v>
      </c>
      <c r="B122">
        <v>294</v>
      </c>
      <c r="D122">
        <v>1908</v>
      </c>
      <c r="G122" t="s">
        <v>1504</v>
      </c>
      <c r="J122" t="s">
        <v>1505</v>
      </c>
      <c r="K122" t="s">
        <v>1506</v>
      </c>
      <c r="M122" t="s">
        <v>1111</v>
      </c>
      <c r="S122" t="s">
        <v>1191</v>
      </c>
      <c r="W122" t="s">
        <v>780</v>
      </c>
      <c r="X122" t="s">
        <v>857</v>
      </c>
      <c r="Y122" t="s">
        <v>817</v>
      </c>
      <c r="Z122" s="31"/>
      <c r="AC122">
        <v>21</v>
      </c>
      <c r="AD122" t="s">
        <v>22</v>
      </c>
      <c r="AE122" s="31">
        <v>45733</v>
      </c>
      <c r="AF122" s="61">
        <v>0.37392361111111111</v>
      </c>
      <c r="AH122" t="s">
        <v>795</v>
      </c>
      <c r="AI122" s="31">
        <v>45754</v>
      </c>
      <c r="AJ122" s="61">
        <v>0.49223379629629632</v>
      </c>
      <c r="AK122" t="s">
        <v>858</v>
      </c>
      <c r="AN122" t="s">
        <v>1503</v>
      </c>
      <c r="AO122" t="s">
        <v>22</v>
      </c>
      <c r="AP122" t="s">
        <v>1503</v>
      </c>
      <c r="AR122" s="31"/>
      <c r="AX122">
        <v>1</v>
      </c>
    </row>
    <row r="123" spans="1:50" x14ac:dyDescent="0.3">
      <c r="A123" t="s">
        <v>44</v>
      </c>
      <c r="B123">
        <v>295</v>
      </c>
      <c r="D123">
        <v>1909</v>
      </c>
      <c r="G123" t="s">
        <v>1507</v>
      </c>
      <c r="J123" t="s">
        <v>1508</v>
      </c>
      <c r="K123" t="s">
        <v>1509</v>
      </c>
      <c r="M123" t="s">
        <v>1510</v>
      </c>
      <c r="S123" t="s">
        <v>933</v>
      </c>
      <c r="W123" t="s">
        <v>780</v>
      </c>
      <c r="X123" t="s">
        <v>807</v>
      </c>
      <c r="Y123" t="s">
        <v>817</v>
      </c>
      <c r="Z123" s="31"/>
      <c r="AA123">
        <v>79920</v>
      </c>
      <c r="AB123">
        <v>33813</v>
      </c>
      <c r="AC123">
        <v>59</v>
      </c>
      <c r="AD123" t="s">
        <v>44</v>
      </c>
      <c r="AE123" s="31">
        <v>45733</v>
      </c>
      <c r="AF123" s="61">
        <v>0.52471064814814816</v>
      </c>
      <c r="AH123" t="s">
        <v>795</v>
      </c>
      <c r="AI123" s="31">
        <v>45792</v>
      </c>
      <c r="AJ123" s="61">
        <v>0.68163194444444442</v>
      </c>
      <c r="AK123" t="s">
        <v>5338</v>
      </c>
      <c r="AL123" t="s">
        <v>5339</v>
      </c>
      <c r="AN123" t="s">
        <v>1511</v>
      </c>
      <c r="AP123" t="s">
        <v>1512</v>
      </c>
      <c r="AR123" s="31"/>
      <c r="AX123">
        <v>1</v>
      </c>
    </row>
    <row r="124" spans="1:50" x14ac:dyDescent="0.3">
      <c r="A124" t="s">
        <v>44</v>
      </c>
      <c r="B124">
        <v>298</v>
      </c>
      <c r="D124">
        <v>1913</v>
      </c>
      <c r="G124" t="s">
        <v>1513</v>
      </c>
      <c r="J124" t="s">
        <v>1514</v>
      </c>
      <c r="K124" t="s">
        <v>1509</v>
      </c>
      <c r="M124" t="s">
        <v>1515</v>
      </c>
      <c r="S124" t="s">
        <v>933</v>
      </c>
      <c r="W124" t="s">
        <v>780</v>
      </c>
      <c r="X124" t="s">
        <v>807</v>
      </c>
      <c r="Y124" t="s">
        <v>817</v>
      </c>
      <c r="Z124" s="31"/>
      <c r="AA124">
        <v>1600</v>
      </c>
      <c r="AB124">
        <v>3196</v>
      </c>
      <c r="AC124">
        <v>58</v>
      </c>
      <c r="AD124" t="s">
        <v>44</v>
      </c>
      <c r="AE124" s="31">
        <v>45734</v>
      </c>
      <c r="AF124" s="61">
        <v>0.62533564814814813</v>
      </c>
      <c r="AH124" t="s">
        <v>795</v>
      </c>
      <c r="AI124" s="31">
        <v>45792</v>
      </c>
      <c r="AJ124" s="61">
        <v>0.68206018518518519</v>
      </c>
      <c r="AK124" t="s">
        <v>5338</v>
      </c>
      <c r="AL124" t="s">
        <v>5339</v>
      </c>
      <c r="AN124" t="s">
        <v>1511</v>
      </c>
      <c r="AP124" t="s">
        <v>1512</v>
      </c>
      <c r="AR124" s="31"/>
      <c r="AX124">
        <v>1</v>
      </c>
    </row>
    <row r="125" spans="1:50" x14ac:dyDescent="0.3">
      <c r="A125" t="s">
        <v>44</v>
      </c>
      <c r="B125">
        <v>301</v>
      </c>
      <c r="D125">
        <v>1916</v>
      </c>
      <c r="G125" t="s">
        <v>1516</v>
      </c>
      <c r="J125" t="s">
        <v>1725</v>
      </c>
      <c r="K125" t="s">
        <v>1458</v>
      </c>
      <c r="M125" t="s">
        <v>1459</v>
      </c>
      <c r="S125" t="s">
        <v>791</v>
      </c>
      <c r="W125" t="s">
        <v>780</v>
      </c>
      <c r="X125" t="s">
        <v>816</v>
      </c>
      <c r="Z125" s="31"/>
      <c r="AA125">
        <v>2339208</v>
      </c>
      <c r="AB125">
        <v>0</v>
      </c>
      <c r="AC125">
        <v>13</v>
      </c>
      <c r="AD125" t="s">
        <v>44</v>
      </c>
      <c r="AE125" s="31">
        <v>45736</v>
      </c>
      <c r="AF125" s="61">
        <v>0.61819444444444449</v>
      </c>
      <c r="AH125" t="s">
        <v>818</v>
      </c>
      <c r="AI125" s="31">
        <v>45749</v>
      </c>
      <c r="AJ125" s="61">
        <v>0.42002314814814817</v>
      </c>
      <c r="AN125" t="s">
        <v>1518</v>
      </c>
      <c r="AR125" s="31"/>
      <c r="AX125">
        <v>1</v>
      </c>
    </row>
    <row r="126" spans="1:50" x14ac:dyDescent="0.3">
      <c r="A126" t="s">
        <v>44</v>
      </c>
      <c r="B126">
        <v>303</v>
      </c>
      <c r="D126">
        <v>1919</v>
      </c>
      <c r="G126" t="s">
        <v>1519</v>
      </c>
      <c r="J126" t="s">
        <v>1520</v>
      </c>
      <c r="K126" t="s">
        <v>1521</v>
      </c>
      <c r="M126" t="s">
        <v>1522</v>
      </c>
      <c r="Q126" t="s">
        <v>1523</v>
      </c>
      <c r="S126" t="s">
        <v>814</v>
      </c>
      <c r="V126" t="s">
        <v>1186</v>
      </c>
      <c r="W126" t="s">
        <v>780</v>
      </c>
      <c r="X126" t="s">
        <v>816</v>
      </c>
      <c r="Y126" t="s">
        <v>817</v>
      </c>
      <c r="Z126" s="31"/>
      <c r="AA126">
        <v>583848</v>
      </c>
      <c r="AB126">
        <v>229112</v>
      </c>
      <c r="AC126">
        <v>57</v>
      </c>
      <c r="AD126" t="s">
        <v>22</v>
      </c>
      <c r="AE126" s="31">
        <v>45741</v>
      </c>
      <c r="AF126" s="61">
        <v>0.38427083333333328</v>
      </c>
      <c r="AH126" t="s">
        <v>818</v>
      </c>
      <c r="AI126" s="31">
        <v>45798</v>
      </c>
      <c r="AJ126" s="61">
        <v>0.37590277777777781</v>
      </c>
      <c r="AN126" t="s">
        <v>1524</v>
      </c>
      <c r="AP126" t="s">
        <v>1525</v>
      </c>
      <c r="AQ126" t="s">
        <v>1524</v>
      </c>
      <c r="AR126" s="31"/>
      <c r="AX126">
        <v>1</v>
      </c>
    </row>
    <row r="127" spans="1:50" x14ac:dyDescent="0.3">
      <c r="A127" t="s">
        <v>44</v>
      </c>
      <c r="B127">
        <v>304</v>
      </c>
      <c r="D127">
        <v>1922</v>
      </c>
      <c r="G127" t="s">
        <v>1526</v>
      </c>
      <c r="J127" t="s">
        <v>5436</v>
      </c>
      <c r="K127" t="s">
        <v>1458</v>
      </c>
      <c r="M127" t="s">
        <v>1459</v>
      </c>
      <c r="W127" t="s">
        <v>780</v>
      </c>
      <c r="X127" t="s">
        <v>816</v>
      </c>
      <c r="Z127" s="31"/>
      <c r="AA127">
        <v>0</v>
      </c>
      <c r="AB127">
        <v>14256</v>
      </c>
      <c r="AC127">
        <v>0</v>
      </c>
      <c r="AD127" t="s">
        <v>44</v>
      </c>
      <c r="AE127" s="31">
        <v>45742</v>
      </c>
      <c r="AF127" s="61">
        <v>0.51811342592592591</v>
      </c>
      <c r="AH127" t="s">
        <v>818</v>
      </c>
      <c r="AI127" s="31">
        <v>45742</v>
      </c>
      <c r="AJ127" s="61">
        <v>0.51986111111111111</v>
      </c>
      <c r="AN127" t="s">
        <v>1528</v>
      </c>
      <c r="AR127" s="31"/>
      <c r="AX127">
        <v>1</v>
      </c>
    </row>
    <row r="128" spans="1:50" x14ac:dyDescent="0.3">
      <c r="A128" t="s">
        <v>44</v>
      </c>
      <c r="B128">
        <v>305</v>
      </c>
      <c r="D128">
        <v>1923</v>
      </c>
      <c r="G128" t="s">
        <v>5437</v>
      </c>
      <c r="H128">
        <v>49695060000165</v>
      </c>
      <c r="J128" t="s">
        <v>1530</v>
      </c>
      <c r="K128" t="s">
        <v>1531</v>
      </c>
      <c r="M128" t="s">
        <v>1532</v>
      </c>
      <c r="Q128" t="s">
        <v>1094</v>
      </c>
      <c r="R128" t="s">
        <v>790</v>
      </c>
      <c r="S128" t="s">
        <v>1191</v>
      </c>
      <c r="W128" t="s">
        <v>780</v>
      </c>
      <c r="X128" t="s">
        <v>793</v>
      </c>
      <c r="Y128" t="s">
        <v>817</v>
      </c>
      <c r="Z128" s="31"/>
      <c r="AA128">
        <v>64448</v>
      </c>
      <c r="AB128">
        <v>159326</v>
      </c>
      <c r="AC128">
        <v>50</v>
      </c>
      <c r="AD128" t="s">
        <v>44</v>
      </c>
      <c r="AE128" s="31">
        <v>45742</v>
      </c>
      <c r="AF128" s="61">
        <v>0.53810185185185189</v>
      </c>
      <c r="AH128" t="s">
        <v>795</v>
      </c>
      <c r="AI128" s="31">
        <v>45792</v>
      </c>
      <c r="AJ128" s="61">
        <v>0.64240740740740743</v>
      </c>
      <c r="AK128" t="s">
        <v>5338</v>
      </c>
      <c r="AL128" t="s">
        <v>1533</v>
      </c>
      <c r="AN128" t="s">
        <v>1525</v>
      </c>
      <c r="AP128" t="s">
        <v>1528</v>
      </c>
      <c r="AR128" s="31"/>
      <c r="AX128">
        <v>1</v>
      </c>
    </row>
    <row r="129" spans="1:50" x14ac:dyDescent="0.3">
      <c r="A129" t="s">
        <v>44</v>
      </c>
      <c r="B129">
        <v>311</v>
      </c>
      <c r="D129">
        <v>1942</v>
      </c>
      <c r="G129" t="s">
        <v>1534</v>
      </c>
      <c r="J129" t="s">
        <v>642</v>
      </c>
      <c r="K129" t="s">
        <v>1535</v>
      </c>
      <c r="M129" t="s">
        <v>1536</v>
      </c>
      <c r="W129" t="s">
        <v>780</v>
      </c>
      <c r="X129" t="s">
        <v>816</v>
      </c>
      <c r="Y129" t="s">
        <v>1537</v>
      </c>
      <c r="Z129" s="31"/>
      <c r="AA129">
        <v>16960</v>
      </c>
      <c r="AB129">
        <v>10810</v>
      </c>
      <c r="AC129">
        <v>43</v>
      </c>
      <c r="AD129" t="s">
        <v>44</v>
      </c>
      <c r="AE129" s="31">
        <v>45743</v>
      </c>
      <c r="AF129" s="61">
        <v>0.53383101851851855</v>
      </c>
      <c r="AH129" t="s">
        <v>818</v>
      </c>
      <c r="AI129" s="31">
        <v>45786</v>
      </c>
      <c r="AJ129" s="61">
        <v>0.50201388888888887</v>
      </c>
      <c r="AN129" t="s">
        <v>1524</v>
      </c>
      <c r="AP129" t="s">
        <v>1525</v>
      </c>
      <c r="AQ129" t="s">
        <v>1538</v>
      </c>
      <c r="AR129" s="31"/>
      <c r="AX129">
        <v>1</v>
      </c>
    </row>
    <row r="130" spans="1:50" x14ac:dyDescent="0.3">
      <c r="A130" t="s">
        <v>22</v>
      </c>
      <c r="B130">
        <v>313</v>
      </c>
      <c r="D130">
        <v>1944</v>
      </c>
      <c r="G130" t="s">
        <v>1539</v>
      </c>
      <c r="H130">
        <v>1787082000129</v>
      </c>
      <c r="J130" t="s">
        <v>1540</v>
      </c>
      <c r="K130" t="s">
        <v>1541</v>
      </c>
      <c r="M130" t="s">
        <v>1542</v>
      </c>
      <c r="S130" t="s">
        <v>933</v>
      </c>
      <c r="V130" t="s">
        <v>1488</v>
      </c>
      <c r="W130" t="s">
        <v>780</v>
      </c>
      <c r="X130" t="s">
        <v>816</v>
      </c>
      <c r="Y130" t="s">
        <v>817</v>
      </c>
      <c r="Z130" s="31">
        <v>46904</v>
      </c>
      <c r="AA130">
        <v>51200</v>
      </c>
      <c r="AB130">
        <v>42262</v>
      </c>
      <c r="AC130">
        <v>75</v>
      </c>
      <c r="AD130" t="s">
        <v>22</v>
      </c>
      <c r="AE130" s="31">
        <v>45743</v>
      </c>
      <c r="AF130" s="61">
        <v>0.66615740740740736</v>
      </c>
      <c r="AH130" t="s">
        <v>795</v>
      </c>
      <c r="AI130" s="31">
        <v>45818</v>
      </c>
      <c r="AJ130" s="61">
        <v>0.51120370370370372</v>
      </c>
      <c r="AK130" t="s">
        <v>5347</v>
      </c>
      <c r="AN130" t="s">
        <v>1374</v>
      </c>
      <c r="AO130" t="s">
        <v>22</v>
      </c>
      <c r="AP130" t="s">
        <v>1543</v>
      </c>
      <c r="AR130" s="31"/>
      <c r="AX130">
        <v>1</v>
      </c>
    </row>
    <row r="131" spans="1:50" x14ac:dyDescent="0.3">
      <c r="A131" t="s">
        <v>22</v>
      </c>
      <c r="B131">
        <v>314</v>
      </c>
      <c r="D131">
        <v>1948</v>
      </c>
      <c r="G131" t="s">
        <v>1544</v>
      </c>
      <c r="J131" t="s">
        <v>1462</v>
      </c>
      <c r="K131" t="s">
        <v>1545</v>
      </c>
      <c r="M131" t="s">
        <v>1111</v>
      </c>
      <c r="W131" t="s">
        <v>780</v>
      </c>
      <c r="X131" t="s">
        <v>897</v>
      </c>
      <c r="Z131" s="31"/>
      <c r="AC131">
        <v>10</v>
      </c>
      <c r="AD131" t="s">
        <v>22</v>
      </c>
      <c r="AE131" s="31">
        <v>45744</v>
      </c>
      <c r="AF131" s="61">
        <v>0.46645833333333331</v>
      </c>
      <c r="AH131" t="s">
        <v>795</v>
      </c>
      <c r="AI131" s="31">
        <v>45754</v>
      </c>
      <c r="AJ131" s="61">
        <v>0.60836805555555551</v>
      </c>
      <c r="AK131" t="s">
        <v>5392</v>
      </c>
      <c r="AO131" t="s">
        <v>22</v>
      </c>
      <c r="AP131" t="s">
        <v>1546</v>
      </c>
      <c r="AR131" s="31"/>
      <c r="AX131">
        <v>1</v>
      </c>
    </row>
    <row r="132" spans="1:50" x14ac:dyDescent="0.3">
      <c r="A132" t="s">
        <v>44</v>
      </c>
      <c r="B132">
        <v>315</v>
      </c>
      <c r="D132">
        <v>1949</v>
      </c>
      <c r="G132" t="s">
        <v>1547</v>
      </c>
      <c r="J132" t="s">
        <v>1548</v>
      </c>
      <c r="K132" t="s">
        <v>1549</v>
      </c>
      <c r="M132" t="s">
        <v>1522</v>
      </c>
      <c r="W132" t="s">
        <v>780</v>
      </c>
      <c r="X132" t="s">
        <v>816</v>
      </c>
      <c r="Y132" t="s">
        <v>995</v>
      </c>
      <c r="Z132" s="31"/>
      <c r="AA132">
        <v>1600</v>
      </c>
      <c r="AB132">
        <v>180443</v>
      </c>
      <c r="AC132">
        <v>54</v>
      </c>
      <c r="AD132" t="s">
        <v>44</v>
      </c>
      <c r="AE132" s="31">
        <v>45744</v>
      </c>
      <c r="AF132" s="61">
        <v>0.49288194444444439</v>
      </c>
      <c r="AH132" t="s">
        <v>818</v>
      </c>
      <c r="AI132" s="31">
        <v>45798</v>
      </c>
      <c r="AJ132" s="61">
        <v>0.37681712962962971</v>
      </c>
      <c r="AN132" t="s">
        <v>1524</v>
      </c>
      <c r="AP132" t="s">
        <v>1525</v>
      </c>
      <c r="AR132" s="31"/>
      <c r="AX132">
        <v>1</v>
      </c>
    </row>
    <row r="133" spans="1:50" x14ac:dyDescent="0.3">
      <c r="A133" t="s">
        <v>44</v>
      </c>
      <c r="B133">
        <v>316</v>
      </c>
      <c r="D133">
        <v>1950</v>
      </c>
      <c r="G133" t="s">
        <v>1550</v>
      </c>
      <c r="H133">
        <v>49695060000165</v>
      </c>
      <c r="J133" t="s">
        <v>1551</v>
      </c>
      <c r="K133" t="s">
        <v>1531</v>
      </c>
      <c r="M133" t="s">
        <v>1532</v>
      </c>
      <c r="Q133" t="s">
        <v>1094</v>
      </c>
      <c r="R133" t="s">
        <v>790</v>
      </c>
      <c r="W133" t="s">
        <v>780</v>
      </c>
      <c r="X133" t="s">
        <v>793</v>
      </c>
      <c r="Z133" s="31"/>
      <c r="AA133">
        <v>1600</v>
      </c>
      <c r="AB133">
        <v>2178</v>
      </c>
      <c r="AC133">
        <v>48</v>
      </c>
      <c r="AD133" t="s">
        <v>44</v>
      </c>
      <c r="AE133" s="31">
        <v>45744</v>
      </c>
      <c r="AF133" s="61">
        <v>0.62916666666666665</v>
      </c>
      <c r="AH133" t="s">
        <v>795</v>
      </c>
      <c r="AI133" s="31">
        <v>45792</v>
      </c>
      <c r="AJ133" s="61">
        <v>0.64351851851851849</v>
      </c>
      <c r="AK133" t="s">
        <v>5338</v>
      </c>
      <c r="AL133" t="s">
        <v>1533</v>
      </c>
      <c r="AM133" t="s">
        <v>1528</v>
      </c>
      <c r="AN133" t="s">
        <v>1528</v>
      </c>
      <c r="AP133" t="s">
        <v>1528</v>
      </c>
      <c r="AR133" s="31"/>
      <c r="AX133">
        <v>1</v>
      </c>
    </row>
    <row r="134" spans="1:50" x14ac:dyDescent="0.3">
      <c r="A134" t="s">
        <v>44</v>
      </c>
      <c r="B134">
        <v>317</v>
      </c>
      <c r="D134">
        <v>1952</v>
      </c>
      <c r="G134" t="s">
        <v>5438</v>
      </c>
      <c r="H134">
        <v>8652421000109</v>
      </c>
      <c r="J134" t="s">
        <v>1553</v>
      </c>
      <c r="K134" t="s">
        <v>1554</v>
      </c>
      <c r="M134" t="s">
        <v>1427</v>
      </c>
      <c r="Q134" t="s">
        <v>1428</v>
      </c>
      <c r="R134" t="s">
        <v>1027</v>
      </c>
      <c r="W134" t="s">
        <v>780</v>
      </c>
      <c r="X134" t="s">
        <v>807</v>
      </c>
      <c r="Z134" s="31"/>
      <c r="AA134">
        <v>74860</v>
      </c>
      <c r="AB134">
        <v>641932</v>
      </c>
      <c r="AC134">
        <v>48</v>
      </c>
      <c r="AD134" t="s">
        <v>44</v>
      </c>
      <c r="AE134" s="31">
        <v>45744</v>
      </c>
      <c r="AF134" s="61">
        <v>0.65123842592592596</v>
      </c>
      <c r="AH134" t="s">
        <v>795</v>
      </c>
      <c r="AI134" s="31">
        <v>45792</v>
      </c>
      <c r="AJ134" s="61">
        <v>0.48288194444444438</v>
      </c>
      <c r="AK134" t="s">
        <v>5338</v>
      </c>
      <c r="AL134" t="s">
        <v>5439</v>
      </c>
      <c r="AN134" t="s">
        <v>1524</v>
      </c>
      <c r="AP134" t="s">
        <v>1556</v>
      </c>
      <c r="AR134" s="31"/>
      <c r="AX134">
        <v>1</v>
      </c>
    </row>
    <row r="135" spans="1:50" x14ac:dyDescent="0.3">
      <c r="A135" t="s">
        <v>44</v>
      </c>
      <c r="B135">
        <v>318</v>
      </c>
      <c r="D135">
        <v>1957</v>
      </c>
      <c r="G135" t="s">
        <v>1557</v>
      </c>
      <c r="H135">
        <v>8652421000109</v>
      </c>
      <c r="J135" t="s">
        <v>1558</v>
      </c>
      <c r="K135" t="s">
        <v>1559</v>
      </c>
      <c r="M135" t="s">
        <v>1427</v>
      </c>
      <c r="W135" t="s">
        <v>780</v>
      </c>
      <c r="X135" t="s">
        <v>793</v>
      </c>
      <c r="Z135" s="31"/>
      <c r="AC135">
        <v>19</v>
      </c>
      <c r="AD135" t="s">
        <v>44</v>
      </c>
      <c r="AE135" s="31">
        <v>45744</v>
      </c>
      <c r="AF135" s="61">
        <v>0.65327546296296302</v>
      </c>
      <c r="AH135" t="s">
        <v>795</v>
      </c>
      <c r="AI135" s="31">
        <v>45763</v>
      </c>
      <c r="AJ135" s="61">
        <v>0.40211805555555558</v>
      </c>
      <c r="AK135" t="s">
        <v>5338</v>
      </c>
      <c r="AL135" t="s">
        <v>5440</v>
      </c>
      <c r="AN135" t="s">
        <v>1524</v>
      </c>
      <c r="AP135" t="s">
        <v>1556</v>
      </c>
      <c r="AR135" s="31"/>
      <c r="AX135">
        <v>1</v>
      </c>
    </row>
    <row r="136" spans="1:50" x14ac:dyDescent="0.3">
      <c r="A136" t="s">
        <v>44</v>
      </c>
      <c r="B136">
        <v>319</v>
      </c>
      <c r="D136">
        <v>1958</v>
      </c>
      <c r="G136" t="s">
        <v>5441</v>
      </c>
      <c r="J136" t="s">
        <v>5442</v>
      </c>
      <c r="K136" t="s">
        <v>1024</v>
      </c>
      <c r="M136" t="s">
        <v>1025</v>
      </c>
      <c r="W136" t="s">
        <v>780</v>
      </c>
      <c r="X136" t="s">
        <v>816</v>
      </c>
      <c r="Z136" s="31"/>
      <c r="AA136">
        <v>1760013</v>
      </c>
      <c r="AB136">
        <v>0</v>
      </c>
      <c r="AC136">
        <v>0</v>
      </c>
      <c r="AD136" t="s">
        <v>44</v>
      </c>
      <c r="AE136" s="31">
        <v>45747</v>
      </c>
      <c r="AF136" s="61">
        <v>0.47290509259259261</v>
      </c>
      <c r="AH136" t="s">
        <v>818</v>
      </c>
      <c r="AI136" s="31">
        <v>45747</v>
      </c>
      <c r="AJ136" s="61">
        <v>0.48357638888888888</v>
      </c>
      <c r="AN136" t="s">
        <v>1497</v>
      </c>
      <c r="AR136" s="31"/>
      <c r="AX136">
        <v>1</v>
      </c>
    </row>
    <row r="137" spans="1:50" x14ac:dyDescent="0.3">
      <c r="A137" t="s">
        <v>44</v>
      </c>
      <c r="B137">
        <v>321</v>
      </c>
      <c r="D137">
        <v>1961</v>
      </c>
      <c r="G137" t="s">
        <v>1557</v>
      </c>
      <c r="J137" t="s">
        <v>1558</v>
      </c>
      <c r="K137" t="s">
        <v>1563</v>
      </c>
      <c r="M137" t="s">
        <v>1427</v>
      </c>
      <c r="W137" t="s">
        <v>780</v>
      </c>
      <c r="X137" t="s">
        <v>807</v>
      </c>
      <c r="Z137" s="31"/>
      <c r="AA137">
        <v>1600</v>
      </c>
      <c r="AB137">
        <v>462522</v>
      </c>
      <c r="AC137">
        <v>45</v>
      </c>
      <c r="AD137" t="s">
        <v>44</v>
      </c>
      <c r="AE137" s="31">
        <v>45747</v>
      </c>
      <c r="AF137" s="61">
        <v>0.63219907407407405</v>
      </c>
      <c r="AH137" t="s">
        <v>795</v>
      </c>
      <c r="AI137" s="31">
        <v>45792</v>
      </c>
      <c r="AJ137" s="61">
        <v>0.48388888888888892</v>
      </c>
      <c r="AK137" t="s">
        <v>5338</v>
      </c>
      <c r="AL137" t="s">
        <v>5439</v>
      </c>
      <c r="AN137" t="s">
        <v>1524</v>
      </c>
      <c r="AP137" t="s">
        <v>1556</v>
      </c>
      <c r="AR137" s="31"/>
      <c r="AX137">
        <v>1</v>
      </c>
    </row>
    <row r="138" spans="1:50" x14ac:dyDescent="0.3">
      <c r="A138" t="s">
        <v>44</v>
      </c>
      <c r="B138">
        <v>322</v>
      </c>
      <c r="D138">
        <v>1962</v>
      </c>
      <c r="G138" t="s">
        <v>1564</v>
      </c>
      <c r="J138" t="s">
        <v>1565</v>
      </c>
      <c r="K138" t="s">
        <v>991</v>
      </c>
      <c r="M138" t="s">
        <v>992</v>
      </c>
      <c r="W138" t="s">
        <v>780</v>
      </c>
      <c r="X138" t="s">
        <v>816</v>
      </c>
      <c r="Z138" s="31"/>
      <c r="AA138">
        <v>0</v>
      </c>
      <c r="AB138">
        <v>30002</v>
      </c>
      <c r="AC138">
        <v>24</v>
      </c>
      <c r="AD138" t="s">
        <v>44</v>
      </c>
      <c r="AE138" s="31">
        <v>45747</v>
      </c>
      <c r="AF138" s="61">
        <v>0.69299768518518523</v>
      </c>
      <c r="AH138" t="s">
        <v>818</v>
      </c>
      <c r="AI138" s="31">
        <v>45771</v>
      </c>
      <c r="AJ138" s="61">
        <v>0.50261574074074078</v>
      </c>
      <c r="AN138" t="s">
        <v>1524</v>
      </c>
      <c r="AR138" s="31"/>
      <c r="AX138">
        <v>1</v>
      </c>
    </row>
    <row r="139" spans="1:50" x14ac:dyDescent="0.3">
      <c r="A139" t="s">
        <v>44</v>
      </c>
      <c r="B139">
        <v>323</v>
      </c>
      <c r="D139">
        <v>1963</v>
      </c>
      <c r="G139" t="s">
        <v>5443</v>
      </c>
      <c r="J139" t="s">
        <v>5444</v>
      </c>
      <c r="K139" t="s">
        <v>1568</v>
      </c>
      <c r="M139" t="s">
        <v>1569</v>
      </c>
      <c r="W139" t="s">
        <v>780</v>
      </c>
      <c r="X139" t="s">
        <v>793</v>
      </c>
      <c r="Z139" s="31"/>
      <c r="AA139">
        <v>16960</v>
      </c>
      <c r="AB139">
        <v>1980</v>
      </c>
      <c r="AC139">
        <v>64</v>
      </c>
      <c r="AD139" t="s">
        <v>44</v>
      </c>
      <c r="AE139" s="31">
        <v>45747</v>
      </c>
      <c r="AF139" s="61">
        <v>0.70123842592592589</v>
      </c>
      <c r="AH139" t="s">
        <v>795</v>
      </c>
      <c r="AI139" s="31">
        <v>45811</v>
      </c>
      <c r="AJ139" s="61">
        <v>0.46266203703703701</v>
      </c>
      <c r="AK139" t="s">
        <v>858</v>
      </c>
      <c r="AL139" t="s">
        <v>5445</v>
      </c>
      <c r="AN139" t="s">
        <v>1524</v>
      </c>
      <c r="AP139" t="s">
        <v>1524</v>
      </c>
      <c r="AR139" s="31"/>
      <c r="AX139">
        <v>1</v>
      </c>
    </row>
    <row r="140" spans="1:50" x14ac:dyDescent="0.3">
      <c r="A140" t="s">
        <v>44</v>
      </c>
      <c r="B140">
        <v>328</v>
      </c>
      <c r="D140">
        <v>1970</v>
      </c>
      <c r="G140" t="s">
        <v>5446</v>
      </c>
      <c r="J140" t="s">
        <v>5447</v>
      </c>
      <c r="K140" t="s">
        <v>1573</v>
      </c>
      <c r="M140" t="s">
        <v>1574</v>
      </c>
      <c r="W140" t="s">
        <v>780</v>
      </c>
      <c r="X140" t="s">
        <v>897</v>
      </c>
      <c r="Z140" s="31"/>
      <c r="AC140">
        <v>71</v>
      </c>
      <c r="AD140" t="s">
        <v>44</v>
      </c>
      <c r="AE140" s="31">
        <v>45748</v>
      </c>
      <c r="AF140" s="61">
        <v>0.6648263888888889</v>
      </c>
      <c r="AH140" t="s">
        <v>795</v>
      </c>
      <c r="AI140" s="31">
        <v>45819</v>
      </c>
      <c r="AJ140" s="61">
        <v>0.60791666666666666</v>
      </c>
      <c r="AK140" t="s">
        <v>5338</v>
      </c>
      <c r="AL140" t="s">
        <v>5448</v>
      </c>
      <c r="AM140" t="s">
        <v>1576</v>
      </c>
      <c r="AR140" s="31"/>
      <c r="AX140">
        <v>1</v>
      </c>
    </row>
    <row r="141" spans="1:50" x14ac:dyDescent="0.3">
      <c r="A141" t="s">
        <v>44</v>
      </c>
      <c r="B141">
        <v>333</v>
      </c>
      <c r="D141">
        <v>1977</v>
      </c>
      <c r="G141" t="s">
        <v>5449</v>
      </c>
      <c r="H141">
        <v>32921219000110</v>
      </c>
      <c r="J141" t="s">
        <v>693</v>
      </c>
      <c r="K141" t="s">
        <v>1579</v>
      </c>
      <c r="M141" t="s">
        <v>1580</v>
      </c>
      <c r="V141" t="s">
        <v>1581</v>
      </c>
      <c r="W141" t="s">
        <v>780</v>
      </c>
      <c r="X141" t="s">
        <v>807</v>
      </c>
      <c r="Z141" s="31"/>
      <c r="AA141">
        <v>69112</v>
      </c>
      <c r="AB141">
        <v>318388</v>
      </c>
      <c r="AC141">
        <v>88</v>
      </c>
      <c r="AD141" t="s">
        <v>44</v>
      </c>
      <c r="AE141" s="31">
        <v>45750</v>
      </c>
      <c r="AF141" s="61">
        <v>0.66128472222222223</v>
      </c>
      <c r="AH141" t="s">
        <v>795</v>
      </c>
      <c r="AI141" s="31">
        <v>45838</v>
      </c>
      <c r="AJ141" s="61">
        <v>0.63310185185185186</v>
      </c>
      <c r="AK141" t="s">
        <v>934</v>
      </c>
      <c r="AL141" t="s">
        <v>5450</v>
      </c>
      <c r="AN141" t="s">
        <v>1583</v>
      </c>
      <c r="AO141" t="s">
        <v>44</v>
      </c>
      <c r="AP141" t="s">
        <v>1583</v>
      </c>
      <c r="AQ141" t="s">
        <v>1584</v>
      </c>
      <c r="AR141" s="31"/>
      <c r="AX141">
        <v>1</v>
      </c>
    </row>
    <row r="142" spans="1:50" x14ac:dyDescent="0.3">
      <c r="A142" t="s">
        <v>31</v>
      </c>
      <c r="B142">
        <v>334</v>
      </c>
      <c r="D142">
        <v>1978</v>
      </c>
      <c r="G142" t="s">
        <v>1585</v>
      </c>
      <c r="H142">
        <v>55940574000131</v>
      </c>
      <c r="J142" t="s">
        <v>1586</v>
      </c>
      <c r="K142" t="s">
        <v>1587</v>
      </c>
      <c r="M142" t="s">
        <v>1588</v>
      </c>
      <c r="S142" t="s">
        <v>933</v>
      </c>
      <c r="V142" t="s">
        <v>1581</v>
      </c>
      <c r="W142" t="s">
        <v>780</v>
      </c>
      <c r="X142" t="s">
        <v>807</v>
      </c>
      <c r="Y142" t="s">
        <v>995</v>
      </c>
      <c r="Z142" s="31">
        <v>46053</v>
      </c>
      <c r="AC142">
        <v>228</v>
      </c>
      <c r="AD142" t="s">
        <v>31</v>
      </c>
      <c r="AE142" s="31">
        <v>45751</v>
      </c>
      <c r="AF142" s="61">
        <v>0.64585648148148145</v>
      </c>
      <c r="AH142" t="s">
        <v>795</v>
      </c>
      <c r="AI142" s="31">
        <v>45979</v>
      </c>
      <c r="AJ142" s="61">
        <v>0.39087962962962958</v>
      </c>
      <c r="AK142" t="s">
        <v>5338</v>
      </c>
      <c r="AN142" t="s">
        <v>1589</v>
      </c>
      <c r="AO142" t="s">
        <v>31</v>
      </c>
      <c r="AP142" t="s">
        <v>1590</v>
      </c>
      <c r="AQ142" t="s">
        <v>1591</v>
      </c>
      <c r="AR142" s="31"/>
      <c r="AX142">
        <v>1</v>
      </c>
    </row>
    <row r="143" spans="1:50" x14ac:dyDescent="0.3">
      <c r="A143" t="s">
        <v>44</v>
      </c>
      <c r="B143">
        <v>336</v>
      </c>
      <c r="D143">
        <v>1980</v>
      </c>
      <c r="G143" t="s">
        <v>5451</v>
      </c>
      <c r="H143">
        <v>56262451000151</v>
      </c>
      <c r="J143" t="s">
        <v>1593</v>
      </c>
      <c r="K143" t="s">
        <v>1594</v>
      </c>
      <c r="M143" t="s">
        <v>1595</v>
      </c>
      <c r="Q143" t="s">
        <v>1596</v>
      </c>
      <c r="R143" t="s">
        <v>790</v>
      </c>
      <c r="W143" t="s">
        <v>780</v>
      </c>
      <c r="X143" t="s">
        <v>807</v>
      </c>
      <c r="Z143" s="31"/>
      <c r="AA143">
        <v>110486</v>
      </c>
      <c r="AB143">
        <v>704412</v>
      </c>
      <c r="AC143">
        <v>16</v>
      </c>
      <c r="AD143" t="s">
        <v>44</v>
      </c>
      <c r="AE143" s="31">
        <v>45754</v>
      </c>
      <c r="AF143" s="61">
        <v>0.42481481481481481</v>
      </c>
      <c r="AH143" t="s">
        <v>795</v>
      </c>
      <c r="AI143" s="31">
        <v>45770</v>
      </c>
      <c r="AJ143" s="61">
        <v>0.62724537037037043</v>
      </c>
      <c r="AK143" t="s">
        <v>934</v>
      </c>
      <c r="AL143" t="s">
        <v>5452</v>
      </c>
      <c r="AM143" t="s">
        <v>1598</v>
      </c>
      <c r="AN143" t="s">
        <v>1576</v>
      </c>
      <c r="AR143" s="31"/>
      <c r="AX143">
        <v>1</v>
      </c>
    </row>
    <row r="144" spans="1:50" x14ac:dyDescent="0.3">
      <c r="A144" t="s">
        <v>22</v>
      </c>
      <c r="B144">
        <v>338</v>
      </c>
      <c r="D144">
        <v>1983</v>
      </c>
      <c r="G144" t="s">
        <v>1599</v>
      </c>
      <c r="H144">
        <v>750764000102</v>
      </c>
      <c r="J144" t="s">
        <v>5453</v>
      </c>
      <c r="K144" t="s">
        <v>1601</v>
      </c>
      <c r="M144" t="s">
        <v>1602</v>
      </c>
      <c r="W144" t="s">
        <v>780</v>
      </c>
      <c r="X144" t="s">
        <v>807</v>
      </c>
      <c r="Z144" s="31"/>
      <c r="AA144">
        <v>50000</v>
      </c>
      <c r="AB144">
        <v>30502</v>
      </c>
      <c r="AC144">
        <v>26</v>
      </c>
      <c r="AD144" t="s">
        <v>22</v>
      </c>
      <c r="AE144" s="31">
        <v>45754</v>
      </c>
      <c r="AF144" s="61">
        <v>0.60024305555555557</v>
      </c>
      <c r="AH144" t="s">
        <v>795</v>
      </c>
      <c r="AI144" s="31">
        <v>45780</v>
      </c>
      <c r="AJ144" s="61">
        <v>0.44513888888888892</v>
      </c>
      <c r="AK144" t="s">
        <v>5347</v>
      </c>
      <c r="AN144" t="s">
        <v>1603</v>
      </c>
      <c r="AO144" t="s">
        <v>22</v>
      </c>
      <c r="AP144" t="s">
        <v>1604</v>
      </c>
      <c r="AR144" s="31"/>
      <c r="AX144">
        <v>1</v>
      </c>
    </row>
    <row r="145" spans="1:50" x14ac:dyDescent="0.3">
      <c r="A145" t="s">
        <v>44</v>
      </c>
      <c r="B145">
        <v>343</v>
      </c>
      <c r="D145">
        <v>1988</v>
      </c>
      <c r="G145" t="s">
        <v>5454</v>
      </c>
      <c r="J145" t="s">
        <v>1606</v>
      </c>
      <c r="K145" t="s">
        <v>1607</v>
      </c>
      <c r="M145" t="s">
        <v>1608</v>
      </c>
      <c r="W145" t="s">
        <v>780</v>
      </c>
      <c r="X145" t="s">
        <v>793</v>
      </c>
      <c r="Z145" s="31"/>
      <c r="AA145">
        <v>32400</v>
      </c>
      <c r="AB145">
        <v>104544</v>
      </c>
      <c r="AC145">
        <v>34</v>
      </c>
      <c r="AD145" t="s">
        <v>44</v>
      </c>
      <c r="AE145" s="31">
        <v>45758</v>
      </c>
      <c r="AF145" s="61">
        <v>0.4972685185185185</v>
      </c>
      <c r="AH145" t="s">
        <v>795</v>
      </c>
      <c r="AI145" s="31">
        <v>45792</v>
      </c>
      <c r="AJ145" s="61">
        <v>0.47031250000000002</v>
      </c>
      <c r="AK145" t="s">
        <v>5338</v>
      </c>
      <c r="AL145" t="s">
        <v>5455</v>
      </c>
      <c r="AN145" t="s">
        <v>1610</v>
      </c>
      <c r="AP145" t="s">
        <v>1610</v>
      </c>
      <c r="AR145" s="31"/>
      <c r="AX145">
        <v>1</v>
      </c>
    </row>
    <row r="146" spans="1:50" x14ac:dyDescent="0.3">
      <c r="A146" t="s">
        <v>44</v>
      </c>
      <c r="B146">
        <v>346</v>
      </c>
      <c r="D146">
        <v>1991</v>
      </c>
      <c r="G146" t="s">
        <v>1611</v>
      </c>
      <c r="J146" t="s">
        <v>5456</v>
      </c>
      <c r="K146" t="s">
        <v>1613</v>
      </c>
      <c r="M146" t="s">
        <v>1614</v>
      </c>
      <c r="V146" t="s">
        <v>5457</v>
      </c>
      <c r="W146" t="s">
        <v>780</v>
      </c>
      <c r="X146" t="s">
        <v>816</v>
      </c>
      <c r="Z146" s="31">
        <v>46053</v>
      </c>
      <c r="AA146">
        <v>51306</v>
      </c>
      <c r="AB146">
        <v>2700</v>
      </c>
      <c r="AC146">
        <v>296</v>
      </c>
      <c r="AD146" t="s">
        <v>44</v>
      </c>
      <c r="AE146" s="31">
        <v>45762</v>
      </c>
      <c r="AF146" s="61">
        <v>0.62379629629629629</v>
      </c>
      <c r="AH146" t="s">
        <v>818</v>
      </c>
      <c r="AI146" s="31">
        <v>45783</v>
      </c>
      <c r="AJ146" s="61">
        <v>0.48605324074074069</v>
      </c>
      <c r="AL146" t="s">
        <v>1058</v>
      </c>
      <c r="AN146" t="s">
        <v>888</v>
      </c>
      <c r="AP146" t="s">
        <v>888</v>
      </c>
      <c r="AR146" s="31">
        <v>46028</v>
      </c>
      <c r="AX146">
        <v>1</v>
      </c>
    </row>
    <row r="147" spans="1:50" x14ac:dyDescent="0.3">
      <c r="A147" t="s">
        <v>44</v>
      </c>
      <c r="B147">
        <v>347</v>
      </c>
      <c r="D147">
        <v>1992</v>
      </c>
      <c r="G147" t="s">
        <v>5458</v>
      </c>
      <c r="J147" t="s">
        <v>5459</v>
      </c>
      <c r="K147" t="s">
        <v>1613</v>
      </c>
      <c r="M147" t="s">
        <v>1614</v>
      </c>
      <c r="W147" t="s">
        <v>780</v>
      </c>
      <c r="X147" t="s">
        <v>807</v>
      </c>
      <c r="Z147" s="31"/>
      <c r="AA147">
        <v>15216</v>
      </c>
      <c r="AB147">
        <v>37684</v>
      </c>
      <c r="AC147">
        <v>21</v>
      </c>
      <c r="AD147" t="s">
        <v>44</v>
      </c>
      <c r="AE147" s="31">
        <v>45762</v>
      </c>
      <c r="AF147" s="61">
        <v>0.62471064814814814</v>
      </c>
      <c r="AH147" t="s">
        <v>795</v>
      </c>
      <c r="AI147" s="31">
        <v>45783</v>
      </c>
      <c r="AJ147" s="61">
        <v>0.4869560185185185</v>
      </c>
      <c r="AK147" t="s">
        <v>5347</v>
      </c>
      <c r="AL147" t="s">
        <v>1618</v>
      </c>
      <c r="AN147" t="s">
        <v>1584</v>
      </c>
      <c r="AP147" t="s">
        <v>1619</v>
      </c>
      <c r="AR147" s="31"/>
      <c r="AX147">
        <v>1</v>
      </c>
    </row>
    <row r="148" spans="1:50" x14ac:dyDescent="0.3">
      <c r="A148" t="s">
        <v>44</v>
      </c>
      <c r="B148">
        <v>348</v>
      </c>
      <c r="D148">
        <v>1993</v>
      </c>
      <c r="G148" t="s">
        <v>5460</v>
      </c>
      <c r="J148" t="s">
        <v>5461</v>
      </c>
      <c r="K148" t="s">
        <v>1622</v>
      </c>
      <c r="M148" t="s">
        <v>1623</v>
      </c>
      <c r="W148" t="s">
        <v>780</v>
      </c>
      <c r="X148" t="s">
        <v>816</v>
      </c>
      <c r="Y148" t="s">
        <v>995</v>
      </c>
      <c r="Z148" s="31"/>
      <c r="AA148">
        <v>15264</v>
      </c>
      <c r="AB148">
        <v>8210</v>
      </c>
      <c r="AC148">
        <v>22</v>
      </c>
      <c r="AD148" t="s">
        <v>44</v>
      </c>
      <c r="AE148" s="31">
        <v>45762</v>
      </c>
      <c r="AF148" s="61">
        <v>0.7232291666666667</v>
      </c>
      <c r="AH148" t="s">
        <v>818</v>
      </c>
      <c r="AI148" s="31">
        <v>45784</v>
      </c>
      <c r="AJ148" s="61">
        <v>0.37145833333333328</v>
      </c>
      <c r="AN148" t="s">
        <v>1624</v>
      </c>
      <c r="AR148" s="31"/>
      <c r="AX148">
        <v>1</v>
      </c>
    </row>
    <row r="149" spans="1:50" x14ac:dyDescent="0.3">
      <c r="A149" t="s">
        <v>44</v>
      </c>
      <c r="B149">
        <v>351</v>
      </c>
      <c r="D149">
        <v>1997</v>
      </c>
      <c r="G149" t="s">
        <v>1625</v>
      </c>
      <c r="H149">
        <v>56262451000151</v>
      </c>
      <c r="J149" t="s">
        <v>1626</v>
      </c>
      <c r="K149" t="s">
        <v>1594</v>
      </c>
      <c r="M149" t="s">
        <v>1595</v>
      </c>
      <c r="Q149" t="s">
        <v>1596</v>
      </c>
      <c r="R149" t="s">
        <v>790</v>
      </c>
      <c r="W149" t="s">
        <v>780</v>
      </c>
      <c r="X149" t="s">
        <v>807</v>
      </c>
      <c r="Z149" s="31"/>
      <c r="AA149">
        <v>1620001</v>
      </c>
      <c r="AB149">
        <v>3400</v>
      </c>
      <c r="AC149">
        <v>6</v>
      </c>
      <c r="AD149" t="s">
        <v>44</v>
      </c>
      <c r="AE149" s="31">
        <v>45764</v>
      </c>
      <c r="AF149" s="61">
        <v>0.43085648148148148</v>
      </c>
      <c r="AH149" t="s">
        <v>795</v>
      </c>
      <c r="AI149" s="31">
        <v>45770</v>
      </c>
      <c r="AJ149" s="61">
        <v>0.62804398148148144</v>
      </c>
      <c r="AK149" t="s">
        <v>934</v>
      </c>
      <c r="AL149" t="s">
        <v>5452</v>
      </c>
      <c r="AN149" t="s">
        <v>1598</v>
      </c>
      <c r="AP149" t="s">
        <v>1576</v>
      </c>
      <c r="AR149" s="31"/>
      <c r="AX149">
        <v>1</v>
      </c>
    </row>
    <row r="150" spans="1:50" x14ac:dyDescent="0.3">
      <c r="A150" t="s">
        <v>44</v>
      </c>
      <c r="B150">
        <v>352</v>
      </c>
      <c r="D150">
        <v>1999</v>
      </c>
      <c r="G150" t="s">
        <v>1627</v>
      </c>
      <c r="J150" t="s">
        <v>1628</v>
      </c>
      <c r="K150" t="s">
        <v>1629</v>
      </c>
      <c r="M150" t="s">
        <v>1595</v>
      </c>
      <c r="W150" t="s">
        <v>780</v>
      </c>
      <c r="X150" t="s">
        <v>807</v>
      </c>
      <c r="Z150" s="31"/>
      <c r="AA150">
        <v>16200</v>
      </c>
      <c r="AB150">
        <v>2160</v>
      </c>
      <c r="AC150">
        <v>6</v>
      </c>
      <c r="AD150" t="s">
        <v>44</v>
      </c>
      <c r="AE150" s="31">
        <v>45764</v>
      </c>
      <c r="AF150" s="61">
        <v>0.46605324074074073</v>
      </c>
      <c r="AH150" t="s">
        <v>795</v>
      </c>
      <c r="AI150" s="31">
        <v>45770</v>
      </c>
      <c r="AJ150" s="61">
        <v>0.62869212962962961</v>
      </c>
      <c r="AK150" t="s">
        <v>934</v>
      </c>
      <c r="AL150" t="s">
        <v>5452</v>
      </c>
      <c r="AN150" t="s">
        <v>1598</v>
      </c>
      <c r="AP150" t="s">
        <v>1576</v>
      </c>
      <c r="AR150" s="31"/>
      <c r="AX150">
        <v>1</v>
      </c>
    </row>
    <row r="151" spans="1:50" x14ac:dyDescent="0.3">
      <c r="A151" t="s">
        <v>44</v>
      </c>
      <c r="B151">
        <v>353</v>
      </c>
      <c r="D151">
        <v>2000</v>
      </c>
      <c r="G151" t="s">
        <v>1630</v>
      </c>
      <c r="H151">
        <v>8678467000105</v>
      </c>
      <c r="J151" t="s">
        <v>5462</v>
      </c>
      <c r="K151" t="s">
        <v>1632</v>
      </c>
      <c r="Q151" t="s">
        <v>1633</v>
      </c>
      <c r="R151" t="s">
        <v>848</v>
      </c>
      <c r="V151" t="s">
        <v>1419</v>
      </c>
      <c r="W151" t="s">
        <v>780</v>
      </c>
      <c r="X151" t="s">
        <v>807</v>
      </c>
      <c r="Z151" s="31"/>
      <c r="AA151">
        <v>5667184</v>
      </c>
      <c r="AB151">
        <v>539533</v>
      </c>
      <c r="AC151">
        <v>68</v>
      </c>
      <c r="AD151" t="s">
        <v>44</v>
      </c>
      <c r="AE151" s="31">
        <v>45764</v>
      </c>
      <c r="AF151" s="61">
        <v>0.51119212962962968</v>
      </c>
      <c r="AH151" t="s">
        <v>795</v>
      </c>
      <c r="AI151" s="31">
        <v>45832</v>
      </c>
      <c r="AJ151" s="61">
        <v>0.4964351851851852</v>
      </c>
      <c r="AK151" t="s">
        <v>934</v>
      </c>
      <c r="AL151" t="s">
        <v>5463</v>
      </c>
      <c r="AN151" t="s">
        <v>1583</v>
      </c>
      <c r="AP151" t="s">
        <v>1583</v>
      </c>
      <c r="AR151" s="31"/>
      <c r="AX151">
        <v>1</v>
      </c>
    </row>
    <row r="152" spans="1:50" x14ac:dyDescent="0.3">
      <c r="A152" t="s">
        <v>44</v>
      </c>
      <c r="B152">
        <v>354</v>
      </c>
      <c r="D152">
        <v>2002</v>
      </c>
      <c r="G152" t="s">
        <v>5464</v>
      </c>
      <c r="H152">
        <v>8678467000105</v>
      </c>
      <c r="J152" t="s">
        <v>5465</v>
      </c>
      <c r="K152" t="s">
        <v>1632</v>
      </c>
      <c r="Q152" t="s">
        <v>1633</v>
      </c>
      <c r="R152" t="s">
        <v>848</v>
      </c>
      <c r="V152" t="s">
        <v>1419</v>
      </c>
      <c r="W152" t="s">
        <v>780</v>
      </c>
      <c r="X152" t="s">
        <v>807</v>
      </c>
      <c r="Z152" s="31"/>
      <c r="AA152">
        <v>1600</v>
      </c>
      <c r="AB152">
        <v>28747</v>
      </c>
      <c r="AC152">
        <v>68</v>
      </c>
      <c r="AD152" t="s">
        <v>44</v>
      </c>
      <c r="AE152" s="31">
        <v>45764</v>
      </c>
      <c r="AF152" s="61">
        <v>0.59777777777777774</v>
      </c>
      <c r="AH152" t="s">
        <v>795</v>
      </c>
      <c r="AI152" s="31">
        <v>45832</v>
      </c>
      <c r="AJ152" s="61">
        <v>0.49752314814814808</v>
      </c>
      <c r="AK152" t="s">
        <v>934</v>
      </c>
      <c r="AL152" t="s">
        <v>5466</v>
      </c>
      <c r="AN152" t="s">
        <v>1583</v>
      </c>
      <c r="AP152" t="s">
        <v>1583</v>
      </c>
      <c r="AR152" s="31"/>
      <c r="AX152">
        <v>1</v>
      </c>
    </row>
    <row r="153" spans="1:50" x14ac:dyDescent="0.3">
      <c r="A153" t="s">
        <v>44</v>
      </c>
      <c r="B153">
        <v>355</v>
      </c>
      <c r="D153">
        <v>2004</v>
      </c>
      <c r="G153" t="s">
        <v>1638</v>
      </c>
      <c r="J153" t="s">
        <v>1639</v>
      </c>
      <c r="K153" t="s">
        <v>1579</v>
      </c>
      <c r="M153" t="s">
        <v>1640</v>
      </c>
      <c r="V153" t="s">
        <v>1581</v>
      </c>
      <c r="W153" t="s">
        <v>780</v>
      </c>
      <c r="X153" t="s">
        <v>807</v>
      </c>
      <c r="Z153" s="31"/>
      <c r="AA153">
        <v>1600</v>
      </c>
      <c r="AB153">
        <v>32107</v>
      </c>
      <c r="AC153">
        <v>74</v>
      </c>
      <c r="AD153" t="s">
        <v>44</v>
      </c>
      <c r="AE153" s="31">
        <v>45764</v>
      </c>
      <c r="AF153" s="61">
        <v>0.64312499999999995</v>
      </c>
      <c r="AH153" t="s">
        <v>795</v>
      </c>
      <c r="AI153" s="31">
        <v>45838</v>
      </c>
      <c r="AJ153" s="61">
        <v>0.63413194444444443</v>
      </c>
      <c r="AK153" t="s">
        <v>934</v>
      </c>
      <c r="AL153" t="s">
        <v>5467</v>
      </c>
      <c r="AN153" t="s">
        <v>1583</v>
      </c>
      <c r="AP153" t="s">
        <v>1583</v>
      </c>
      <c r="AQ153" t="s">
        <v>1584</v>
      </c>
      <c r="AR153" s="31"/>
      <c r="AX153">
        <v>1</v>
      </c>
    </row>
    <row r="154" spans="1:50" x14ac:dyDescent="0.3">
      <c r="A154" t="s">
        <v>44</v>
      </c>
      <c r="B154">
        <v>358</v>
      </c>
      <c r="D154">
        <v>2008</v>
      </c>
      <c r="G154" t="s">
        <v>1642</v>
      </c>
      <c r="J154" t="s">
        <v>1643</v>
      </c>
      <c r="K154" t="s">
        <v>1644</v>
      </c>
      <c r="M154" t="s">
        <v>1645</v>
      </c>
      <c r="Q154" t="s">
        <v>1646</v>
      </c>
      <c r="S154" t="s">
        <v>814</v>
      </c>
      <c r="V154" t="s">
        <v>1186</v>
      </c>
      <c r="W154" t="s">
        <v>780</v>
      </c>
      <c r="X154" t="s">
        <v>793</v>
      </c>
      <c r="Z154" s="31"/>
      <c r="AA154">
        <v>58088</v>
      </c>
      <c r="AB154">
        <v>112089</v>
      </c>
      <c r="AC154">
        <v>17</v>
      </c>
      <c r="AD154" t="s">
        <v>22</v>
      </c>
      <c r="AE154" s="31">
        <v>45775</v>
      </c>
      <c r="AF154" s="61">
        <v>0.6950115740740741</v>
      </c>
      <c r="AH154" t="s">
        <v>795</v>
      </c>
      <c r="AI154" s="31">
        <v>45792</v>
      </c>
      <c r="AJ154" s="61">
        <v>0.64664351851851853</v>
      </c>
      <c r="AK154" t="s">
        <v>5338</v>
      </c>
      <c r="AL154" t="s">
        <v>1647</v>
      </c>
      <c r="AN154" t="s">
        <v>1589</v>
      </c>
      <c r="AO154" t="s">
        <v>44</v>
      </c>
      <c r="AP154" t="s">
        <v>1589</v>
      </c>
      <c r="AR154" s="31"/>
      <c r="AX154">
        <v>1</v>
      </c>
    </row>
    <row r="155" spans="1:50" x14ac:dyDescent="0.3">
      <c r="A155" t="s">
        <v>22</v>
      </c>
      <c r="B155">
        <v>359</v>
      </c>
      <c r="D155">
        <v>2019</v>
      </c>
      <c r="G155" t="s">
        <v>1648</v>
      </c>
      <c r="J155" t="s">
        <v>1649</v>
      </c>
      <c r="K155" t="s">
        <v>1650</v>
      </c>
      <c r="M155" t="s">
        <v>1651</v>
      </c>
      <c r="W155" t="s">
        <v>780</v>
      </c>
      <c r="X155" t="s">
        <v>816</v>
      </c>
      <c r="Z155" s="31"/>
      <c r="AA155">
        <v>40000</v>
      </c>
      <c r="AB155">
        <v>23581</v>
      </c>
      <c r="AC155">
        <v>43</v>
      </c>
      <c r="AD155" t="s">
        <v>22</v>
      </c>
      <c r="AE155" s="31">
        <v>45775</v>
      </c>
      <c r="AF155" s="61">
        <v>0.69732638888888887</v>
      </c>
      <c r="AH155" t="s">
        <v>818</v>
      </c>
      <c r="AI155" s="31">
        <v>45818</v>
      </c>
      <c r="AJ155" s="61">
        <v>0.51094907407407408</v>
      </c>
      <c r="AN155" t="s">
        <v>1652</v>
      </c>
      <c r="AO155" t="s">
        <v>22</v>
      </c>
      <c r="AP155" t="s">
        <v>1653</v>
      </c>
      <c r="AR155" s="31"/>
      <c r="AX155">
        <v>1</v>
      </c>
    </row>
    <row r="156" spans="1:50" x14ac:dyDescent="0.3">
      <c r="A156" t="s">
        <v>22</v>
      </c>
      <c r="B156">
        <v>360</v>
      </c>
      <c r="D156">
        <v>1986</v>
      </c>
      <c r="G156" t="s">
        <v>1654</v>
      </c>
      <c r="J156" t="s">
        <v>1655</v>
      </c>
      <c r="K156" t="s">
        <v>1656</v>
      </c>
      <c r="M156" t="s">
        <v>1657</v>
      </c>
      <c r="Q156" t="s">
        <v>923</v>
      </c>
      <c r="S156" t="s">
        <v>814</v>
      </c>
      <c r="V156" t="s">
        <v>1186</v>
      </c>
      <c r="W156" t="s">
        <v>780</v>
      </c>
      <c r="X156" t="s">
        <v>807</v>
      </c>
      <c r="Z156" s="31"/>
      <c r="AA156">
        <v>68400</v>
      </c>
      <c r="AB156">
        <v>302046</v>
      </c>
      <c r="AC156">
        <v>43</v>
      </c>
      <c r="AD156" t="s">
        <v>22</v>
      </c>
      <c r="AE156" s="31">
        <v>45775</v>
      </c>
      <c r="AF156" s="61">
        <v>0.70218749999999996</v>
      </c>
      <c r="AH156" t="s">
        <v>795</v>
      </c>
      <c r="AI156" s="31">
        <v>45818</v>
      </c>
      <c r="AJ156" s="61">
        <v>0.61357638888888888</v>
      </c>
      <c r="AK156" t="s">
        <v>858</v>
      </c>
      <c r="AN156" t="s">
        <v>1652</v>
      </c>
      <c r="AO156" t="s">
        <v>22</v>
      </c>
      <c r="AP156" t="s">
        <v>1653</v>
      </c>
      <c r="AR156" s="31"/>
      <c r="AX156">
        <v>1</v>
      </c>
    </row>
    <row r="157" spans="1:50" x14ac:dyDescent="0.3">
      <c r="A157" t="s">
        <v>44</v>
      </c>
      <c r="B157">
        <v>361</v>
      </c>
      <c r="D157">
        <v>2010</v>
      </c>
      <c r="G157" t="s">
        <v>1658</v>
      </c>
      <c r="J157" t="s">
        <v>1659</v>
      </c>
      <c r="K157" t="s">
        <v>1660</v>
      </c>
      <c r="M157" t="s">
        <v>1645</v>
      </c>
      <c r="W157" t="s">
        <v>780</v>
      </c>
      <c r="X157" t="s">
        <v>793</v>
      </c>
      <c r="Z157" s="31"/>
      <c r="AA157">
        <v>26200</v>
      </c>
      <c r="AB157">
        <v>3400</v>
      </c>
      <c r="AC157">
        <v>16</v>
      </c>
      <c r="AD157" t="s">
        <v>44</v>
      </c>
      <c r="AE157" s="31">
        <v>45776</v>
      </c>
      <c r="AF157" s="61">
        <v>0.6177893518518518</v>
      </c>
      <c r="AH157" t="s">
        <v>795</v>
      </c>
      <c r="AI157" s="31">
        <v>45792</v>
      </c>
      <c r="AJ157" s="61">
        <v>0.64693287037037039</v>
      </c>
      <c r="AK157" t="s">
        <v>5338</v>
      </c>
      <c r="AL157" t="s">
        <v>1647</v>
      </c>
      <c r="AN157" t="s">
        <v>1589</v>
      </c>
      <c r="AP157" t="s">
        <v>1589</v>
      </c>
      <c r="AR157" s="31"/>
      <c r="AX157">
        <v>1</v>
      </c>
    </row>
    <row r="158" spans="1:50" x14ac:dyDescent="0.3">
      <c r="A158" t="s">
        <v>44</v>
      </c>
      <c r="B158">
        <v>362</v>
      </c>
      <c r="D158">
        <v>2011</v>
      </c>
      <c r="G158" t="s">
        <v>5468</v>
      </c>
      <c r="J158" t="s">
        <v>5469</v>
      </c>
      <c r="K158" t="s">
        <v>1613</v>
      </c>
      <c r="M158" t="s">
        <v>1614</v>
      </c>
      <c r="W158" t="s">
        <v>780</v>
      </c>
      <c r="X158" t="s">
        <v>807</v>
      </c>
      <c r="Z158" s="31"/>
      <c r="AA158">
        <v>1600</v>
      </c>
      <c r="AB158">
        <v>1026</v>
      </c>
      <c r="AC158">
        <v>7</v>
      </c>
      <c r="AD158" t="s">
        <v>44</v>
      </c>
      <c r="AE158" s="31">
        <v>45776</v>
      </c>
      <c r="AF158" s="61">
        <v>0.70245370370370375</v>
      </c>
      <c r="AH158" t="s">
        <v>795</v>
      </c>
      <c r="AI158" s="31">
        <v>45783</v>
      </c>
      <c r="AJ158" s="61">
        <v>0.62656250000000002</v>
      </c>
      <c r="AK158" t="s">
        <v>5347</v>
      </c>
      <c r="AN158" t="s">
        <v>1584</v>
      </c>
      <c r="AP158" t="s">
        <v>1619</v>
      </c>
      <c r="AR158" s="31"/>
      <c r="AX158">
        <v>1</v>
      </c>
    </row>
    <row r="159" spans="1:50" x14ac:dyDescent="0.3">
      <c r="A159" t="s">
        <v>31</v>
      </c>
      <c r="B159">
        <v>366</v>
      </c>
      <c r="D159">
        <v>2015</v>
      </c>
      <c r="G159" t="s">
        <v>1663</v>
      </c>
      <c r="J159" t="s">
        <v>1664</v>
      </c>
      <c r="M159" t="s">
        <v>1665</v>
      </c>
      <c r="W159" t="s">
        <v>780</v>
      </c>
      <c r="X159" t="s">
        <v>816</v>
      </c>
      <c r="Z159" s="31"/>
      <c r="AA159">
        <v>3360</v>
      </c>
      <c r="AB159">
        <v>165372</v>
      </c>
      <c r="AC159">
        <v>19</v>
      </c>
      <c r="AD159" t="s">
        <v>31</v>
      </c>
      <c r="AE159" s="31">
        <v>45777</v>
      </c>
      <c r="AF159" s="61">
        <v>0.63238425925925923</v>
      </c>
      <c r="AH159" t="s">
        <v>818</v>
      </c>
      <c r="AI159" s="31">
        <v>45796</v>
      </c>
      <c r="AJ159" s="61">
        <v>0.37675925925925918</v>
      </c>
      <c r="AN159" t="s">
        <v>1666</v>
      </c>
      <c r="AP159" t="s">
        <v>1666</v>
      </c>
      <c r="AR159" s="31"/>
      <c r="AX159">
        <v>1</v>
      </c>
    </row>
    <row r="160" spans="1:50" x14ac:dyDescent="0.3">
      <c r="A160" t="s">
        <v>44</v>
      </c>
      <c r="B160">
        <v>367</v>
      </c>
      <c r="D160">
        <v>2016</v>
      </c>
      <c r="G160" t="s">
        <v>1667</v>
      </c>
      <c r="J160" t="s">
        <v>1668</v>
      </c>
      <c r="K160" t="s">
        <v>1660</v>
      </c>
      <c r="M160" t="s">
        <v>1645</v>
      </c>
      <c r="W160" t="s">
        <v>780</v>
      </c>
      <c r="X160" t="s">
        <v>793</v>
      </c>
      <c r="Z160" s="31"/>
      <c r="AA160">
        <v>1600</v>
      </c>
      <c r="AB160">
        <v>210169</v>
      </c>
      <c r="AC160">
        <v>15</v>
      </c>
      <c r="AD160" t="s">
        <v>44</v>
      </c>
      <c r="AE160" s="31">
        <v>45777</v>
      </c>
      <c r="AF160" s="61">
        <v>0.64599537037037036</v>
      </c>
      <c r="AH160" t="s">
        <v>795</v>
      </c>
      <c r="AI160" s="31">
        <v>45792</v>
      </c>
      <c r="AJ160" s="61">
        <v>0.64718750000000003</v>
      </c>
      <c r="AK160" t="s">
        <v>5338</v>
      </c>
      <c r="AL160" t="s">
        <v>1647</v>
      </c>
      <c r="AN160" t="s">
        <v>1589</v>
      </c>
      <c r="AP160" t="s">
        <v>1589</v>
      </c>
      <c r="AR160" s="31"/>
      <c r="AX160">
        <v>1</v>
      </c>
    </row>
    <row r="161" spans="1:50" x14ac:dyDescent="0.3">
      <c r="A161" t="s">
        <v>22</v>
      </c>
      <c r="B161">
        <v>368</v>
      </c>
      <c r="D161">
        <v>2017</v>
      </c>
      <c r="G161" t="s">
        <v>1669</v>
      </c>
      <c r="H161">
        <v>18677964000134</v>
      </c>
      <c r="J161" t="s">
        <v>640</v>
      </c>
      <c r="K161" t="s">
        <v>1670</v>
      </c>
      <c r="M161" t="s">
        <v>1671</v>
      </c>
      <c r="W161" t="s">
        <v>780</v>
      </c>
      <c r="X161" t="s">
        <v>816</v>
      </c>
      <c r="Z161" s="31"/>
      <c r="AA161">
        <v>14000</v>
      </c>
      <c r="AB161">
        <v>886</v>
      </c>
      <c r="AC161">
        <v>0</v>
      </c>
      <c r="AD161" t="s">
        <v>22</v>
      </c>
      <c r="AE161" s="31">
        <v>45779</v>
      </c>
      <c r="AF161" s="61">
        <v>0.58202546296296298</v>
      </c>
      <c r="AH161" t="s">
        <v>818</v>
      </c>
      <c r="AI161" s="31">
        <v>45779</v>
      </c>
      <c r="AJ161" s="61">
        <v>0.58649305555555553</v>
      </c>
      <c r="AN161" t="s">
        <v>1672</v>
      </c>
      <c r="AO161" t="s">
        <v>22</v>
      </c>
      <c r="AP161" t="s">
        <v>1672</v>
      </c>
      <c r="AR161" s="31"/>
      <c r="AX161">
        <v>1</v>
      </c>
    </row>
    <row r="162" spans="1:50" x14ac:dyDescent="0.3">
      <c r="A162" t="s">
        <v>22</v>
      </c>
      <c r="B162">
        <v>369</v>
      </c>
      <c r="D162">
        <v>2018</v>
      </c>
      <c r="G162" t="s">
        <v>1673</v>
      </c>
      <c r="H162">
        <v>10906096000105</v>
      </c>
      <c r="J162" t="s">
        <v>641</v>
      </c>
      <c r="K162" t="s">
        <v>1674</v>
      </c>
      <c r="M162" t="s">
        <v>1675</v>
      </c>
      <c r="W162" t="s">
        <v>780</v>
      </c>
      <c r="X162" t="s">
        <v>781</v>
      </c>
      <c r="Z162" s="31"/>
      <c r="AA162">
        <v>13600</v>
      </c>
      <c r="AB162">
        <v>886</v>
      </c>
      <c r="AC162">
        <v>0</v>
      </c>
      <c r="AD162" t="s">
        <v>22</v>
      </c>
      <c r="AE162" s="31">
        <v>45779</v>
      </c>
      <c r="AF162" s="61">
        <v>0.58754629629629629</v>
      </c>
      <c r="AH162" t="s">
        <v>818</v>
      </c>
      <c r="AI162" s="31">
        <v>45779</v>
      </c>
      <c r="AJ162" s="61">
        <v>0.58922453703703703</v>
      </c>
      <c r="AN162" t="s">
        <v>1672</v>
      </c>
      <c r="AO162" t="s">
        <v>22</v>
      </c>
      <c r="AP162" t="s">
        <v>1672</v>
      </c>
      <c r="AR162" s="31"/>
      <c r="AX162">
        <v>1</v>
      </c>
    </row>
    <row r="163" spans="1:50" x14ac:dyDescent="0.3">
      <c r="A163" t="s">
        <v>22</v>
      </c>
      <c r="B163">
        <v>370</v>
      </c>
      <c r="D163">
        <v>2020</v>
      </c>
      <c r="G163" t="s">
        <v>1676</v>
      </c>
      <c r="J163" t="s">
        <v>5470</v>
      </c>
      <c r="K163" t="s">
        <v>1678</v>
      </c>
      <c r="M163" t="s">
        <v>1111</v>
      </c>
      <c r="V163" t="s">
        <v>1419</v>
      </c>
      <c r="W163" t="s">
        <v>780</v>
      </c>
      <c r="X163" t="s">
        <v>807</v>
      </c>
      <c r="Z163" s="31"/>
      <c r="AA163">
        <v>51250</v>
      </c>
      <c r="AB163">
        <v>33381</v>
      </c>
      <c r="AC163">
        <v>114</v>
      </c>
      <c r="AD163" t="s">
        <v>22</v>
      </c>
      <c r="AE163" s="31">
        <v>45780</v>
      </c>
      <c r="AF163" s="61">
        <v>0.46067129629629627</v>
      </c>
      <c r="AH163" t="s">
        <v>795</v>
      </c>
      <c r="AI163" s="31">
        <v>45894</v>
      </c>
      <c r="AJ163" s="61">
        <v>0.60730324074074071</v>
      </c>
      <c r="AK163" t="s">
        <v>5338</v>
      </c>
      <c r="AO163" t="s">
        <v>22</v>
      </c>
      <c r="AP163" t="s">
        <v>1679</v>
      </c>
      <c r="AR163" s="31"/>
      <c r="AX163">
        <v>1</v>
      </c>
    </row>
    <row r="164" spans="1:50" x14ac:dyDescent="0.3">
      <c r="A164" t="s">
        <v>44</v>
      </c>
      <c r="B164">
        <v>375</v>
      </c>
      <c r="D164">
        <v>2024</v>
      </c>
      <c r="G164" t="s">
        <v>1680</v>
      </c>
      <c r="J164" t="s">
        <v>1681</v>
      </c>
      <c r="K164" t="s">
        <v>1682</v>
      </c>
      <c r="M164" t="s">
        <v>1683</v>
      </c>
      <c r="W164" t="s">
        <v>780</v>
      </c>
      <c r="X164" t="s">
        <v>793</v>
      </c>
      <c r="Z164" s="31"/>
      <c r="AA164">
        <v>69112</v>
      </c>
      <c r="AB164">
        <v>508112</v>
      </c>
      <c r="AC164">
        <v>7</v>
      </c>
      <c r="AD164" t="s">
        <v>44</v>
      </c>
      <c r="AE164" s="31">
        <v>45785</v>
      </c>
      <c r="AF164" s="61">
        <v>0.67459490740740746</v>
      </c>
      <c r="AH164" t="s">
        <v>795</v>
      </c>
      <c r="AI164" s="31">
        <v>45792</v>
      </c>
      <c r="AJ164" s="61">
        <v>0.6825</v>
      </c>
      <c r="AK164" t="s">
        <v>934</v>
      </c>
      <c r="AN164" t="s">
        <v>1684</v>
      </c>
      <c r="AP164" t="s">
        <v>1684</v>
      </c>
      <c r="AR164" s="31"/>
      <c r="AX164">
        <v>1</v>
      </c>
    </row>
    <row r="165" spans="1:50" x14ac:dyDescent="0.3">
      <c r="A165" t="s">
        <v>44</v>
      </c>
      <c r="B165">
        <v>376</v>
      </c>
      <c r="D165">
        <v>2025</v>
      </c>
      <c r="G165" t="s">
        <v>1685</v>
      </c>
      <c r="J165" t="s">
        <v>1686</v>
      </c>
      <c r="K165" t="s">
        <v>1682</v>
      </c>
      <c r="M165" t="s">
        <v>1683</v>
      </c>
      <c r="W165" t="s">
        <v>780</v>
      </c>
      <c r="X165" t="s">
        <v>793</v>
      </c>
      <c r="Z165" s="31"/>
      <c r="AA165">
        <v>1600</v>
      </c>
      <c r="AB165">
        <v>32107</v>
      </c>
      <c r="AC165">
        <v>7</v>
      </c>
      <c r="AD165" t="s">
        <v>44</v>
      </c>
      <c r="AE165" s="31">
        <v>45785</v>
      </c>
      <c r="AF165" s="61">
        <v>0.68726851851851856</v>
      </c>
      <c r="AH165" t="s">
        <v>795</v>
      </c>
      <c r="AI165" s="31">
        <v>45792</v>
      </c>
      <c r="AJ165" s="61">
        <v>0.68280092592592589</v>
      </c>
      <c r="AK165" t="s">
        <v>934</v>
      </c>
      <c r="AN165" t="s">
        <v>1684</v>
      </c>
      <c r="AP165" t="s">
        <v>1684</v>
      </c>
      <c r="AR165" s="31"/>
      <c r="AX165">
        <v>1</v>
      </c>
    </row>
    <row r="166" spans="1:50" x14ac:dyDescent="0.3">
      <c r="A166" t="s">
        <v>22</v>
      </c>
      <c r="B166">
        <v>379</v>
      </c>
      <c r="D166">
        <v>2199</v>
      </c>
      <c r="G166" t="s">
        <v>1687</v>
      </c>
      <c r="J166" t="s">
        <v>1688</v>
      </c>
      <c r="K166" t="s">
        <v>1689</v>
      </c>
      <c r="S166" t="s">
        <v>933</v>
      </c>
      <c r="V166" t="s">
        <v>1419</v>
      </c>
      <c r="W166" t="s">
        <v>780</v>
      </c>
      <c r="X166" t="s">
        <v>807</v>
      </c>
      <c r="Z166" s="31"/>
      <c r="AA166">
        <v>68400</v>
      </c>
      <c r="AB166">
        <v>17345</v>
      </c>
      <c r="AC166">
        <v>108</v>
      </c>
      <c r="AD166" t="s">
        <v>22</v>
      </c>
      <c r="AE166" s="31">
        <v>45786</v>
      </c>
      <c r="AF166" s="61">
        <v>0.66736111111111107</v>
      </c>
      <c r="AH166" t="s">
        <v>795</v>
      </c>
      <c r="AI166" s="31">
        <v>45894</v>
      </c>
      <c r="AJ166" s="61">
        <v>0.6030092592592593</v>
      </c>
      <c r="AK166" t="s">
        <v>5353</v>
      </c>
      <c r="AR166" s="31"/>
      <c r="AX166">
        <v>1</v>
      </c>
    </row>
    <row r="167" spans="1:50" x14ac:dyDescent="0.3">
      <c r="A167" t="s">
        <v>44</v>
      </c>
      <c r="B167">
        <v>382</v>
      </c>
      <c r="D167">
        <v>2031</v>
      </c>
      <c r="G167" t="s">
        <v>5471</v>
      </c>
      <c r="H167">
        <v>27173648000116</v>
      </c>
      <c r="J167" t="s">
        <v>1691</v>
      </c>
      <c r="K167" t="s">
        <v>1692</v>
      </c>
      <c r="M167" t="s">
        <v>1693</v>
      </c>
      <c r="Q167" t="s">
        <v>1094</v>
      </c>
      <c r="R167" t="s">
        <v>790</v>
      </c>
      <c r="W167" t="s">
        <v>780</v>
      </c>
      <c r="X167" t="s">
        <v>781</v>
      </c>
      <c r="Z167" s="31"/>
      <c r="AC167">
        <v>50</v>
      </c>
      <c r="AD167" t="s">
        <v>44</v>
      </c>
      <c r="AE167" s="31">
        <v>45789</v>
      </c>
      <c r="AF167" s="61">
        <v>0.64024305555555561</v>
      </c>
      <c r="AH167" t="s">
        <v>795</v>
      </c>
      <c r="AI167" s="31">
        <v>45839</v>
      </c>
      <c r="AJ167" s="61">
        <v>0.40694444444444439</v>
      </c>
      <c r="AK167" t="s">
        <v>5338</v>
      </c>
      <c r="AL167" t="s">
        <v>5472</v>
      </c>
      <c r="AP167" t="s">
        <v>1695</v>
      </c>
      <c r="AR167" s="31"/>
      <c r="AX167">
        <v>1</v>
      </c>
    </row>
    <row r="168" spans="1:50" x14ac:dyDescent="0.3">
      <c r="A168" t="s">
        <v>44</v>
      </c>
      <c r="B168">
        <v>383</v>
      </c>
      <c r="D168">
        <v>2033</v>
      </c>
      <c r="G168" t="s">
        <v>1696</v>
      </c>
      <c r="H168">
        <v>86890639000105</v>
      </c>
      <c r="J168" t="s">
        <v>1697</v>
      </c>
      <c r="Q168" t="s">
        <v>1698</v>
      </c>
      <c r="R168" t="s">
        <v>1699</v>
      </c>
      <c r="W168" t="s">
        <v>780</v>
      </c>
      <c r="X168" t="s">
        <v>781</v>
      </c>
      <c r="Z168" s="31"/>
      <c r="AC168">
        <v>50</v>
      </c>
      <c r="AD168" t="s">
        <v>44</v>
      </c>
      <c r="AE168" s="31">
        <v>45789</v>
      </c>
      <c r="AF168" s="61">
        <v>0.64898148148148149</v>
      </c>
      <c r="AH168" t="s">
        <v>795</v>
      </c>
      <c r="AI168" s="31">
        <v>45839</v>
      </c>
      <c r="AJ168" s="61">
        <v>0.40733796296296299</v>
      </c>
      <c r="AK168" t="s">
        <v>5338</v>
      </c>
      <c r="AL168" t="s">
        <v>5472</v>
      </c>
      <c r="AR168" s="31"/>
      <c r="AX168">
        <v>1</v>
      </c>
    </row>
    <row r="169" spans="1:50" x14ac:dyDescent="0.3">
      <c r="A169" t="s">
        <v>44</v>
      </c>
      <c r="B169">
        <v>384</v>
      </c>
      <c r="D169">
        <v>2036</v>
      </c>
      <c r="G169" t="s">
        <v>1700</v>
      </c>
      <c r="J169" t="s">
        <v>5473</v>
      </c>
      <c r="K169" t="s">
        <v>1702</v>
      </c>
      <c r="M169" t="s">
        <v>1703</v>
      </c>
      <c r="V169" t="s">
        <v>1704</v>
      </c>
      <c r="W169" t="s">
        <v>780</v>
      </c>
      <c r="X169" t="s">
        <v>816</v>
      </c>
      <c r="Z169" s="31"/>
      <c r="AA169">
        <v>3230634</v>
      </c>
      <c r="AB169">
        <v>17706</v>
      </c>
      <c r="AC169">
        <v>35</v>
      </c>
      <c r="AD169" t="s">
        <v>44</v>
      </c>
      <c r="AE169" s="31">
        <v>45790</v>
      </c>
      <c r="AF169" s="61">
        <v>0.7193518518518518</v>
      </c>
      <c r="AH169" t="s">
        <v>818</v>
      </c>
      <c r="AI169" s="31">
        <v>45825</v>
      </c>
      <c r="AJ169" s="61">
        <v>0.68025462962962968</v>
      </c>
      <c r="AN169" t="s">
        <v>1695</v>
      </c>
      <c r="AP169" t="s">
        <v>1705</v>
      </c>
      <c r="AR169" s="31"/>
      <c r="AX169">
        <v>1</v>
      </c>
    </row>
    <row r="170" spans="1:50" x14ac:dyDescent="0.3">
      <c r="A170" t="s">
        <v>44</v>
      </c>
      <c r="B170">
        <v>385</v>
      </c>
      <c r="D170">
        <v>2037</v>
      </c>
      <c r="G170" t="s">
        <v>1706</v>
      </c>
      <c r="J170" t="s">
        <v>1707</v>
      </c>
      <c r="K170" t="s">
        <v>1708</v>
      </c>
      <c r="M170" t="s">
        <v>1703</v>
      </c>
      <c r="V170" t="s">
        <v>1704</v>
      </c>
      <c r="W170" t="s">
        <v>780</v>
      </c>
      <c r="X170" t="s">
        <v>816</v>
      </c>
      <c r="Z170" s="31"/>
      <c r="AA170">
        <v>0</v>
      </c>
      <c r="AB170">
        <v>208313</v>
      </c>
      <c r="AC170">
        <v>35</v>
      </c>
      <c r="AD170" t="s">
        <v>44</v>
      </c>
      <c r="AE170" s="31">
        <v>45790</v>
      </c>
      <c r="AF170" s="61">
        <v>0.72012731481481485</v>
      </c>
      <c r="AH170" t="s">
        <v>818</v>
      </c>
      <c r="AI170" s="31">
        <v>45825</v>
      </c>
      <c r="AJ170" s="61">
        <v>0.68076388888888884</v>
      </c>
      <c r="AN170" t="s">
        <v>1695</v>
      </c>
      <c r="AP170" t="s">
        <v>1705</v>
      </c>
      <c r="AR170" s="31"/>
      <c r="AX170">
        <v>1</v>
      </c>
    </row>
    <row r="171" spans="1:50" x14ac:dyDescent="0.3">
      <c r="A171" t="s">
        <v>44</v>
      </c>
      <c r="B171">
        <v>405</v>
      </c>
      <c r="D171">
        <v>2061</v>
      </c>
      <c r="G171" t="s">
        <v>5474</v>
      </c>
      <c r="J171" t="s">
        <v>5475</v>
      </c>
      <c r="K171" t="s">
        <v>1711</v>
      </c>
      <c r="M171" t="s">
        <v>1712</v>
      </c>
      <c r="V171" t="s">
        <v>1419</v>
      </c>
      <c r="W171" t="s">
        <v>780</v>
      </c>
      <c r="X171" t="s">
        <v>807</v>
      </c>
      <c r="Z171" s="31"/>
      <c r="AC171">
        <v>20</v>
      </c>
      <c r="AD171" t="s">
        <v>44</v>
      </c>
      <c r="AE171" s="31">
        <v>45805</v>
      </c>
      <c r="AF171" s="61">
        <v>0.3974537037037037</v>
      </c>
      <c r="AH171" t="s">
        <v>795</v>
      </c>
      <c r="AI171" s="31">
        <v>45825</v>
      </c>
      <c r="AJ171" s="61">
        <v>0.6817361111111111</v>
      </c>
      <c r="AK171" t="s">
        <v>5419</v>
      </c>
      <c r="AL171" t="s">
        <v>1713</v>
      </c>
      <c r="AN171" t="s">
        <v>1714</v>
      </c>
      <c r="AP171" t="s">
        <v>1714</v>
      </c>
      <c r="AR171" s="31"/>
      <c r="AX171">
        <v>1</v>
      </c>
    </row>
    <row r="172" spans="1:50" x14ac:dyDescent="0.3">
      <c r="A172" t="s">
        <v>44</v>
      </c>
      <c r="B172">
        <v>406</v>
      </c>
      <c r="D172">
        <v>2062</v>
      </c>
      <c r="G172" t="s">
        <v>1715</v>
      </c>
      <c r="H172">
        <v>5215210000110</v>
      </c>
      <c r="J172" t="s">
        <v>1716</v>
      </c>
      <c r="K172" t="s">
        <v>1717</v>
      </c>
      <c r="Q172" t="s">
        <v>1698</v>
      </c>
      <c r="R172" t="s">
        <v>1699</v>
      </c>
      <c r="V172" t="s">
        <v>1718</v>
      </c>
      <c r="W172" t="s">
        <v>780</v>
      </c>
      <c r="X172" t="s">
        <v>857</v>
      </c>
      <c r="Z172" s="31"/>
      <c r="AA172">
        <v>622008</v>
      </c>
      <c r="AB172">
        <v>23661</v>
      </c>
      <c r="AC172">
        <v>26</v>
      </c>
      <c r="AD172" t="s">
        <v>44</v>
      </c>
      <c r="AE172" s="31">
        <v>45805</v>
      </c>
      <c r="AF172" s="61">
        <v>0.41018518518518521</v>
      </c>
      <c r="AH172" t="s">
        <v>795</v>
      </c>
      <c r="AI172" s="31">
        <v>45831</v>
      </c>
      <c r="AJ172" s="61">
        <v>0.36943287037037043</v>
      </c>
      <c r="AK172" t="s">
        <v>5338</v>
      </c>
      <c r="AL172" t="s">
        <v>5476</v>
      </c>
      <c r="AN172" t="s">
        <v>1720</v>
      </c>
      <c r="AP172" t="s">
        <v>1721</v>
      </c>
      <c r="AR172" s="31"/>
      <c r="AX172">
        <v>1</v>
      </c>
    </row>
    <row r="173" spans="1:50" x14ac:dyDescent="0.3">
      <c r="A173" t="s">
        <v>44</v>
      </c>
      <c r="B173">
        <v>407</v>
      </c>
      <c r="D173">
        <v>2065</v>
      </c>
      <c r="G173" t="s">
        <v>1722</v>
      </c>
      <c r="H173">
        <v>5215210000110</v>
      </c>
      <c r="J173" t="s">
        <v>1716</v>
      </c>
      <c r="K173" t="s">
        <v>1717</v>
      </c>
      <c r="Q173" t="s">
        <v>1698</v>
      </c>
      <c r="R173" t="s">
        <v>1699</v>
      </c>
      <c r="V173" t="s">
        <v>1718</v>
      </c>
      <c r="W173" t="s">
        <v>780</v>
      </c>
      <c r="X173" t="s">
        <v>857</v>
      </c>
      <c r="Z173" s="31"/>
      <c r="AA173">
        <v>1600</v>
      </c>
      <c r="AB173">
        <v>26507</v>
      </c>
      <c r="AC173">
        <v>26</v>
      </c>
      <c r="AD173" t="s">
        <v>44</v>
      </c>
      <c r="AE173" s="31">
        <v>45805</v>
      </c>
      <c r="AF173" s="61">
        <v>0.41281250000000003</v>
      </c>
      <c r="AH173" t="s">
        <v>795</v>
      </c>
      <c r="AI173" s="31">
        <v>45831</v>
      </c>
      <c r="AJ173" s="61">
        <v>0.37035879629629631</v>
      </c>
      <c r="AK173" t="s">
        <v>5338</v>
      </c>
      <c r="AL173" t="s">
        <v>1723</v>
      </c>
      <c r="AN173" t="s">
        <v>1720</v>
      </c>
      <c r="AP173" t="s">
        <v>1721</v>
      </c>
      <c r="AR173" s="31"/>
      <c r="AX173">
        <v>1</v>
      </c>
    </row>
    <row r="174" spans="1:50" x14ac:dyDescent="0.3">
      <c r="A174" t="s">
        <v>44</v>
      </c>
      <c r="B174">
        <v>408</v>
      </c>
      <c r="D174">
        <v>2068</v>
      </c>
      <c r="G174" t="s">
        <v>1724</v>
      </c>
      <c r="J174" t="s">
        <v>1725</v>
      </c>
      <c r="K174" t="s">
        <v>1458</v>
      </c>
      <c r="M174" t="s">
        <v>1459</v>
      </c>
      <c r="W174" t="s">
        <v>780</v>
      </c>
      <c r="X174" t="s">
        <v>816</v>
      </c>
      <c r="Y174" t="s">
        <v>995</v>
      </c>
      <c r="Z174" s="31"/>
      <c r="AA174">
        <v>123066</v>
      </c>
      <c r="AB174">
        <v>0</v>
      </c>
      <c r="AC174">
        <v>0</v>
      </c>
      <c r="AD174" t="s">
        <v>44</v>
      </c>
      <c r="AE174" s="31">
        <v>45805</v>
      </c>
      <c r="AF174" s="61">
        <v>0.42335648148148147</v>
      </c>
      <c r="AH174" t="s">
        <v>818</v>
      </c>
      <c r="AI174" s="31">
        <v>45805</v>
      </c>
      <c r="AJ174" s="61">
        <v>0.43202546296296301</v>
      </c>
      <c r="AN174" t="s">
        <v>1726</v>
      </c>
      <c r="AR174" s="31"/>
      <c r="AX174">
        <v>1</v>
      </c>
    </row>
    <row r="175" spans="1:50" x14ac:dyDescent="0.3">
      <c r="A175" t="s">
        <v>44</v>
      </c>
      <c r="B175">
        <v>409</v>
      </c>
      <c r="D175">
        <v>2069</v>
      </c>
      <c r="G175" t="s">
        <v>1727</v>
      </c>
      <c r="H175">
        <v>56262451000151</v>
      </c>
      <c r="J175" t="s">
        <v>1728</v>
      </c>
      <c r="K175" t="s">
        <v>1594</v>
      </c>
      <c r="M175" t="s">
        <v>1595</v>
      </c>
      <c r="Q175" t="s">
        <v>1596</v>
      </c>
      <c r="R175" t="s">
        <v>790</v>
      </c>
      <c r="W175" t="s">
        <v>780</v>
      </c>
      <c r="X175" t="s">
        <v>807</v>
      </c>
      <c r="Z175" s="31"/>
      <c r="AA175">
        <v>52258</v>
      </c>
      <c r="AB175">
        <v>606364</v>
      </c>
      <c r="AC175">
        <v>6</v>
      </c>
      <c r="AD175" t="s">
        <v>44</v>
      </c>
      <c r="AE175" s="31">
        <v>45805</v>
      </c>
      <c r="AF175" s="61">
        <v>0.43896990740740738</v>
      </c>
      <c r="AH175" t="s">
        <v>795</v>
      </c>
      <c r="AI175" s="31">
        <v>45811</v>
      </c>
      <c r="AJ175" s="61">
        <v>0.41700231481481481</v>
      </c>
      <c r="AK175" t="s">
        <v>5347</v>
      </c>
      <c r="AL175" t="s">
        <v>5477</v>
      </c>
      <c r="AN175" t="s">
        <v>1730</v>
      </c>
      <c r="AR175" s="31"/>
      <c r="AX175">
        <v>1</v>
      </c>
    </row>
    <row r="176" spans="1:50" x14ac:dyDescent="0.3">
      <c r="A176" t="s">
        <v>44</v>
      </c>
      <c r="B176">
        <v>410</v>
      </c>
      <c r="D176">
        <v>2071</v>
      </c>
      <c r="G176" t="s">
        <v>1731</v>
      </c>
      <c r="H176">
        <v>56262451000151</v>
      </c>
      <c r="J176" t="s">
        <v>1732</v>
      </c>
      <c r="K176" t="s">
        <v>1594</v>
      </c>
      <c r="M176" t="s">
        <v>1595</v>
      </c>
      <c r="Q176" t="s">
        <v>1596</v>
      </c>
      <c r="R176" t="s">
        <v>790</v>
      </c>
      <c r="W176" t="s">
        <v>780</v>
      </c>
      <c r="X176" t="s">
        <v>807</v>
      </c>
      <c r="Z176" s="31"/>
      <c r="AA176">
        <v>42400</v>
      </c>
      <c r="AB176">
        <v>5560</v>
      </c>
      <c r="AC176">
        <v>6</v>
      </c>
      <c r="AD176" t="s">
        <v>44</v>
      </c>
      <c r="AE176" s="31">
        <v>45805</v>
      </c>
      <c r="AF176" s="61">
        <v>0.44361111111111112</v>
      </c>
      <c r="AH176" t="s">
        <v>795</v>
      </c>
      <c r="AI176" s="31">
        <v>45811</v>
      </c>
      <c r="AJ176" s="61">
        <v>0.41766203703703703</v>
      </c>
      <c r="AK176" t="s">
        <v>5347</v>
      </c>
      <c r="AL176" t="s">
        <v>5478</v>
      </c>
      <c r="AN176" t="s">
        <v>1730</v>
      </c>
      <c r="AR176" s="31"/>
      <c r="AX176">
        <v>1</v>
      </c>
    </row>
    <row r="177" spans="1:50" x14ac:dyDescent="0.3">
      <c r="A177" t="s">
        <v>44</v>
      </c>
      <c r="B177">
        <v>412</v>
      </c>
      <c r="D177">
        <v>2075</v>
      </c>
      <c r="G177" t="s">
        <v>1734</v>
      </c>
      <c r="J177" t="s">
        <v>1735</v>
      </c>
      <c r="K177" t="s">
        <v>1736</v>
      </c>
      <c r="M177" t="s">
        <v>1737</v>
      </c>
      <c r="V177" t="s">
        <v>1419</v>
      </c>
      <c r="W177" t="s">
        <v>780</v>
      </c>
      <c r="X177" t="s">
        <v>807</v>
      </c>
      <c r="Z177" s="31"/>
      <c r="AA177">
        <v>26200</v>
      </c>
      <c r="AB177">
        <v>3400</v>
      </c>
      <c r="AC177">
        <v>92</v>
      </c>
      <c r="AD177" t="s">
        <v>44</v>
      </c>
      <c r="AE177" s="31">
        <v>45805</v>
      </c>
      <c r="AF177" s="61">
        <v>0.45153935185185179</v>
      </c>
      <c r="AH177" t="s">
        <v>795</v>
      </c>
      <c r="AI177" s="31">
        <v>45897</v>
      </c>
      <c r="AJ177" s="61">
        <v>0.64814814814814814</v>
      </c>
      <c r="AK177" t="s">
        <v>934</v>
      </c>
      <c r="AN177" t="s">
        <v>1721</v>
      </c>
      <c r="AP177" t="s">
        <v>1721</v>
      </c>
      <c r="AR177" s="31"/>
      <c r="AX177">
        <v>1</v>
      </c>
    </row>
    <row r="178" spans="1:50" x14ac:dyDescent="0.3">
      <c r="A178" t="s">
        <v>44</v>
      </c>
      <c r="B178">
        <v>413</v>
      </c>
      <c r="D178">
        <v>2076</v>
      </c>
      <c r="G178" t="s">
        <v>1738</v>
      </c>
      <c r="J178" t="s">
        <v>1739</v>
      </c>
      <c r="K178" t="s">
        <v>1740</v>
      </c>
      <c r="M178" t="s">
        <v>1741</v>
      </c>
      <c r="W178" t="s">
        <v>780</v>
      </c>
      <c r="X178" t="s">
        <v>857</v>
      </c>
      <c r="Z178" s="31"/>
      <c r="AC178">
        <v>12</v>
      </c>
      <c r="AD178" t="s">
        <v>44</v>
      </c>
      <c r="AE178" s="31">
        <v>45805</v>
      </c>
      <c r="AF178" s="61">
        <v>0.46685185185185191</v>
      </c>
      <c r="AH178" t="s">
        <v>795</v>
      </c>
      <c r="AI178" s="31">
        <v>45817</v>
      </c>
      <c r="AJ178" s="61">
        <v>0.66245370370370371</v>
      </c>
      <c r="AK178" t="s">
        <v>5338</v>
      </c>
      <c r="AL178" t="s">
        <v>5479</v>
      </c>
      <c r="AP178" t="s">
        <v>1743</v>
      </c>
      <c r="AR178" s="31"/>
      <c r="AX178">
        <v>1</v>
      </c>
    </row>
    <row r="179" spans="1:50" x14ac:dyDescent="0.3">
      <c r="A179" t="s">
        <v>44</v>
      </c>
      <c r="B179">
        <v>415</v>
      </c>
      <c r="D179">
        <v>2127</v>
      </c>
      <c r="G179" t="s">
        <v>1744</v>
      </c>
      <c r="J179" t="s">
        <v>1745</v>
      </c>
      <c r="K179" t="s">
        <v>1746</v>
      </c>
      <c r="M179" t="s">
        <v>1747</v>
      </c>
      <c r="W179" t="s">
        <v>780</v>
      </c>
      <c r="X179" t="s">
        <v>857</v>
      </c>
      <c r="Z179" s="31"/>
      <c r="AA179">
        <v>622008</v>
      </c>
      <c r="AB179">
        <v>28481</v>
      </c>
      <c r="AC179">
        <v>12</v>
      </c>
      <c r="AD179" t="s">
        <v>44</v>
      </c>
      <c r="AE179" s="31">
        <v>45807</v>
      </c>
      <c r="AF179" s="61">
        <v>0.38197916666666659</v>
      </c>
      <c r="AH179" t="s">
        <v>795</v>
      </c>
      <c r="AI179" s="31">
        <v>45819</v>
      </c>
      <c r="AJ179" s="61">
        <v>0.6005787037037037</v>
      </c>
      <c r="AK179" t="s">
        <v>934</v>
      </c>
      <c r="AL179" t="s">
        <v>5480</v>
      </c>
      <c r="AN179" t="s">
        <v>1714</v>
      </c>
      <c r="AP179" t="s">
        <v>1720</v>
      </c>
      <c r="AR179" s="31"/>
      <c r="AX179">
        <v>1</v>
      </c>
    </row>
    <row r="180" spans="1:50" x14ac:dyDescent="0.3">
      <c r="A180" t="s">
        <v>44</v>
      </c>
      <c r="B180">
        <v>416</v>
      </c>
      <c r="D180">
        <v>2132</v>
      </c>
      <c r="G180" t="s">
        <v>1749</v>
      </c>
      <c r="J180" t="s">
        <v>1750</v>
      </c>
      <c r="K180" t="s">
        <v>1746</v>
      </c>
      <c r="M180" t="s">
        <v>1747</v>
      </c>
      <c r="W180" t="s">
        <v>780</v>
      </c>
      <c r="X180" t="s">
        <v>793</v>
      </c>
      <c r="Z180" s="31"/>
      <c r="AA180">
        <v>1600</v>
      </c>
      <c r="AB180">
        <v>28747</v>
      </c>
      <c r="AC180">
        <v>12</v>
      </c>
      <c r="AD180" t="s">
        <v>44</v>
      </c>
      <c r="AE180" s="31">
        <v>45807</v>
      </c>
      <c r="AF180" s="61">
        <v>0.4244560185185185</v>
      </c>
      <c r="AH180" t="s">
        <v>795</v>
      </c>
      <c r="AI180" s="31">
        <v>45819</v>
      </c>
      <c r="AJ180" s="61">
        <v>0.60103009259259255</v>
      </c>
      <c r="AK180" t="s">
        <v>934</v>
      </c>
      <c r="AL180" t="s">
        <v>5481</v>
      </c>
      <c r="AN180" t="s">
        <v>1714</v>
      </c>
      <c r="AP180" t="s">
        <v>1720</v>
      </c>
      <c r="AR180" s="31"/>
      <c r="AX180">
        <v>1</v>
      </c>
    </row>
    <row r="181" spans="1:50" x14ac:dyDescent="0.3">
      <c r="A181" t="s">
        <v>44</v>
      </c>
      <c r="B181">
        <v>417</v>
      </c>
      <c r="D181">
        <v>2133</v>
      </c>
      <c r="G181" t="s">
        <v>5482</v>
      </c>
      <c r="J181" t="s">
        <v>5483</v>
      </c>
      <c r="K181" t="s">
        <v>1754</v>
      </c>
      <c r="M181" t="s">
        <v>1755</v>
      </c>
      <c r="V181" t="s">
        <v>1718</v>
      </c>
      <c r="W181" t="s">
        <v>780</v>
      </c>
      <c r="X181" t="s">
        <v>793</v>
      </c>
      <c r="Z181" s="31"/>
      <c r="AA181">
        <v>16960</v>
      </c>
      <c r="AB181">
        <v>40572</v>
      </c>
      <c r="AC181">
        <v>52</v>
      </c>
      <c r="AD181" t="s">
        <v>44</v>
      </c>
      <c r="AE181" s="31">
        <v>45807</v>
      </c>
      <c r="AF181" s="61">
        <v>0.43975694444444452</v>
      </c>
      <c r="AH181" t="s">
        <v>795</v>
      </c>
      <c r="AI181" s="31">
        <v>45859</v>
      </c>
      <c r="AJ181" s="61">
        <v>0.38516203703703711</v>
      </c>
      <c r="AK181" t="s">
        <v>5338</v>
      </c>
      <c r="AL181" t="s">
        <v>5484</v>
      </c>
      <c r="AN181" t="s">
        <v>1714</v>
      </c>
      <c r="AP181" t="s">
        <v>1720</v>
      </c>
      <c r="AR181" s="31"/>
      <c r="AX181">
        <v>1</v>
      </c>
    </row>
    <row r="182" spans="1:50" x14ac:dyDescent="0.3">
      <c r="A182" t="s">
        <v>44</v>
      </c>
      <c r="B182">
        <v>419</v>
      </c>
      <c r="D182">
        <v>2144</v>
      </c>
      <c r="G182" t="s">
        <v>1757</v>
      </c>
      <c r="J182" t="s">
        <v>1758</v>
      </c>
      <c r="K182" t="s">
        <v>1759</v>
      </c>
      <c r="M182" t="s">
        <v>1760</v>
      </c>
      <c r="V182" t="s">
        <v>1704</v>
      </c>
      <c r="W182" t="s">
        <v>780</v>
      </c>
      <c r="X182" t="s">
        <v>816</v>
      </c>
      <c r="Z182" s="31"/>
      <c r="AA182">
        <v>1600</v>
      </c>
      <c r="AB182">
        <v>1833334</v>
      </c>
      <c r="AC182">
        <v>52</v>
      </c>
      <c r="AD182" t="s">
        <v>44</v>
      </c>
      <c r="AE182" s="31">
        <v>45807</v>
      </c>
      <c r="AF182" s="61">
        <v>0.58697916666666672</v>
      </c>
      <c r="AH182" t="s">
        <v>795</v>
      </c>
      <c r="AI182" s="31">
        <v>45859</v>
      </c>
      <c r="AJ182" s="61">
        <v>0.40807870370370369</v>
      </c>
      <c r="AK182" t="s">
        <v>5338</v>
      </c>
      <c r="AL182" t="s">
        <v>5409</v>
      </c>
      <c r="AN182" t="s">
        <v>1721</v>
      </c>
      <c r="AR182" s="31"/>
      <c r="AX182">
        <v>1</v>
      </c>
    </row>
    <row r="183" spans="1:50" x14ac:dyDescent="0.3">
      <c r="A183" t="s">
        <v>44</v>
      </c>
      <c r="B183">
        <v>422</v>
      </c>
      <c r="D183">
        <v>2141</v>
      </c>
      <c r="G183" t="s">
        <v>1761</v>
      </c>
      <c r="H183">
        <v>27898532000144</v>
      </c>
      <c r="J183" t="s">
        <v>1762</v>
      </c>
      <c r="K183" t="s">
        <v>1763</v>
      </c>
      <c r="M183" t="s">
        <v>1764</v>
      </c>
      <c r="Q183" t="s">
        <v>1765</v>
      </c>
      <c r="R183" t="s">
        <v>790</v>
      </c>
      <c r="S183" t="s">
        <v>1766</v>
      </c>
      <c r="W183" t="s">
        <v>780</v>
      </c>
      <c r="X183" t="s">
        <v>857</v>
      </c>
      <c r="Z183" s="31"/>
      <c r="AA183">
        <v>69592</v>
      </c>
      <c r="AB183">
        <v>23661</v>
      </c>
      <c r="AC183">
        <v>42</v>
      </c>
      <c r="AD183" t="s">
        <v>594</v>
      </c>
      <c r="AE183" s="31">
        <v>45810</v>
      </c>
      <c r="AF183" s="61">
        <v>0.45253472222222219</v>
      </c>
      <c r="AH183" t="s">
        <v>795</v>
      </c>
      <c r="AI183" s="31">
        <v>45852</v>
      </c>
      <c r="AJ183" s="61">
        <v>0.43975694444444452</v>
      </c>
      <c r="AK183" t="s">
        <v>5338</v>
      </c>
      <c r="AL183" t="s">
        <v>5485</v>
      </c>
      <c r="AM183" t="s">
        <v>1768</v>
      </c>
      <c r="AN183" t="s">
        <v>1769</v>
      </c>
      <c r="AO183" t="s">
        <v>594</v>
      </c>
      <c r="AP183" t="s">
        <v>1770</v>
      </c>
      <c r="AQ183" t="s">
        <v>1771</v>
      </c>
      <c r="AR183" s="31"/>
      <c r="AX183">
        <v>1</v>
      </c>
    </row>
    <row r="184" spans="1:50" x14ac:dyDescent="0.3">
      <c r="A184" t="s">
        <v>31</v>
      </c>
      <c r="B184">
        <v>423</v>
      </c>
      <c r="D184">
        <v>2179</v>
      </c>
      <c r="G184" t="s">
        <v>1772</v>
      </c>
      <c r="H184">
        <v>62182753000112</v>
      </c>
      <c r="J184" t="s">
        <v>1133</v>
      </c>
      <c r="K184" t="s">
        <v>1587</v>
      </c>
      <c r="M184" t="s">
        <v>1588</v>
      </c>
      <c r="S184" t="s">
        <v>933</v>
      </c>
      <c r="V184" t="s">
        <v>1581</v>
      </c>
      <c r="W184" t="s">
        <v>780</v>
      </c>
      <c r="X184" t="s">
        <v>807</v>
      </c>
      <c r="Z184" s="31"/>
      <c r="AA184">
        <v>14280</v>
      </c>
      <c r="AB184">
        <v>127673</v>
      </c>
      <c r="AC184">
        <v>168</v>
      </c>
      <c r="AD184" t="s">
        <v>31</v>
      </c>
      <c r="AE184" s="31">
        <v>45811</v>
      </c>
      <c r="AF184" s="61">
        <v>0.48096064814814821</v>
      </c>
      <c r="AH184" t="s">
        <v>795</v>
      </c>
      <c r="AI184" s="31">
        <v>45979</v>
      </c>
      <c r="AJ184" s="61">
        <v>0.39922453703703698</v>
      </c>
      <c r="AK184" t="s">
        <v>5338</v>
      </c>
      <c r="AN184" t="s">
        <v>1773</v>
      </c>
      <c r="AO184" t="s">
        <v>31</v>
      </c>
      <c r="AP184" t="s">
        <v>1773</v>
      </c>
      <c r="AR184" s="31"/>
      <c r="AX184">
        <v>1</v>
      </c>
    </row>
    <row r="185" spans="1:50" x14ac:dyDescent="0.3">
      <c r="A185" t="s">
        <v>44</v>
      </c>
      <c r="B185">
        <v>425</v>
      </c>
      <c r="D185">
        <v>2181</v>
      </c>
      <c r="G185" t="s">
        <v>1774</v>
      </c>
      <c r="H185">
        <v>3971592000187</v>
      </c>
      <c r="J185" t="s">
        <v>1775</v>
      </c>
      <c r="K185" t="s">
        <v>1776</v>
      </c>
      <c r="Q185" t="s">
        <v>1777</v>
      </c>
      <c r="R185" t="s">
        <v>1027</v>
      </c>
      <c r="V185" t="s">
        <v>1718</v>
      </c>
      <c r="W185" t="s">
        <v>780</v>
      </c>
      <c r="X185" t="s">
        <v>857</v>
      </c>
      <c r="Z185" s="31"/>
      <c r="AC185">
        <v>26</v>
      </c>
      <c r="AD185" t="s">
        <v>44</v>
      </c>
      <c r="AE185" s="31">
        <v>45813</v>
      </c>
      <c r="AF185" s="61">
        <v>0.45299768518518518</v>
      </c>
      <c r="AH185" t="s">
        <v>795</v>
      </c>
      <c r="AI185" s="31">
        <v>45839</v>
      </c>
      <c r="AJ185" s="61">
        <v>0.41417824074074072</v>
      </c>
      <c r="AK185" t="s">
        <v>5338</v>
      </c>
      <c r="AL185" t="s">
        <v>5472</v>
      </c>
      <c r="AR185" s="31"/>
      <c r="AX185">
        <v>1</v>
      </c>
    </row>
    <row r="186" spans="1:50" x14ac:dyDescent="0.3">
      <c r="A186" t="s">
        <v>44</v>
      </c>
      <c r="B186">
        <v>426</v>
      </c>
      <c r="D186">
        <v>2186</v>
      </c>
      <c r="G186" t="s">
        <v>1778</v>
      </c>
      <c r="H186">
        <v>480542000290</v>
      </c>
      <c r="J186" t="s">
        <v>5486</v>
      </c>
      <c r="K186" t="s">
        <v>1780</v>
      </c>
      <c r="M186" t="s">
        <v>1781</v>
      </c>
      <c r="Q186" t="s">
        <v>1782</v>
      </c>
      <c r="R186" t="s">
        <v>790</v>
      </c>
      <c r="W186" t="s">
        <v>780</v>
      </c>
      <c r="X186" t="s">
        <v>781</v>
      </c>
      <c r="Z186" s="31"/>
      <c r="AC186">
        <v>26</v>
      </c>
      <c r="AD186" t="s">
        <v>44</v>
      </c>
      <c r="AE186" s="31">
        <v>45813</v>
      </c>
      <c r="AF186" s="61">
        <v>0.46081018518518518</v>
      </c>
      <c r="AH186" t="s">
        <v>795</v>
      </c>
      <c r="AI186" s="31">
        <v>45839</v>
      </c>
      <c r="AJ186" s="61">
        <v>0.40780092592592587</v>
      </c>
      <c r="AK186" t="s">
        <v>5338</v>
      </c>
      <c r="AL186" t="s">
        <v>5472</v>
      </c>
      <c r="AR186" s="31"/>
      <c r="AX186">
        <v>1</v>
      </c>
    </row>
    <row r="187" spans="1:50" x14ac:dyDescent="0.3">
      <c r="A187" t="s">
        <v>44</v>
      </c>
      <c r="B187">
        <v>428</v>
      </c>
      <c r="D187">
        <v>2189</v>
      </c>
      <c r="G187" t="s">
        <v>1783</v>
      </c>
      <c r="H187">
        <v>10509268000107</v>
      </c>
      <c r="J187" t="s">
        <v>5487</v>
      </c>
      <c r="K187" t="s">
        <v>1785</v>
      </c>
      <c r="M187" t="s">
        <v>1786</v>
      </c>
      <c r="Q187" t="s">
        <v>1787</v>
      </c>
      <c r="R187" t="s">
        <v>790</v>
      </c>
      <c r="V187" t="s">
        <v>1718</v>
      </c>
      <c r="W187" t="s">
        <v>780</v>
      </c>
      <c r="X187" t="s">
        <v>857</v>
      </c>
      <c r="Z187" s="31"/>
      <c r="AA187">
        <v>73430</v>
      </c>
      <c r="AB187">
        <v>37382</v>
      </c>
      <c r="AC187">
        <v>24</v>
      </c>
      <c r="AD187" t="s">
        <v>44</v>
      </c>
      <c r="AE187" s="31">
        <v>45814</v>
      </c>
      <c r="AF187" s="61">
        <v>0.42849537037037039</v>
      </c>
      <c r="AH187" t="s">
        <v>795</v>
      </c>
      <c r="AI187" s="31">
        <v>45838</v>
      </c>
      <c r="AJ187" s="61">
        <v>0.62945601851851851</v>
      </c>
      <c r="AK187" t="s">
        <v>5338</v>
      </c>
      <c r="AL187" t="s">
        <v>5488</v>
      </c>
      <c r="AN187" t="s">
        <v>1789</v>
      </c>
      <c r="AP187" t="s">
        <v>1790</v>
      </c>
      <c r="AQ187" t="s">
        <v>1769</v>
      </c>
      <c r="AR187" s="31"/>
      <c r="AX187">
        <v>1</v>
      </c>
    </row>
    <row r="188" spans="1:50" x14ac:dyDescent="0.3">
      <c r="A188" t="s">
        <v>44</v>
      </c>
      <c r="B188">
        <v>431</v>
      </c>
      <c r="D188">
        <v>2194</v>
      </c>
      <c r="G188" t="s">
        <v>386</v>
      </c>
      <c r="H188">
        <v>28646036000166</v>
      </c>
      <c r="J188" t="s">
        <v>5489</v>
      </c>
      <c r="K188" t="s">
        <v>1792</v>
      </c>
      <c r="M188" t="s">
        <v>1793</v>
      </c>
      <c r="Q188" t="s">
        <v>1794</v>
      </c>
      <c r="R188" t="s">
        <v>790</v>
      </c>
      <c r="V188" t="s">
        <v>1718</v>
      </c>
      <c r="W188" t="s">
        <v>780</v>
      </c>
      <c r="X188" t="s">
        <v>807</v>
      </c>
      <c r="Z188" s="31"/>
      <c r="AA188">
        <v>16960</v>
      </c>
      <c r="AB188">
        <v>70432</v>
      </c>
      <c r="AC188">
        <v>80</v>
      </c>
      <c r="AD188" t="s">
        <v>44</v>
      </c>
      <c r="AE188" s="31">
        <v>45817</v>
      </c>
      <c r="AF188" s="61">
        <v>0.47589120370370369</v>
      </c>
      <c r="AH188" t="s">
        <v>795</v>
      </c>
      <c r="AI188" s="31">
        <v>45897</v>
      </c>
      <c r="AJ188" s="61">
        <v>0.64936342592592589</v>
      </c>
      <c r="AK188" t="s">
        <v>5338</v>
      </c>
      <c r="AL188" t="s">
        <v>5339</v>
      </c>
      <c r="AN188" t="s">
        <v>4654</v>
      </c>
      <c r="AP188" t="s">
        <v>1771</v>
      </c>
      <c r="AQ188" t="s">
        <v>4654</v>
      </c>
      <c r="AR188" s="31"/>
      <c r="AX188">
        <v>1</v>
      </c>
    </row>
    <row r="189" spans="1:50" x14ac:dyDescent="0.3">
      <c r="A189" t="s">
        <v>44</v>
      </c>
      <c r="B189">
        <v>433</v>
      </c>
      <c r="D189">
        <v>2197</v>
      </c>
      <c r="G189" t="s">
        <v>5490</v>
      </c>
      <c r="J189" t="s">
        <v>5491</v>
      </c>
      <c r="K189" t="s">
        <v>1797</v>
      </c>
      <c r="M189" t="s">
        <v>1111</v>
      </c>
      <c r="W189" t="s">
        <v>780</v>
      </c>
      <c r="X189" t="s">
        <v>857</v>
      </c>
      <c r="Z189" s="31"/>
      <c r="AA189">
        <v>16960</v>
      </c>
      <c r="AB189">
        <v>998</v>
      </c>
      <c r="AC189">
        <v>20</v>
      </c>
      <c r="AD189" t="s">
        <v>44</v>
      </c>
      <c r="AE189" s="31">
        <v>45819</v>
      </c>
      <c r="AF189" s="61">
        <v>0.3787962962962963</v>
      </c>
      <c r="AH189" t="s">
        <v>795</v>
      </c>
      <c r="AI189" s="31">
        <v>45839</v>
      </c>
      <c r="AJ189" s="61">
        <v>0.41629629629629628</v>
      </c>
      <c r="AK189" t="s">
        <v>5338</v>
      </c>
      <c r="AL189" t="s">
        <v>5492</v>
      </c>
      <c r="AN189" t="s">
        <v>1799</v>
      </c>
      <c r="AP189" t="s">
        <v>1799</v>
      </c>
      <c r="AR189" s="31"/>
      <c r="AX189">
        <v>1</v>
      </c>
    </row>
    <row r="190" spans="1:50" x14ac:dyDescent="0.3">
      <c r="A190" t="s">
        <v>22</v>
      </c>
      <c r="B190">
        <v>434</v>
      </c>
      <c r="D190">
        <v>2198</v>
      </c>
      <c r="G190" t="s">
        <v>1800</v>
      </c>
      <c r="J190" t="s">
        <v>1243</v>
      </c>
      <c r="K190" t="s">
        <v>1801</v>
      </c>
      <c r="M190" t="s">
        <v>1802</v>
      </c>
      <c r="S190" t="s">
        <v>933</v>
      </c>
      <c r="V190" t="s">
        <v>1718</v>
      </c>
      <c r="W190" t="s">
        <v>780</v>
      </c>
      <c r="X190" t="s">
        <v>857</v>
      </c>
      <c r="Y190" t="s">
        <v>817</v>
      </c>
      <c r="Z190" s="31"/>
      <c r="AC190">
        <v>90</v>
      </c>
      <c r="AD190" t="s">
        <v>22</v>
      </c>
      <c r="AE190" s="31">
        <v>45820</v>
      </c>
      <c r="AF190" s="61">
        <v>0.6342592592592593</v>
      </c>
      <c r="AH190" t="s">
        <v>795</v>
      </c>
      <c r="AI190" s="31">
        <v>45910</v>
      </c>
      <c r="AJ190" s="61">
        <v>0.67572916666666671</v>
      </c>
      <c r="AK190" t="s">
        <v>5338</v>
      </c>
      <c r="AO190" t="s">
        <v>22</v>
      </c>
      <c r="AR190" s="31"/>
      <c r="AX190">
        <v>1</v>
      </c>
    </row>
    <row r="191" spans="1:50" x14ac:dyDescent="0.3">
      <c r="A191" t="s">
        <v>22</v>
      </c>
      <c r="B191">
        <v>435</v>
      </c>
      <c r="D191">
        <v>2200</v>
      </c>
      <c r="G191" t="s">
        <v>1803</v>
      </c>
      <c r="J191" t="s">
        <v>1804</v>
      </c>
      <c r="K191" t="s">
        <v>1805</v>
      </c>
      <c r="M191" t="s">
        <v>1111</v>
      </c>
      <c r="S191" t="s">
        <v>933</v>
      </c>
      <c r="V191" t="s">
        <v>1419</v>
      </c>
      <c r="W191" t="s">
        <v>780</v>
      </c>
      <c r="X191" t="s">
        <v>816</v>
      </c>
      <c r="Z191" s="31"/>
      <c r="AA191">
        <v>28800</v>
      </c>
      <c r="AB191">
        <v>201012</v>
      </c>
      <c r="AC191">
        <v>56</v>
      </c>
      <c r="AD191" t="s">
        <v>22</v>
      </c>
      <c r="AE191" s="31">
        <v>45820</v>
      </c>
      <c r="AF191" s="61">
        <v>0.68391203703703707</v>
      </c>
      <c r="AH191" t="s">
        <v>818</v>
      </c>
      <c r="AI191" s="31">
        <v>45876</v>
      </c>
      <c r="AJ191" s="61">
        <v>0.50437500000000002</v>
      </c>
      <c r="AO191" t="s">
        <v>22</v>
      </c>
      <c r="AR191" s="31"/>
      <c r="AX191">
        <v>1</v>
      </c>
    </row>
    <row r="192" spans="1:50" x14ac:dyDescent="0.3">
      <c r="A192" t="s">
        <v>44</v>
      </c>
      <c r="B192">
        <v>447</v>
      </c>
      <c r="D192">
        <v>2213</v>
      </c>
      <c r="G192" t="s">
        <v>1810</v>
      </c>
      <c r="J192" t="s">
        <v>5493</v>
      </c>
      <c r="K192" t="s">
        <v>1812</v>
      </c>
      <c r="M192" t="s">
        <v>1813</v>
      </c>
      <c r="W192" t="s">
        <v>780</v>
      </c>
      <c r="X192" t="s">
        <v>816</v>
      </c>
      <c r="Z192" s="31"/>
      <c r="AA192">
        <v>1782</v>
      </c>
      <c r="AB192">
        <v>3564</v>
      </c>
      <c r="AC192">
        <v>2</v>
      </c>
      <c r="AD192" t="s">
        <v>44</v>
      </c>
      <c r="AE192" s="31">
        <v>45824</v>
      </c>
      <c r="AF192" s="61">
        <v>0.6651273148148148</v>
      </c>
      <c r="AH192" t="s">
        <v>818</v>
      </c>
      <c r="AI192" s="31">
        <v>45826</v>
      </c>
      <c r="AJ192" s="61">
        <v>0.61760416666666662</v>
      </c>
      <c r="AN192" t="s">
        <v>1771</v>
      </c>
      <c r="AP192" t="s">
        <v>1771</v>
      </c>
      <c r="AR192" s="31"/>
      <c r="AX192">
        <v>1</v>
      </c>
    </row>
    <row r="193" spans="1:50" x14ac:dyDescent="0.3">
      <c r="A193" t="s">
        <v>44</v>
      </c>
      <c r="B193">
        <v>451</v>
      </c>
      <c r="D193">
        <v>2217</v>
      </c>
      <c r="G193" t="s">
        <v>1814</v>
      </c>
      <c r="H193">
        <v>27898532000144</v>
      </c>
      <c r="J193" t="s">
        <v>1815</v>
      </c>
      <c r="K193" t="s">
        <v>1816</v>
      </c>
      <c r="M193" t="s">
        <v>1764</v>
      </c>
      <c r="Q193" t="s">
        <v>1817</v>
      </c>
      <c r="R193" t="s">
        <v>790</v>
      </c>
      <c r="W193" t="s">
        <v>780</v>
      </c>
      <c r="X193" t="s">
        <v>857</v>
      </c>
      <c r="Z193" s="31"/>
      <c r="AA193">
        <v>1600</v>
      </c>
      <c r="AB193">
        <v>26507</v>
      </c>
      <c r="AC193">
        <v>26</v>
      </c>
      <c r="AD193" t="s">
        <v>44</v>
      </c>
      <c r="AE193" s="31">
        <v>45826</v>
      </c>
      <c r="AF193" s="61">
        <v>0.60541666666666671</v>
      </c>
      <c r="AH193" t="s">
        <v>795</v>
      </c>
      <c r="AI193" s="31">
        <v>45852</v>
      </c>
      <c r="AJ193" s="61">
        <v>0.44032407407407409</v>
      </c>
      <c r="AK193" t="s">
        <v>5338</v>
      </c>
      <c r="AL193" t="s">
        <v>5485</v>
      </c>
      <c r="AN193" t="s">
        <v>1769</v>
      </c>
      <c r="AP193" t="s">
        <v>1771</v>
      </c>
      <c r="AR193" s="31"/>
      <c r="AX193">
        <v>1</v>
      </c>
    </row>
    <row r="194" spans="1:50" x14ac:dyDescent="0.3">
      <c r="A194" t="s">
        <v>44</v>
      </c>
      <c r="B194">
        <v>453</v>
      </c>
      <c r="D194">
        <v>2219</v>
      </c>
      <c r="G194" t="s">
        <v>1818</v>
      </c>
      <c r="J194" t="s">
        <v>1819</v>
      </c>
      <c r="K194" t="s">
        <v>1579</v>
      </c>
      <c r="M194" t="s">
        <v>1580</v>
      </c>
      <c r="V194" t="s">
        <v>1718</v>
      </c>
      <c r="W194" t="s">
        <v>780</v>
      </c>
      <c r="X194" t="s">
        <v>807</v>
      </c>
      <c r="Z194" s="31"/>
      <c r="AA194">
        <v>29680</v>
      </c>
      <c r="AB194">
        <v>0</v>
      </c>
      <c r="AC194">
        <v>7</v>
      </c>
      <c r="AD194" t="s">
        <v>44</v>
      </c>
      <c r="AE194" s="31">
        <v>45831</v>
      </c>
      <c r="AF194" s="61">
        <v>0.38500000000000001</v>
      </c>
      <c r="AH194" t="s">
        <v>795</v>
      </c>
      <c r="AI194" s="31">
        <v>45838</v>
      </c>
      <c r="AJ194" s="61">
        <v>0.63365740740740739</v>
      </c>
      <c r="AK194" t="s">
        <v>934</v>
      </c>
      <c r="AL194" t="s">
        <v>5494</v>
      </c>
      <c r="AN194" t="s">
        <v>1789</v>
      </c>
      <c r="AP194" t="s">
        <v>1789</v>
      </c>
      <c r="AR194" s="31"/>
      <c r="AX194">
        <v>1</v>
      </c>
    </row>
    <row r="195" spans="1:50" x14ac:dyDescent="0.3">
      <c r="A195" t="s">
        <v>44</v>
      </c>
      <c r="B195">
        <v>455</v>
      </c>
      <c r="D195">
        <v>2221</v>
      </c>
      <c r="G195" t="s">
        <v>1821</v>
      </c>
      <c r="H195">
        <v>1537246000160</v>
      </c>
      <c r="J195" t="s">
        <v>1822</v>
      </c>
      <c r="K195" t="s">
        <v>1823</v>
      </c>
      <c r="M195" t="s">
        <v>1824</v>
      </c>
      <c r="Q195" t="s">
        <v>1825</v>
      </c>
      <c r="R195" t="s">
        <v>790</v>
      </c>
      <c r="W195" t="s">
        <v>780</v>
      </c>
      <c r="X195" t="s">
        <v>781</v>
      </c>
      <c r="Z195" s="31"/>
      <c r="AC195">
        <v>7</v>
      </c>
      <c r="AD195" t="s">
        <v>44</v>
      </c>
      <c r="AE195" s="31">
        <v>45832</v>
      </c>
      <c r="AF195" s="61">
        <v>0.46826388888888892</v>
      </c>
      <c r="AH195" t="s">
        <v>795</v>
      </c>
      <c r="AI195" s="31">
        <v>45839</v>
      </c>
      <c r="AJ195" s="61">
        <v>0.40962962962962962</v>
      </c>
      <c r="AK195" t="s">
        <v>5338</v>
      </c>
      <c r="AL195" t="s">
        <v>5472</v>
      </c>
      <c r="AR195" s="31"/>
      <c r="AX195">
        <v>1</v>
      </c>
    </row>
    <row r="196" spans="1:50" x14ac:dyDescent="0.3">
      <c r="A196" t="s">
        <v>44</v>
      </c>
      <c r="B196">
        <v>456</v>
      </c>
      <c r="D196">
        <v>2226</v>
      </c>
      <c r="G196" t="s">
        <v>1826</v>
      </c>
      <c r="H196">
        <v>1684187000152</v>
      </c>
      <c r="J196" t="s">
        <v>5495</v>
      </c>
      <c r="K196" t="s">
        <v>1828</v>
      </c>
      <c r="Q196" t="s">
        <v>1094</v>
      </c>
      <c r="R196" t="s">
        <v>790</v>
      </c>
      <c r="W196" t="s">
        <v>780</v>
      </c>
      <c r="X196" t="s">
        <v>781</v>
      </c>
      <c r="Z196" s="31"/>
      <c r="AC196">
        <v>7</v>
      </c>
      <c r="AD196" t="s">
        <v>44</v>
      </c>
      <c r="AE196" s="31">
        <v>45832</v>
      </c>
      <c r="AF196" s="61">
        <v>0.47282407407407412</v>
      </c>
      <c r="AH196" t="s">
        <v>795</v>
      </c>
      <c r="AI196" s="31">
        <v>45839</v>
      </c>
      <c r="AJ196" s="61">
        <v>0.4099652777777778</v>
      </c>
      <c r="AK196" t="s">
        <v>5338</v>
      </c>
      <c r="AL196" t="s">
        <v>5472</v>
      </c>
      <c r="AR196" s="31"/>
      <c r="AX196">
        <v>1</v>
      </c>
    </row>
    <row r="197" spans="1:50" x14ac:dyDescent="0.3">
      <c r="A197" t="s">
        <v>44</v>
      </c>
      <c r="B197">
        <v>457</v>
      </c>
      <c r="D197">
        <v>2230</v>
      </c>
      <c r="G197" t="s">
        <v>1829</v>
      </c>
      <c r="H197">
        <v>28895260000191</v>
      </c>
      <c r="J197" t="s">
        <v>5496</v>
      </c>
      <c r="K197" t="s">
        <v>1831</v>
      </c>
      <c r="M197" t="s">
        <v>1832</v>
      </c>
      <c r="Q197" t="s">
        <v>1833</v>
      </c>
      <c r="R197" t="s">
        <v>790</v>
      </c>
      <c r="W197" t="s">
        <v>780</v>
      </c>
      <c r="X197" t="s">
        <v>781</v>
      </c>
      <c r="Z197" s="31"/>
      <c r="AC197">
        <v>7</v>
      </c>
      <c r="AD197" t="s">
        <v>44</v>
      </c>
      <c r="AE197" s="31">
        <v>45832</v>
      </c>
      <c r="AF197" s="61">
        <v>0.47787037037037039</v>
      </c>
      <c r="AH197" t="s">
        <v>795</v>
      </c>
      <c r="AI197" s="31">
        <v>45839</v>
      </c>
      <c r="AJ197" s="61">
        <v>0.41031250000000002</v>
      </c>
      <c r="AK197" t="s">
        <v>5338</v>
      </c>
      <c r="AL197" t="s">
        <v>5472</v>
      </c>
      <c r="AR197" s="31"/>
      <c r="AX197">
        <v>1</v>
      </c>
    </row>
    <row r="198" spans="1:50" x14ac:dyDescent="0.3">
      <c r="A198" t="s">
        <v>44</v>
      </c>
      <c r="B198">
        <v>462</v>
      </c>
      <c r="D198">
        <v>2237</v>
      </c>
      <c r="G198" t="s">
        <v>1834</v>
      </c>
      <c r="H198">
        <v>61630786000115</v>
      </c>
      <c r="J198" t="s">
        <v>5497</v>
      </c>
      <c r="K198" t="s">
        <v>1836</v>
      </c>
      <c r="Q198" t="s">
        <v>1837</v>
      </c>
      <c r="R198" t="s">
        <v>790</v>
      </c>
      <c r="W198" t="s">
        <v>780</v>
      </c>
      <c r="X198" t="s">
        <v>857</v>
      </c>
      <c r="Z198" s="31"/>
      <c r="AA198">
        <v>80560</v>
      </c>
      <c r="AB198">
        <v>249008</v>
      </c>
      <c r="AC198">
        <v>1</v>
      </c>
      <c r="AD198" t="s">
        <v>44</v>
      </c>
      <c r="AE198" s="31">
        <v>45833</v>
      </c>
      <c r="AF198" s="61">
        <v>0.43809027777777781</v>
      </c>
      <c r="AH198" t="s">
        <v>795</v>
      </c>
      <c r="AI198" s="31">
        <v>45834</v>
      </c>
      <c r="AJ198" s="61">
        <v>0.44855324074074082</v>
      </c>
      <c r="AK198" t="s">
        <v>5338</v>
      </c>
      <c r="AL198" t="s">
        <v>5498</v>
      </c>
      <c r="AN198" t="s">
        <v>1771</v>
      </c>
      <c r="AP198" t="s">
        <v>1839</v>
      </c>
      <c r="AR198" s="31"/>
      <c r="AX198">
        <v>1</v>
      </c>
    </row>
    <row r="199" spans="1:50" x14ac:dyDescent="0.3">
      <c r="A199" t="s">
        <v>44</v>
      </c>
      <c r="B199">
        <v>463</v>
      </c>
      <c r="D199">
        <v>2239</v>
      </c>
      <c r="G199" t="s">
        <v>5499</v>
      </c>
      <c r="H199">
        <v>61630786000115</v>
      </c>
      <c r="J199" t="s">
        <v>1841</v>
      </c>
      <c r="K199" t="s">
        <v>1836</v>
      </c>
      <c r="Q199" t="s">
        <v>1837</v>
      </c>
      <c r="R199" t="s">
        <v>790</v>
      </c>
      <c r="W199" t="s">
        <v>780</v>
      </c>
      <c r="X199" t="s">
        <v>857</v>
      </c>
      <c r="Z199" s="31"/>
      <c r="AA199">
        <v>1600</v>
      </c>
      <c r="AB199">
        <v>278556</v>
      </c>
      <c r="AC199">
        <v>1</v>
      </c>
      <c r="AD199" t="s">
        <v>44</v>
      </c>
      <c r="AE199" s="31">
        <v>45833</v>
      </c>
      <c r="AF199" s="61">
        <v>0.44237268518518519</v>
      </c>
      <c r="AH199" t="s">
        <v>795</v>
      </c>
      <c r="AI199" s="31">
        <v>45834</v>
      </c>
      <c r="AJ199" s="61">
        <v>0.44890046296296299</v>
      </c>
      <c r="AK199" t="s">
        <v>5338</v>
      </c>
      <c r="AL199" t="s">
        <v>5498</v>
      </c>
      <c r="AN199" t="s">
        <v>1771</v>
      </c>
      <c r="AP199" t="s">
        <v>1839</v>
      </c>
      <c r="AR199" s="31"/>
      <c r="AX199">
        <v>1</v>
      </c>
    </row>
    <row r="200" spans="1:50" x14ac:dyDescent="0.3">
      <c r="A200" t="s">
        <v>44</v>
      </c>
      <c r="B200">
        <v>466</v>
      </c>
      <c r="D200">
        <v>2243</v>
      </c>
      <c r="G200" t="s">
        <v>5500</v>
      </c>
      <c r="J200" t="s">
        <v>5501</v>
      </c>
      <c r="K200" t="s">
        <v>1844</v>
      </c>
      <c r="M200" t="s">
        <v>1845</v>
      </c>
      <c r="W200" t="s">
        <v>780</v>
      </c>
      <c r="X200" t="s">
        <v>816</v>
      </c>
      <c r="Z200" s="31"/>
      <c r="AA200">
        <v>0</v>
      </c>
      <c r="AB200">
        <v>54887</v>
      </c>
      <c r="AC200">
        <v>5</v>
      </c>
      <c r="AD200" t="s">
        <v>44</v>
      </c>
      <c r="AE200" s="31">
        <v>45833</v>
      </c>
      <c r="AF200" s="61">
        <v>0.60601851851851851</v>
      </c>
      <c r="AH200" t="s">
        <v>818</v>
      </c>
      <c r="AI200" s="31">
        <v>45838</v>
      </c>
      <c r="AJ200" s="61">
        <v>0.35708333333333331</v>
      </c>
      <c r="AN200" t="s">
        <v>1846</v>
      </c>
      <c r="AP200" t="s">
        <v>1846</v>
      </c>
      <c r="AR200" s="31"/>
      <c r="AX200">
        <v>1</v>
      </c>
    </row>
    <row r="201" spans="1:50" x14ac:dyDescent="0.3">
      <c r="A201" t="s">
        <v>44</v>
      </c>
      <c r="B201">
        <v>467</v>
      </c>
      <c r="D201">
        <v>2244</v>
      </c>
      <c r="G201" t="s">
        <v>5502</v>
      </c>
      <c r="J201" t="s">
        <v>5503</v>
      </c>
      <c r="K201" t="s">
        <v>1785</v>
      </c>
      <c r="M201" t="s">
        <v>1786</v>
      </c>
      <c r="W201" t="s">
        <v>780</v>
      </c>
      <c r="X201" t="s">
        <v>857</v>
      </c>
      <c r="Z201" s="31"/>
      <c r="AA201">
        <v>1600</v>
      </c>
      <c r="AB201">
        <v>309656</v>
      </c>
      <c r="AC201">
        <v>5</v>
      </c>
      <c r="AD201" t="s">
        <v>44</v>
      </c>
      <c r="AE201" s="31">
        <v>45833</v>
      </c>
      <c r="AF201" s="61">
        <v>0.66252314814814817</v>
      </c>
      <c r="AH201" t="s">
        <v>795</v>
      </c>
      <c r="AI201" s="31">
        <v>45838</v>
      </c>
      <c r="AJ201" s="61">
        <v>0.62982638888888887</v>
      </c>
      <c r="AK201" t="s">
        <v>5338</v>
      </c>
      <c r="AL201" t="s">
        <v>5488</v>
      </c>
      <c r="AN201" t="s">
        <v>1789</v>
      </c>
      <c r="AP201" t="s">
        <v>1769</v>
      </c>
      <c r="AR201" s="31"/>
      <c r="AX201">
        <v>1</v>
      </c>
    </row>
    <row r="202" spans="1:50" x14ac:dyDescent="0.3">
      <c r="A202" t="s">
        <v>44</v>
      </c>
      <c r="B202">
        <v>468</v>
      </c>
      <c r="D202">
        <v>2245</v>
      </c>
      <c r="G202" t="s">
        <v>1849</v>
      </c>
      <c r="H202">
        <v>9509581000166</v>
      </c>
      <c r="J202" t="s">
        <v>5504</v>
      </c>
      <c r="K202" t="s">
        <v>1851</v>
      </c>
      <c r="M202" t="s">
        <v>1852</v>
      </c>
      <c r="Q202" t="s">
        <v>1094</v>
      </c>
      <c r="R202" t="s">
        <v>790</v>
      </c>
      <c r="W202" t="s">
        <v>780</v>
      </c>
      <c r="X202" t="s">
        <v>793</v>
      </c>
      <c r="Z202" s="31"/>
      <c r="AA202">
        <v>10800</v>
      </c>
      <c r="AB202">
        <v>450</v>
      </c>
      <c r="AC202">
        <v>5</v>
      </c>
      <c r="AD202" t="s">
        <v>44</v>
      </c>
      <c r="AE202" s="31">
        <v>45833</v>
      </c>
      <c r="AF202" s="61">
        <v>0.6728587962962963</v>
      </c>
      <c r="AH202" t="s">
        <v>795</v>
      </c>
      <c r="AI202" s="31">
        <v>45838</v>
      </c>
      <c r="AJ202" s="61">
        <v>0.62880787037037034</v>
      </c>
      <c r="AK202" t="s">
        <v>5338</v>
      </c>
      <c r="AL202" t="s">
        <v>5505</v>
      </c>
      <c r="AN202" t="s">
        <v>1854</v>
      </c>
      <c r="AP202" t="s">
        <v>1790</v>
      </c>
      <c r="AR202" s="31"/>
      <c r="AX202">
        <v>1</v>
      </c>
    </row>
    <row r="203" spans="1:50" x14ac:dyDescent="0.3">
      <c r="A203" t="s">
        <v>44</v>
      </c>
      <c r="B203">
        <v>469</v>
      </c>
      <c r="D203">
        <v>2250</v>
      </c>
      <c r="G203" t="s">
        <v>1855</v>
      </c>
      <c r="J203" t="s">
        <v>1856</v>
      </c>
      <c r="K203" t="s">
        <v>1857</v>
      </c>
      <c r="M203" t="s">
        <v>1858</v>
      </c>
      <c r="W203" t="s">
        <v>780</v>
      </c>
      <c r="X203" t="s">
        <v>816</v>
      </c>
      <c r="Z203" s="31"/>
      <c r="AA203">
        <v>607121</v>
      </c>
      <c r="AB203">
        <v>0</v>
      </c>
      <c r="AC203">
        <v>25</v>
      </c>
      <c r="AD203" t="s">
        <v>44</v>
      </c>
      <c r="AE203" s="31">
        <v>45834</v>
      </c>
      <c r="AF203" s="61">
        <v>0.49910879629629629</v>
      </c>
      <c r="AH203" t="s">
        <v>818</v>
      </c>
      <c r="AI203" s="31">
        <v>45859</v>
      </c>
      <c r="AJ203" s="61">
        <v>0.38678240740740738</v>
      </c>
      <c r="AN203" t="s">
        <v>1859</v>
      </c>
      <c r="AP203" t="s">
        <v>1859</v>
      </c>
      <c r="AR203" s="31"/>
      <c r="AX203">
        <v>1</v>
      </c>
    </row>
    <row r="204" spans="1:50" x14ac:dyDescent="0.3">
      <c r="A204" t="s">
        <v>44</v>
      </c>
      <c r="B204">
        <v>470</v>
      </c>
      <c r="D204">
        <v>2272</v>
      </c>
      <c r="G204" t="s">
        <v>1860</v>
      </c>
      <c r="H204">
        <v>912882000161</v>
      </c>
      <c r="J204" t="s">
        <v>5506</v>
      </c>
      <c r="K204" t="s">
        <v>1862</v>
      </c>
      <c r="M204" t="s">
        <v>1863</v>
      </c>
      <c r="Q204" t="s">
        <v>1864</v>
      </c>
      <c r="R204" t="s">
        <v>1027</v>
      </c>
      <c r="V204" t="s">
        <v>1718</v>
      </c>
      <c r="W204" t="s">
        <v>780</v>
      </c>
      <c r="X204" t="s">
        <v>807</v>
      </c>
      <c r="Z204" s="31"/>
      <c r="AA204">
        <v>16960</v>
      </c>
      <c r="AB204">
        <v>14034</v>
      </c>
      <c r="AC204">
        <v>84</v>
      </c>
      <c r="AD204" t="s">
        <v>44</v>
      </c>
      <c r="AE204" s="31">
        <v>45838</v>
      </c>
      <c r="AF204" s="61">
        <v>0.49502314814814807</v>
      </c>
      <c r="AH204" t="s">
        <v>795</v>
      </c>
      <c r="AI204" s="31">
        <v>45922</v>
      </c>
      <c r="AJ204" s="61">
        <v>0.4777777777777778</v>
      </c>
      <c r="AK204" t="s">
        <v>5338</v>
      </c>
      <c r="AL204" t="s">
        <v>5507</v>
      </c>
      <c r="AN204" t="s">
        <v>1866</v>
      </c>
      <c r="AP204" t="s">
        <v>1866</v>
      </c>
      <c r="AR204" s="31"/>
      <c r="AX204">
        <v>1</v>
      </c>
    </row>
    <row r="205" spans="1:50" x14ac:dyDescent="0.3">
      <c r="A205" t="s">
        <v>31</v>
      </c>
      <c r="B205">
        <v>475</v>
      </c>
      <c r="D205">
        <v>2299</v>
      </c>
      <c r="G205" t="s">
        <v>1867</v>
      </c>
      <c r="H205">
        <v>3436772000169</v>
      </c>
      <c r="J205" t="s">
        <v>1868</v>
      </c>
      <c r="K205" t="s">
        <v>1869</v>
      </c>
      <c r="M205" t="s">
        <v>1870</v>
      </c>
      <c r="Q205" t="s">
        <v>1094</v>
      </c>
      <c r="R205" t="s">
        <v>790</v>
      </c>
      <c r="W205" t="s">
        <v>780</v>
      </c>
      <c r="X205" t="s">
        <v>793</v>
      </c>
      <c r="Z205" s="31"/>
      <c r="AC205">
        <v>60</v>
      </c>
      <c r="AD205" t="s">
        <v>31</v>
      </c>
      <c r="AE205" s="31">
        <v>45842</v>
      </c>
      <c r="AF205" s="61">
        <v>0.39122685185185191</v>
      </c>
      <c r="AH205" t="s">
        <v>795</v>
      </c>
      <c r="AI205" s="31">
        <v>45902</v>
      </c>
      <c r="AJ205" s="61">
        <v>0.41572916666666659</v>
      </c>
      <c r="AK205" t="s">
        <v>5338</v>
      </c>
      <c r="AN205" t="s">
        <v>1871</v>
      </c>
      <c r="AP205" t="s">
        <v>1872</v>
      </c>
      <c r="AR205" s="31"/>
      <c r="AX205">
        <v>1</v>
      </c>
    </row>
    <row r="206" spans="1:50" x14ac:dyDescent="0.3">
      <c r="A206" t="s">
        <v>44</v>
      </c>
      <c r="B206">
        <v>485</v>
      </c>
      <c r="D206">
        <v>2341</v>
      </c>
      <c r="G206" t="s">
        <v>5508</v>
      </c>
      <c r="H206">
        <v>20750928000109</v>
      </c>
      <c r="J206" t="s">
        <v>5509</v>
      </c>
      <c r="K206" t="s">
        <v>1875</v>
      </c>
      <c r="M206" t="s">
        <v>1876</v>
      </c>
      <c r="Q206" t="s">
        <v>1877</v>
      </c>
      <c r="R206" t="s">
        <v>932</v>
      </c>
      <c r="V206" t="s">
        <v>1419</v>
      </c>
      <c r="W206" t="s">
        <v>780</v>
      </c>
      <c r="X206" t="s">
        <v>816</v>
      </c>
      <c r="Z206" s="31"/>
      <c r="AA206">
        <v>6429976</v>
      </c>
      <c r="AB206">
        <v>399322</v>
      </c>
      <c r="AC206">
        <v>73</v>
      </c>
      <c r="AD206" t="s">
        <v>44</v>
      </c>
      <c r="AE206" s="31">
        <v>45852</v>
      </c>
      <c r="AF206" s="61">
        <v>0.42383101851851851</v>
      </c>
      <c r="AH206" t="s">
        <v>818</v>
      </c>
      <c r="AI206" s="31">
        <v>45925</v>
      </c>
      <c r="AJ206" s="61">
        <v>0.63105324074074076</v>
      </c>
      <c r="AN206" t="s">
        <v>1878</v>
      </c>
      <c r="AP206" t="s">
        <v>1879</v>
      </c>
      <c r="AR206" s="31"/>
      <c r="AX206">
        <v>1</v>
      </c>
    </row>
    <row r="207" spans="1:50" x14ac:dyDescent="0.3">
      <c r="A207" t="s">
        <v>44</v>
      </c>
      <c r="B207">
        <v>486</v>
      </c>
      <c r="D207">
        <v>2343</v>
      </c>
      <c r="G207" t="s">
        <v>1880</v>
      </c>
      <c r="H207">
        <v>20750928000109</v>
      </c>
      <c r="J207" t="s">
        <v>5510</v>
      </c>
      <c r="K207" t="s">
        <v>1875</v>
      </c>
      <c r="M207" t="s">
        <v>1876</v>
      </c>
      <c r="Q207" t="s">
        <v>1877</v>
      </c>
      <c r="R207" t="s">
        <v>932</v>
      </c>
      <c r="W207" t="s">
        <v>780</v>
      </c>
      <c r="X207" t="s">
        <v>816</v>
      </c>
      <c r="Z207" s="31"/>
      <c r="AA207">
        <v>1600</v>
      </c>
      <c r="AB207">
        <v>2325</v>
      </c>
      <c r="AC207">
        <v>73</v>
      </c>
      <c r="AD207" t="s">
        <v>44</v>
      </c>
      <c r="AE207" s="31">
        <v>45852</v>
      </c>
      <c r="AF207" s="61">
        <v>0.4576736111111111</v>
      </c>
      <c r="AH207" t="s">
        <v>795</v>
      </c>
      <c r="AI207" s="31">
        <v>45925</v>
      </c>
      <c r="AJ207" s="61">
        <v>0.62450231481481477</v>
      </c>
      <c r="AK207" t="s">
        <v>858</v>
      </c>
      <c r="AL207" t="s">
        <v>5511</v>
      </c>
      <c r="AN207" t="s">
        <v>1878</v>
      </c>
      <c r="AP207" t="s">
        <v>1879</v>
      </c>
      <c r="AR207" s="31"/>
      <c r="AX207">
        <v>1</v>
      </c>
    </row>
    <row r="208" spans="1:50" x14ac:dyDescent="0.3">
      <c r="A208" t="s">
        <v>44</v>
      </c>
      <c r="B208">
        <v>487</v>
      </c>
      <c r="D208">
        <v>2345</v>
      </c>
      <c r="G208" t="s">
        <v>1883</v>
      </c>
      <c r="J208" t="s">
        <v>1884</v>
      </c>
      <c r="K208" t="s">
        <v>1042</v>
      </c>
      <c r="M208" t="s">
        <v>1043</v>
      </c>
      <c r="W208" t="s">
        <v>780</v>
      </c>
      <c r="X208" t="s">
        <v>816</v>
      </c>
      <c r="Z208" s="31"/>
      <c r="AA208">
        <v>0</v>
      </c>
      <c r="AB208">
        <v>14256</v>
      </c>
      <c r="AC208">
        <v>7</v>
      </c>
      <c r="AD208" t="s">
        <v>44</v>
      </c>
      <c r="AE208" s="31">
        <v>45852</v>
      </c>
      <c r="AF208" s="61">
        <v>0.61031250000000004</v>
      </c>
      <c r="AH208" t="s">
        <v>818</v>
      </c>
      <c r="AI208" s="31">
        <v>45859</v>
      </c>
      <c r="AJ208" s="61">
        <v>0.39141203703703698</v>
      </c>
      <c r="AN208" t="s">
        <v>1885</v>
      </c>
      <c r="AP208" t="s">
        <v>1885</v>
      </c>
      <c r="AR208" s="31"/>
      <c r="AX208">
        <v>1</v>
      </c>
    </row>
    <row r="209" spans="1:50" x14ac:dyDescent="0.3">
      <c r="A209" t="s">
        <v>44</v>
      </c>
      <c r="B209">
        <v>488</v>
      </c>
      <c r="D209">
        <v>2346</v>
      </c>
      <c r="E209" t="s">
        <v>1886</v>
      </c>
      <c r="G209" t="s">
        <v>1887</v>
      </c>
      <c r="H209">
        <v>20750928000109</v>
      </c>
      <c r="J209" t="s">
        <v>1888</v>
      </c>
      <c r="K209" t="s">
        <v>1889</v>
      </c>
      <c r="M209" t="s">
        <v>1876</v>
      </c>
      <c r="V209" t="s">
        <v>1704</v>
      </c>
      <c r="W209" t="s">
        <v>780</v>
      </c>
      <c r="X209" t="s">
        <v>816</v>
      </c>
      <c r="Z209" s="31">
        <v>46055</v>
      </c>
      <c r="AA209">
        <v>26200</v>
      </c>
      <c r="AB209">
        <v>3400</v>
      </c>
      <c r="AC209">
        <v>206</v>
      </c>
      <c r="AD209" t="s">
        <v>44</v>
      </c>
      <c r="AE209" s="31">
        <v>45853</v>
      </c>
      <c r="AF209" s="61">
        <v>0.72690972222222228</v>
      </c>
      <c r="AH209" t="s">
        <v>818</v>
      </c>
      <c r="AI209" s="31">
        <v>46059</v>
      </c>
      <c r="AJ209" s="61">
        <v>0.50700231481481484</v>
      </c>
      <c r="AN209" t="s">
        <v>1878</v>
      </c>
      <c r="AO209" t="s">
        <v>44</v>
      </c>
      <c r="AP209" t="s">
        <v>1879</v>
      </c>
      <c r="AR209" s="31">
        <v>46001</v>
      </c>
      <c r="AX209">
        <v>1</v>
      </c>
    </row>
    <row r="210" spans="1:50" x14ac:dyDescent="0.3">
      <c r="A210" t="s">
        <v>44</v>
      </c>
      <c r="B210">
        <v>493</v>
      </c>
      <c r="D210">
        <v>2352</v>
      </c>
      <c r="G210" t="s">
        <v>1890</v>
      </c>
      <c r="H210">
        <v>39750889000160</v>
      </c>
      <c r="J210" t="s">
        <v>1891</v>
      </c>
      <c r="K210" t="s">
        <v>1892</v>
      </c>
      <c r="M210" t="s">
        <v>1580</v>
      </c>
      <c r="Q210" t="s">
        <v>1794</v>
      </c>
      <c r="R210" t="s">
        <v>790</v>
      </c>
      <c r="W210" t="s">
        <v>780</v>
      </c>
      <c r="X210" t="s">
        <v>816</v>
      </c>
      <c r="Y210" t="s">
        <v>995</v>
      </c>
      <c r="Z210" s="31"/>
      <c r="AA210">
        <v>4327344</v>
      </c>
      <c r="AB210">
        <v>37442</v>
      </c>
      <c r="AC210">
        <v>42</v>
      </c>
      <c r="AD210" t="s">
        <v>44</v>
      </c>
      <c r="AE210" s="31">
        <v>45855</v>
      </c>
      <c r="AF210" s="61">
        <v>0.5997569444444445</v>
      </c>
      <c r="AH210" t="s">
        <v>818</v>
      </c>
      <c r="AI210" s="31">
        <v>45897</v>
      </c>
      <c r="AJ210" s="61">
        <v>0.63119212962962967</v>
      </c>
      <c r="AN210" t="s">
        <v>1893</v>
      </c>
      <c r="AP210" t="s">
        <v>1893</v>
      </c>
      <c r="AR210" s="31"/>
      <c r="AX210">
        <v>1</v>
      </c>
    </row>
    <row r="211" spans="1:50" x14ac:dyDescent="0.3">
      <c r="A211" t="s">
        <v>44</v>
      </c>
      <c r="B211">
        <v>494</v>
      </c>
      <c r="D211">
        <v>2354</v>
      </c>
      <c r="G211" t="s">
        <v>1894</v>
      </c>
      <c r="J211" t="s">
        <v>1895</v>
      </c>
      <c r="K211" t="s">
        <v>1579</v>
      </c>
      <c r="M211" t="s">
        <v>1580</v>
      </c>
      <c r="W211" t="s">
        <v>780</v>
      </c>
      <c r="X211" t="s">
        <v>816</v>
      </c>
      <c r="Y211" t="s">
        <v>995</v>
      </c>
      <c r="Z211" s="31"/>
      <c r="AA211">
        <v>1167696</v>
      </c>
      <c r="AB211">
        <v>0</v>
      </c>
      <c r="AC211">
        <v>42</v>
      </c>
      <c r="AD211" t="s">
        <v>44</v>
      </c>
      <c r="AE211" s="31">
        <v>45855</v>
      </c>
      <c r="AF211" s="61">
        <v>0.60982638888888885</v>
      </c>
      <c r="AH211" t="s">
        <v>818</v>
      </c>
      <c r="AI211" s="31">
        <v>45897</v>
      </c>
      <c r="AJ211" s="61">
        <v>0.63295138888888891</v>
      </c>
      <c r="AN211" t="s">
        <v>1893</v>
      </c>
      <c r="AP211" t="s">
        <v>1893</v>
      </c>
      <c r="AR211" s="31"/>
      <c r="AX211">
        <v>1</v>
      </c>
    </row>
    <row r="212" spans="1:50" x14ac:dyDescent="0.3">
      <c r="A212" t="s">
        <v>44</v>
      </c>
      <c r="B212">
        <v>495</v>
      </c>
      <c r="D212">
        <v>2356</v>
      </c>
      <c r="G212" t="s">
        <v>5512</v>
      </c>
      <c r="J212" t="s">
        <v>5513</v>
      </c>
      <c r="K212" t="s">
        <v>1898</v>
      </c>
      <c r="M212" t="s">
        <v>1899</v>
      </c>
      <c r="V212" t="s">
        <v>1718</v>
      </c>
      <c r="W212" t="s">
        <v>780</v>
      </c>
      <c r="X212" t="s">
        <v>807</v>
      </c>
      <c r="Z212" s="31"/>
      <c r="AA212">
        <v>16960</v>
      </c>
      <c r="AB212">
        <v>10748</v>
      </c>
      <c r="AC212">
        <v>67</v>
      </c>
      <c r="AD212" t="s">
        <v>44</v>
      </c>
      <c r="AE212" s="31">
        <v>45855</v>
      </c>
      <c r="AF212" s="61">
        <v>0.66787037037037034</v>
      </c>
      <c r="AH212" t="s">
        <v>795</v>
      </c>
      <c r="AI212" s="31">
        <v>45922</v>
      </c>
      <c r="AJ212" s="61">
        <v>0.48292824074074081</v>
      </c>
      <c r="AK212" t="s">
        <v>858</v>
      </c>
      <c r="AL212" t="s">
        <v>5514</v>
      </c>
      <c r="AN212" t="s">
        <v>1885</v>
      </c>
      <c r="AP212" t="s">
        <v>1885</v>
      </c>
      <c r="AQ212" t="s">
        <v>1901</v>
      </c>
      <c r="AR212" s="31"/>
      <c r="AX212">
        <v>1</v>
      </c>
    </row>
    <row r="213" spans="1:50" x14ac:dyDescent="0.3">
      <c r="A213" t="s">
        <v>44</v>
      </c>
      <c r="B213">
        <v>496</v>
      </c>
      <c r="D213">
        <v>2361</v>
      </c>
      <c r="E213" t="s">
        <v>1902</v>
      </c>
      <c r="F213" t="s">
        <v>1903</v>
      </c>
      <c r="G213" t="s">
        <v>1904</v>
      </c>
      <c r="H213">
        <v>60444098000521</v>
      </c>
      <c r="J213" t="s">
        <v>1903</v>
      </c>
      <c r="K213" t="s">
        <v>1905</v>
      </c>
      <c r="M213" t="s">
        <v>1906</v>
      </c>
      <c r="Q213" t="s">
        <v>1907</v>
      </c>
      <c r="R213" t="s">
        <v>790</v>
      </c>
      <c r="S213" t="s">
        <v>805</v>
      </c>
      <c r="V213" t="s">
        <v>1581</v>
      </c>
      <c r="W213" t="s">
        <v>780</v>
      </c>
      <c r="X213" t="s">
        <v>816</v>
      </c>
      <c r="Y213" t="s">
        <v>1537</v>
      </c>
      <c r="Z213" s="31">
        <v>46052</v>
      </c>
      <c r="AA213">
        <v>16960</v>
      </c>
      <c r="AB213">
        <v>37395</v>
      </c>
      <c r="AC213">
        <v>166</v>
      </c>
      <c r="AD213" t="s">
        <v>44</v>
      </c>
      <c r="AE213" s="31">
        <v>45861</v>
      </c>
      <c r="AF213" s="61">
        <v>0.49577546296296299</v>
      </c>
      <c r="AH213" t="s">
        <v>818</v>
      </c>
      <c r="AI213" s="31">
        <v>46027</v>
      </c>
      <c r="AJ213" s="61">
        <v>0.61862268518518515</v>
      </c>
      <c r="AN213" t="s">
        <v>1885</v>
      </c>
      <c r="AO213" t="s">
        <v>44</v>
      </c>
      <c r="AP213" t="s">
        <v>1908</v>
      </c>
      <c r="AQ213" t="s">
        <v>1885</v>
      </c>
      <c r="AR213" s="31">
        <v>46003</v>
      </c>
      <c r="AX213">
        <v>1</v>
      </c>
    </row>
    <row r="214" spans="1:50" x14ac:dyDescent="0.3">
      <c r="A214" t="s">
        <v>44</v>
      </c>
      <c r="B214">
        <v>497</v>
      </c>
      <c r="D214">
        <v>2363</v>
      </c>
      <c r="F214" t="s">
        <v>1909</v>
      </c>
      <c r="G214" t="s">
        <v>1910</v>
      </c>
      <c r="H214">
        <v>8306975000154</v>
      </c>
      <c r="J214" t="s">
        <v>1909</v>
      </c>
      <c r="K214" t="s">
        <v>1911</v>
      </c>
      <c r="Q214" t="s">
        <v>1912</v>
      </c>
      <c r="R214" t="s">
        <v>1027</v>
      </c>
      <c r="S214" t="s">
        <v>805</v>
      </c>
      <c r="W214" t="s">
        <v>780</v>
      </c>
      <c r="X214" t="s">
        <v>816</v>
      </c>
      <c r="Z214" s="31"/>
      <c r="AA214">
        <v>16960</v>
      </c>
      <c r="AB214">
        <v>2455</v>
      </c>
      <c r="AC214">
        <v>64</v>
      </c>
      <c r="AD214" t="s">
        <v>44</v>
      </c>
      <c r="AE214" s="31">
        <v>45861</v>
      </c>
      <c r="AF214" s="61">
        <v>0.50347222222222221</v>
      </c>
      <c r="AH214" t="s">
        <v>818</v>
      </c>
      <c r="AI214" s="31">
        <v>45925</v>
      </c>
      <c r="AJ214" s="61">
        <v>0.62386574074074075</v>
      </c>
      <c r="AN214" t="s">
        <v>1913</v>
      </c>
      <c r="AP214" t="s">
        <v>1908</v>
      </c>
      <c r="AQ214" t="s">
        <v>1913</v>
      </c>
      <c r="AR214" s="31"/>
      <c r="AX214">
        <v>1</v>
      </c>
    </row>
    <row r="215" spans="1:50" x14ac:dyDescent="0.3">
      <c r="A215" t="s">
        <v>44</v>
      </c>
      <c r="B215">
        <v>503</v>
      </c>
      <c r="D215">
        <v>2433</v>
      </c>
      <c r="G215" t="s">
        <v>5515</v>
      </c>
      <c r="H215">
        <v>46083438000181</v>
      </c>
      <c r="J215" t="s">
        <v>5516</v>
      </c>
      <c r="K215" t="s">
        <v>1916</v>
      </c>
      <c r="M215" t="s">
        <v>1917</v>
      </c>
      <c r="S215" t="s">
        <v>805</v>
      </c>
      <c r="W215" t="s">
        <v>780</v>
      </c>
      <c r="X215" t="s">
        <v>857</v>
      </c>
      <c r="Z215" s="31"/>
      <c r="AA215">
        <v>16960</v>
      </c>
      <c r="AB215">
        <v>998</v>
      </c>
      <c r="AC215">
        <v>29</v>
      </c>
      <c r="AD215" t="s">
        <v>44</v>
      </c>
      <c r="AE215" s="31">
        <v>45868</v>
      </c>
      <c r="AF215" s="61">
        <v>0.49329861111111112</v>
      </c>
      <c r="AH215" t="s">
        <v>795</v>
      </c>
      <c r="AI215" s="31">
        <v>45897</v>
      </c>
      <c r="AJ215" s="61">
        <v>0.69715277777777773</v>
      </c>
      <c r="AK215" t="s">
        <v>5338</v>
      </c>
      <c r="AL215" t="s">
        <v>1918</v>
      </c>
      <c r="AN215" t="s">
        <v>1919</v>
      </c>
      <c r="AP215" t="s">
        <v>1919</v>
      </c>
      <c r="AR215" s="31"/>
      <c r="AX215">
        <v>1</v>
      </c>
    </row>
    <row r="216" spans="1:50" x14ac:dyDescent="0.3">
      <c r="A216" t="s">
        <v>44</v>
      </c>
      <c r="B216">
        <v>504</v>
      </c>
      <c r="D216">
        <v>2434</v>
      </c>
      <c r="G216" t="s">
        <v>1920</v>
      </c>
      <c r="H216">
        <v>8306975000154</v>
      </c>
      <c r="J216" t="s">
        <v>1921</v>
      </c>
      <c r="K216" t="s">
        <v>1922</v>
      </c>
      <c r="Q216" t="s">
        <v>1912</v>
      </c>
      <c r="R216" t="s">
        <v>1027</v>
      </c>
      <c r="V216" t="s">
        <v>1419</v>
      </c>
      <c r="W216" t="s">
        <v>780</v>
      </c>
      <c r="X216" t="s">
        <v>807</v>
      </c>
      <c r="Z216" s="31"/>
      <c r="AA216">
        <v>87344</v>
      </c>
      <c r="AB216">
        <v>514788</v>
      </c>
      <c r="AC216">
        <v>41</v>
      </c>
      <c r="AD216" t="s">
        <v>44</v>
      </c>
      <c r="AE216" s="31">
        <v>45868</v>
      </c>
      <c r="AF216" s="61">
        <v>0.63407407407407412</v>
      </c>
      <c r="AH216" t="s">
        <v>795</v>
      </c>
      <c r="AI216" s="31">
        <v>45909</v>
      </c>
      <c r="AJ216" s="61">
        <v>0.64981481481481485</v>
      </c>
      <c r="AK216" t="s">
        <v>858</v>
      </c>
      <c r="AL216" t="s">
        <v>5517</v>
      </c>
      <c r="AN216" t="s">
        <v>1924</v>
      </c>
      <c r="AR216" s="31"/>
      <c r="AX216">
        <v>1</v>
      </c>
    </row>
    <row r="217" spans="1:50" x14ac:dyDescent="0.3">
      <c r="A217" t="s">
        <v>44</v>
      </c>
      <c r="B217">
        <v>505</v>
      </c>
      <c r="D217">
        <v>2436</v>
      </c>
      <c r="G217" t="s">
        <v>1925</v>
      </c>
      <c r="H217">
        <v>8306975000154</v>
      </c>
      <c r="J217" t="s">
        <v>1926</v>
      </c>
      <c r="K217" t="s">
        <v>1922</v>
      </c>
      <c r="Q217" t="s">
        <v>1912</v>
      </c>
      <c r="R217" t="s">
        <v>1027</v>
      </c>
      <c r="W217" t="s">
        <v>780</v>
      </c>
      <c r="X217" t="s">
        <v>857</v>
      </c>
      <c r="Z217" s="31"/>
      <c r="AA217">
        <v>1600</v>
      </c>
      <c r="AB217">
        <v>334556</v>
      </c>
      <c r="AC217">
        <v>30</v>
      </c>
      <c r="AD217" t="s">
        <v>44</v>
      </c>
      <c r="AE217" s="31">
        <v>45868</v>
      </c>
      <c r="AF217" s="61">
        <v>0.67164351851851856</v>
      </c>
      <c r="AH217" t="s">
        <v>795</v>
      </c>
      <c r="AI217" s="31">
        <v>45898</v>
      </c>
      <c r="AJ217" s="61">
        <v>0.65936342592592589</v>
      </c>
      <c r="AK217" t="s">
        <v>858</v>
      </c>
      <c r="AL217" t="s">
        <v>5518</v>
      </c>
      <c r="AN217" t="s">
        <v>1919</v>
      </c>
      <c r="AR217" s="31"/>
      <c r="AX217">
        <v>1</v>
      </c>
    </row>
    <row r="218" spans="1:50" x14ac:dyDescent="0.3">
      <c r="A218" t="s">
        <v>44</v>
      </c>
      <c r="B218">
        <v>506</v>
      </c>
      <c r="D218">
        <v>2439</v>
      </c>
      <c r="G218" t="s">
        <v>1928</v>
      </c>
      <c r="H218">
        <v>30924882000142</v>
      </c>
      <c r="J218" t="s">
        <v>1929</v>
      </c>
      <c r="M218" t="s">
        <v>1760</v>
      </c>
      <c r="S218" t="s">
        <v>805</v>
      </c>
      <c r="V218" t="s">
        <v>1704</v>
      </c>
      <c r="W218" t="s">
        <v>780</v>
      </c>
      <c r="X218" t="s">
        <v>816</v>
      </c>
      <c r="Z218" s="31"/>
      <c r="AA218">
        <v>72240</v>
      </c>
      <c r="AB218">
        <v>2167539</v>
      </c>
      <c r="AC218">
        <v>56</v>
      </c>
      <c r="AD218" t="s">
        <v>44</v>
      </c>
      <c r="AE218" s="31">
        <v>45868</v>
      </c>
      <c r="AF218" s="61">
        <v>0.68521990740740746</v>
      </c>
      <c r="AH218" t="s">
        <v>795</v>
      </c>
      <c r="AI218" s="31">
        <v>45924</v>
      </c>
      <c r="AJ218" s="61">
        <v>0.3992013888888889</v>
      </c>
      <c r="AK218" t="s">
        <v>858</v>
      </c>
      <c r="AL218" t="s">
        <v>5519</v>
      </c>
      <c r="AN218" t="s">
        <v>1919</v>
      </c>
      <c r="AR218" s="31"/>
      <c r="AX218">
        <v>1</v>
      </c>
    </row>
    <row r="219" spans="1:50" x14ac:dyDescent="0.3">
      <c r="A219" t="s">
        <v>44</v>
      </c>
      <c r="B219">
        <v>507</v>
      </c>
      <c r="D219">
        <v>2440</v>
      </c>
      <c r="G219" t="s">
        <v>1931</v>
      </c>
      <c r="H219">
        <v>30924882000142</v>
      </c>
      <c r="J219" t="s">
        <v>1932</v>
      </c>
      <c r="K219" t="s">
        <v>1759</v>
      </c>
      <c r="M219" t="s">
        <v>1933</v>
      </c>
      <c r="Q219" t="s">
        <v>1633</v>
      </c>
      <c r="R219" t="s">
        <v>848</v>
      </c>
      <c r="V219" t="s">
        <v>1581</v>
      </c>
      <c r="W219" t="s">
        <v>780</v>
      </c>
      <c r="X219" t="s">
        <v>816</v>
      </c>
      <c r="Z219" s="31"/>
      <c r="AA219">
        <v>1620001</v>
      </c>
      <c r="AB219">
        <v>2900</v>
      </c>
      <c r="AC219">
        <v>56</v>
      </c>
      <c r="AD219" t="s">
        <v>44</v>
      </c>
      <c r="AE219" s="31">
        <v>45868</v>
      </c>
      <c r="AF219" s="61">
        <v>0.72228009259259263</v>
      </c>
      <c r="AH219" t="s">
        <v>795</v>
      </c>
      <c r="AI219" s="31">
        <v>45924</v>
      </c>
      <c r="AJ219" s="61">
        <v>0.38725694444444442</v>
      </c>
      <c r="AK219" t="s">
        <v>858</v>
      </c>
      <c r="AL219" t="s">
        <v>5520</v>
      </c>
      <c r="AN219" t="s">
        <v>1919</v>
      </c>
      <c r="AR219" s="31"/>
      <c r="AX219">
        <v>1</v>
      </c>
    </row>
    <row r="220" spans="1:50" x14ac:dyDescent="0.3">
      <c r="A220" t="s">
        <v>44</v>
      </c>
      <c r="B220">
        <v>508</v>
      </c>
      <c r="D220">
        <v>2442</v>
      </c>
      <c r="G220" t="s">
        <v>1935</v>
      </c>
      <c r="J220" t="s">
        <v>5493</v>
      </c>
      <c r="K220" t="s">
        <v>1936</v>
      </c>
      <c r="M220" t="s">
        <v>1813</v>
      </c>
      <c r="W220" t="s">
        <v>780</v>
      </c>
      <c r="X220" t="s">
        <v>816</v>
      </c>
      <c r="Z220" s="31"/>
      <c r="AA220">
        <v>62169</v>
      </c>
      <c r="AB220">
        <v>0</v>
      </c>
      <c r="AC220">
        <v>53</v>
      </c>
      <c r="AD220" t="s">
        <v>44</v>
      </c>
      <c r="AE220" s="31">
        <v>45869</v>
      </c>
      <c r="AF220" s="61">
        <v>0.38049768518518517</v>
      </c>
      <c r="AH220" t="s">
        <v>818</v>
      </c>
      <c r="AI220" s="31">
        <v>45922</v>
      </c>
      <c r="AJ220" s="61">
        <v>0.44719907407407411</v>
      </c>
      <c r="AN220" t="s">
        <v>1937</v>
      </c>
      <c r="AP220" t="s">
        <v>1937</v>
      </c>
      <c r="AR220" s="31"/>
      <c r="AX220">
        <v>1</v>
      </c>
    </row>
    <row r="221" spans="1:50" x14ac:dyDescent="0.3">
      <c r="A221" t="s">
        <v>44</v>
      </c>
      <c r="B221">
        <v>509</v>
      </c>
      <c r="D221">
        <v>2443</v>
      </c>
      <c r="F221" t="s">
        <v>1938</v>
      </c>
      <c r="G221" t="s">
        <v>1939</v>
      </c>
      <c r="H221">
        <v>6346005000157</v>
      </c>
      <c r="J221" t="s">
        <v>1938</v>
      </c>
      <c r="K221" t="s">
        <v>1940</v>
      </c>
      <c r="M221" t="s">
        <v>1941</v>
      </c>
      <c r="Q221" t="s">
        <v>1942</v>
      </c>
      <c r="R221" t="s">
        <v>790</v>
      </c>
      <c r="S221" t="s">
        <v>805</v>
      </c>
      <c r="W221" t="s">
        <v>780</v>
      </c>
      <c r="X221" t="s">
        <v>857</v>
      </c>
      <c r="Z221" s="31"/>
      <c r="AA221">
        <v>16960</v>
      </c>
      <c r="AB221">
        <v>67275</v>
      </c>
      <c r="AC221">
        <v>28</v>
      </c>
      <c r="AD221" t="s">
        <v>44</v>
      </c>
      <c r="AE221" s="31">
        <v>45869</v>
      </c>
      <c r="AF221" s="61">
        <v>0.49811342592592589</v>
      </c>
      <c r="AH221" t="s">
        <v>795</v>
      </c>
      <c r="AI221" s="31">
        <v>45897</v>
      </c>
      <c r="AJ221" s="61">
        <v>0.68432870370370369</v>
      </c>
      <c r="AK221" t="s">
        <v>5347</v>
      </c>
      <c r="AL221" t="s">
        <v>5521</v>
      </c>
      <c r="AN221" t="s">
        <v>1944</v>
      </c>
      <c r="AP221" t="s">
        <v>1944</v>
      </c>
      <c r="AQ221" t="s">
        <v>1945</v>
      </c>
      <c r="AR221" s="31"/>
      <c r="AX221">
        <v>1</v>
      </c>
    </row>
    <row r="222" spans="1:50" x14ac:dyDescent="0.3">
      <c r="A222" t="s">
        <v>44</v>
      </c>
      <c r="B222">
        <v>510</v>
      </c>
      <c r="D222">
        <v>2446</v>
      </c>
      <c r="F222" t="s">
        <v>1946</v>
      </c>
      <c r="G222" t="s">
        <v>1947</v>
      </c>
      <c r="H222">
        <v>60315995000101</v>
      </c>
      <c r="J222" t="s">
        <v>1946</v>
      </c>
      <c r="K222" t="s">
        <v>1948</v>
      </c>
      <c r="M222" t="s">
        <v>1949</v>
      </c>
      <c r="Q222" t="s">
        <v>1950</v>
      </c>
      <c r="R222" t="s">
        <v>790</v>
      </c>
      <c r="S222" t="s">
        <v>805</v>
      </c>
      <c r="W222" t="s">
        <v>780</v>
      </c>
      <c r="X222" t="s">
        <v>857</v>
      </c>
      <c r="Z222" s="31"/>
      <c r="AA222">
        <v>94976</v>
      </c>
      <c r="AB222">
        <v>566152</v>
      </c>
      <c r="AC222">
        <v>29</v>
      </c>
      <c r="AD222" t="s">
        <v>44</v>
      </c>
      <c r="AE222" s="31">
        <v>45869</v>
      </c>
      <c r="AF222" s="61">
        <v>0.71494212962962966</v>
      </c>
      <c r="AH222" t="s">
        <v>795</v>
      </c>
      <c r="AI222" s="31">
        <v>45898</v>
      </c>
      <c r="AJ222" s="61">
        <v>0.46232638888888888</v>
      </c>
      <c r="AK222" t="s">
        <v>5338</v>
      </c>
      <c r="AL222" t="s">
        <v>1951</v>
      </c>
      <c r="AN222" t="s">
        <v>1952</v>
      </c>
      <c r="AP222" t="s">
        <v>1952</v>
      </c>
      <c r="AQ222" t="s">
        <v>1953</v>
      </c>
      <c r="AR222" s="31"/>
      <c r="AX222">
        <v>1</v>
      </c>
    </row>
    <row r="223" spans="1:50" x14ac:dyDescent="0.3">
      <c r="A223" t="s">
        <v>22</v>
      </c>
      <c r="B223">
        <v>516</v>
      </c>
      <c r="D223">
        <v>2454</v>
      </c>
      <c r="G223" t="s">
        <v>1954</v>
      </c>
      <c r="H223">
        <v>72677693000162</v>
      </c>
      <c r="J223" t="s">
        <v>1955</v>
      </c>
      <c r="K223" t="s">
        <v>1956</v>
      </c>
      <c r="M223" t="s">
        <v>1957</v>
      </c>
      <c r="Q223" t="s">
        <v>1958</v>
      </c>
      <c r="S223" t="s">
        <v>814</v>
      </c>
      <c r="V223" t="s">
        <v>1186</v>
      </c>
      <c r="W223" t="s">
        <v>780</v>
      </c>
      <c r="X223" t="s">
        <v>807</v>
      </c>
      <c r="Z223" s="31"/>
      <c r="AC223">
        <v>53</v>
      </c>
      <c r="AD223" t="s">
        <v>22</v>
      </c>
      <c r="AE223" s="31">
        <v>45876</v>
      </c>
      <c r="AF223" s="61">
        <v>0.50568287037037041</v>
      </c>
      <c r="AH223" t="s">
        <v>795</v>
      </c>
      <c r="AI223" s="31">
        <v>45929</v>
      </c>
      <c r="AJ223" s="61">
        <v>0.69144675925925925</v>
      </c>
      <c r="AK223" t="s">
        <v>5338</v>
      </c>
      <c r="AO223" t="s">
        <v>22</v>
      </c>
      <c r="AP223" t="s">
        <v>1959</v>
      </c>
      <c r="AR223" s="31"/>
      <c r="AX223">
        <v>1</v>
      </c>
    </row>
    <row r="224" spans="1:50" x14ac:dyDescent="0.3">
      <c r="A224" t="s">
        <v>22</v>
      </c>
      <c r="B224">
        <v>517</v>
      </c>
      <c r="D224">
        <v>2453</v>
      </c>
      <c r="G224" t="s">
        <v>1960</v>
      </c>
      <c r="H224">
        <v>38470026000176</v>
      </c>
      <c r="J224" t="s">
        <v>1961</v>
      </c>
      <c r="K224" t="s">
        <v>1962</v>
      </c>
      <c r="M224" t="s">
        <v>1963</v>
      </c>
      <c r="Q224" t="s">
        <v>923</v>
      </c>
      <c r="S224" t="s">
        <v>814</v>
      </c>
      <c r="W224" t="s">
        <v>780</v>
      </c>
      <c r="X224" t="s">
        <v>897</v>
      </c>
      <c r="Z224" s="31"/>
      <c r="AC224">
        <v>53</v>
      </c>
      <c r="AD224" t="s">
        <v>22</v>
      </c>
      <c r="AE224" s="31">
        <v>45876</v>
      </c>
      <c r="AF224" s="61">
        <v>0.50621527777777775</v>
      </c>
      <c r="AH224" t="s">
        <v>795</v>
      </c>
      <c r="AI224" s="31">
        <v>45929</v>
      </c>
      <c r="AJ224" s="61">
        <v>0.69302083333333331</v>
      </c>
      <c r="AK224" t="s">
        <v>5338</v>
      </c>
      <c r="AO224" t="s">
        <v>22</v>
      </c>
      <c r="AR224" s="31"/>
      <c r="AX224">
        <v>1</v>
      </c>
    </row>
    <row r="225" spans="1:50" x14ac:dyDescent="0.3">
      <c r="A225" t="s">
        <v>22</v>
      </c>
      <c r="B225">
        <v>518</v>
      </c>
      <c r="D225">
        <v>2456</v>
      </c>
      <c r="E225" t="s">
        <v>5522</v>
      </c>
      <c r="G225" t="s">
        <v>5523</v>
      </c>
      <c r="H225">
        <v>30340720000167</v>
      </c>
      <c r="J225" t="s">
        <v>1499</v>
      </c>
      <c r="K225" t="s">
        <v>1967</v>
      </c>
      <c r="M225" t="s">
        <v>1968</v>
      </c>
      <c r="S225" t="s">
        <v>791</v>
      </c>
      <c r="V225" t="s">
        <v>1581</v>
      </c>
      <c r="W225" t="s">
        <v>780</v>
      </c>
      <c r="X225" t="s">
        <v>816</v>
      </c>
      <c r="Z225" s="31">
        <v>46112</v>
      </c>
      <c r="AA225">
        <v>27340</v>
      </c>
      <c r="AB225">
        <v>32992</v>
      </c>
      <c r="AC225">
        <v>246</v>
      </c>
      <c r="AD225" t="s">
        <v>22</v>
      </c>
      <c r="AE225" s="31">
        <v>45876</v>
      </c>
      <c r="AF225" s="61">
        <v>0.58170138888888889</v>
      </c>
      <c r="AH225" t="s">
        <v>795</v>
      </c>
      <c r="AI225" s="31">
        <v>46122</v>
      </c>
      <c r="AJ225" s="61">
        <v>0.70623842592592589</v>
      </c>
      <c r="AK225" t="s">
        <v>5338</v>
      </c>
      <c r="AN225" t="s">
        <v>4706</v>
      </c>
      <c r="AO225" t="s">
        <v>22</v>
      </c>
      <c r="AP225" t="s">
        <v>4603</v>
      </c>
      <c r="AR225" s="31">
        <v>46122</v>
      </c>
      <c r="AS225">
        <v>90</v>
      </c>
      <c r="AT225" t="s">
        <v>1012</v>
      </c>
      <c r="AU225" t="s">
        <v>4707</v>
      </c>
      <c r="AV225" t="s">
        <v>1971</v>
      </c>
      <c r="AW225" t="s">
        <v>1972</v>
      </c>
      <c r="AX225">
        <v>1</v>
      </c>
    </row>
    <row r="226" spans="1:50" x14ac:dyDescent="0.3">
      <c r="A226" t="s">
        <v>22</v>
      </c>
      <c r="B226">
        <v>519</v>
      </c>
      <c r="D226">
        <v>2457</v>
      </c>
      <c r="G226" t="s">
        <v>1973</v>
      </c>
      <c r="J226" t="s">
        <v>1974</v>
      </c>
      <c r="K226" t="s">
        <v>1975</v>
      </c>
      <c r="M226" t="s">
        <v>1976</v>
      </c>
      <c r="W226" t="s">
        <v>780</v>
      </c>
      <c r="X226" t="s">
        <v>807</v>
      </c>
      <c r="Z226" s="31"/>
      <c r="AC226">
        <v>34</v>
      </c>
      <c r="AD226" t="s">
        <v>22</v>
      </c>
      <c r="AE226" s="31">
        <v>45876</v>
      </c>
      <c r="AF226" s="61">
        <v>0.58745370370370376</v>
      </c>
      <c r="AH226" t="s">
        <v>795</v>
      </c>
      <c r="AI226" s="31">
        <v>45910</v>
      </c>
      <c r="AJ226" s="61">
        <v>0.67646990740740742</v>
      </c>
      <c r="AK226" t="s">
        <v>5347</v>
      </c>
      <c r="AN226" t="s">
        <v>1944</v>
      </c>
      <c r="AO226" t="s">
        <v>22</v>
      </c>
      <c r="AP226" t="s">
        <v>1959</v>
      </c>
      <c r="AR226" s="31"/>
      <c r="AX226">
        <v>1</v>
      </c>
    </row>
    <row r="227" spans="1:50" x14ac:dyDescent="0.3">
      <c r="A227" t="s">
        <v>22</v>
      </c>
      <c r="B227">
        <v>521</v>
      </c>
      <c r="D227">
        <v>2459</v>
      </c>
      <c r="G227" t="s">
        <v>1977</v>
      </c>
      <c r="H227">
        <v>7380599000428</v>
      </c>
      <c r="J227" t="s">
        <v>1978</v>
      </c>
      <c r="K227" t="s">
        <v>1979</v>
      </c>
      <c r="M227" t="s">
        <v>1980</v>
      </c>
      <c r="W227" t="s">
        <v>780</v>
      </c>
      <c r="X227" t="s">
        <v>816</v>
      </c>
      <c r="Z227" s="31"/>
      <c r="AA227">
        <v>55500</v>
      </c>
      <c r="AB227">
        <v>53662</v>
      </c>
      <c r="AC227">
        <v>17</v>
      </c>
      <c r="AD227" t="s">
        <v>22</v>
      </c>
      <c r="AE227" s="31">
        <v>45877</v>
      </c>
      <c r="AF227" s="61">
        <v>0.49023148148148149</v>
      </c>
      <c r="AH227" t="s">
        <v>818</v>
      </c>
      <c r="AI227" s="31">
        <v>45894</v>
      </c>
      <c r="AJ227" s="61">
        <v>0.60188657407407409</v>
      </c>
      <c r="AN227" t="s">
        <v>1981</v>
      </c>
      <c r="AO227" t="s">
        <v>22</v>
      </c>
      <c r="AP227" t="s">
        <v>1981</v>
      </c>
      <c r="AR227" s="31"/>
      <c r="AX227">
        <v>1</v>
      </c>
    </row>
    <row r="228" spans="1:50" x14ac:dyDescent="0.3">
      <c r="A228" t="s">
        <v>31</v>
      </c>
      <c r="B228">
        <v>531</v>
      </c>
      <c r="D228">
        <v>2475</v>
      </c>
      <c r="G228" t="s">
        <v>1982</v>
      </c>
      <c r="H228">
        <v>19733550000148</v>
      </c>
      <c r="J228" t="s">
        <v>1983</v>
      </c>
      <c r="K228" t="s">
        <v>1984</v>
      </c>
      <c r="M228" t="s">
        <v>1985</v>
      </c>
      <c r="Q228" t="s">
        <v>1986</v>
      </c>
      <c r="R228" t="s">
        <v>790</v>
      </c>
      <c r="W228" t="s">
        <v>780</v>
      </c>
      <c r="X228" t="s">
        <v>807</v>
      </c>
      <c r="Z228" s="31"/>
      <c r="AA228">
        <v>84420</v>
      </c>
      <c r="AB228">
        <v>4137</v>
      </c>
      <c r="AC228">
        <v>34</v>
      </c>
      <c r="AD228" t="s">
        <v>31</v>
      </c>
      <c r="AE228" s="31">
        <v>45889</v>
      </c>
      <c r="AF228" s="61">
        <v>0.38679398148148147</v>
      </c>
      <c r="AH228" t="s">
        <v>795</v>
      </c>
      <c r="AI228" s="31">
        <v>45923</v>
      </c>
      <c r="AJ228" s="61">
        <v>0.46545138888888887</v>
      </c>
      <c r="AK228" t="s">
        <v>5347</v>
      </c>
      <c r="AN228" t="s">
        <v>1987</v>
      </c>
      <c r="AP228" t="s">
        <v>1913</v>
      </c>
      <c r="AR228" s="31"/>
      <c r="AX228">
        <v>1</v>
      </c>
    </row>
    <row r="229" spans="1:50" x14ac:dyDescent="0.3">
      <c r="A229" t="s">
        <v>44</v>
      </c>
      <c r="B229">
        <v>532</v>
      </c>
      <c r="D229">
        <v>2478</v>
      </c>
      <c r="F229" t="s">
        <v>1988</v>
      </c>
      <c r="G229" t="s">
        <v>1989</v>
      </c>
      <c r="H229">
        <v>12902777000120</v>
      </c>
      <c r="J229" t="s">
        <v>1988</v>
      </c>
      <c r="K229" t="s">
        <v>1990</v>
      </c>
      <c r="M229" t="s">
        <v>1991</v>
      </c>
      <c r="Q229" t="s">
        <v>1950</v>
      </c>
      <c r="R229" t="s">
        <v>790</v>
      </c>
      <c r="S229" t="s">
        <v>805</v>
      </c>
      <c r="W229" t="s">
        <v>780</v>
      </c>
      <c r="X229" t="s">
        <v>857</v>
      </c>
      <c r="Z229" s="31"/>
      <c r="AA229">
        <v>16960</v>
      </c>
      <c r="AB229">
        <v>4910</v>
      </c>
      <c r="AC229">
        <v>69</v>
      </c>
      <c r="AD229" t="s">
        <v>44</v>
      </c>
      <c r="AE229" s="31">
        <v>45889</v>
      </c>
      <c r="AF229" s="61">
        <v>0.41239583333333341</v>
      </c>
      <c r="AH229" t="s">
        <v>795</v>
      </c>
      <c r="AI229" s="31">
        <v>45958</v>
      </c>
      <c r="AJ229" s="61">
        <v>0.43328703703703703</v>
      </c>
      <c r="AK229" t="s">
        <v>5338</v>
      </c>
      <c r="AL229" t="s">
        <v>1992</v>
      </c>
      <c r="AN229" t="s">
        <v>1913</v>
      </c>
      <c r="AP229" t="s">
        <v>1993</v>
      </c>
      <c r="AR229" s="31"/>
      <c r="AX229">
        <v>1</v>
      </c>
    </row>
    <row r="230" spans="1:50" x14ac:dyDescent="0.3">
      <c r="A230" t="s">
        <v>44</v>
      </c>
      <c r="B230">
        <v>534</v>
      </c>
      <c r="D230">
        <v>2481</v>
      </c>
      <c r="F230" t="s">
        <v>1994</v>
      </c>
      <c r="G230" t="s">
        <v>1995</v>
      </c>
      <c r="H230">
        <v>12589391000291</v>
      </c>
      <c r="J230" t="s">
        <v>1994</v>
      </c>
      <c r="K230" t="s">
        <v>1996</v>
      </c>
      <c r="M230" t="s">
        <v>1997</v>
      </c>
      <c r="Q230" t="s">
        <v>1998</v>
      </c>
      <c r="R230" t="s">
        <v>790</v>
      </c>
      <c r="S230" t="s">
        <v>805</v>
      </c>
      <c r="V230" t="s">
        <v>5524</v>
      </c>
      <c r="W230" t="s">
        <v>780</v>
      </c>
      <c r="X230" t="s">
        <v>857</v>
      </c>
      <c r="Z230" s="31"/>
      <c r="AA230">
        <v>16960</v>
      </c>
      <c r="AB230">
        <v>56568</v>
      </c>
      <c r="AC230">
        <v>20</v>
      </c>
      <c r="AD230" t="s">
        <v>44</v>
      </c>
      <c r="AE230" s="31">
        <v>45889</v>
      </c>
      <c r="AF230" s="61">
        <v>0.41663194444444451</v>
      </c>
      <c r="AH230" t="s">
        <v>795</v>
      </c>
      <c r="AI230" s="31">
        <v>45909</v>
      </c>
      <c r="AJ230" s="61">
        <v>0.6489583333333333</v>
      </c>
      <c r="AK230" t="s">
        <v>858</v>
      </c>
      <c r="AL230" t="s">
        <v>5525</v>
      </c>
      <c r="AN230" t="s">
        <v>2001</v>
      </c>
      <c r="AP230" t="s">
        <v>2002</v>
      </c>
      <c r="AR230" s="31"/>
      <c r="AX230">
        <v>1</v>
      </c>
    </row>
    <row r="231" spans="1:50" x14ac:dyDescent="0.3">
      <c r="A231" t="s">
        <v>44</v>
      </c>
      <c r="B231">
        <v>537</v>
      </c>
      <c r="D231">
        <v>2486</v>
      </c>
      <c r="E231" t="s">
        <v>2003</v>
      </c>
      <c r="G231" t="s">
        <v>2004</v>
      </c>
      <c r="H231">
        <v>4049280000183</v>
      </c>
      <c r="J231" t="s">
        <v>2005</v>
      </c>
      <c r="K231" t="s">
        <v>2006</v>
      </c>
      <c r="M231" t="s">
        <v>2007</v>
      </c>
      <c r="Q231" t="s">
        <v>1596</v>
      </c>
      <c r="R231" t="s">
        <v>790</v>
      </c>
      <c r="V231" t="s">
        <v>1704</v>
      </c>
      <c r="W231" t="s">
        <v>780</v>
      </c>
      <c r="X231" t="s">
        <v>816</v>
      </c>
      <c r="Z231" s="31">
        <v>46038</v>
      </c>
      <c r="AA231">
        <v>51300</v>
      </c>
      <c r="AB231">
        <v>17345</v>
      </c>
      <c r="AC231">
        <v>160</v>
      </c>
      <c r="AD231" t="s">
        <v>44</v>
      </c>
      <c r="AE231" s="31">
        <v>45889</v>
      </c>
      <c r="AF231" s="61">
        <v>0.44634259259259262</v>
      </c>
      <c r="AH231" t="s">
        <v>818</v>
      </c>
      <c r="AI231" s="31">
        <v>46049</v>
      </c>
      <c r="AJ231" s="61">
        <v>0.70980324074074075</v>
      </c>
      <c r="AM231" t="s">
        <v>2008</v>
      </c>
      <c r="AN231" t="s">
        <v>2008</v>
      </c>
      <c r="AO231" t="s">
        <v>44</v>
      </c>
      <c r="AP231" t="s">
        <v>2009</v>
      </c>
      <c r="AR231" s="31">
        <v>46028</v>
      </c>
      <c r="AX231">
        <v>1</v>
      </c>
    </row>
    <row r="232" spans="1:50" x14ac:dyDescent="0.3">
      <c r="A232" t="s">
        <v>44</v>
      </c>
      <c r="B232">
        <v>539</v>
      </c>
      <c r="D232">
        <v>2490</v>
      </c>
      <c r="F232" t="s">
        <v>2010</v>
      </c>
      <c r="G232" t="s">
        <v>2011</v>
      </c>
      <c r="H232">
        <v>39679781000128</v>
      </c>
      <c r="J232" t="s">
        <v>2010</v>
      </c>
      <c r="K232" t="s">
        <v>2012</v>
      </c>
      <c r="M232" t="s">
        <v>2013</v>
      </c>
      <c r="Q232" t="s">
        <v>1094</v>
      </c>
      <c r="R232" t="s">
        <v>790</v>
      </c>
      <c r="S232" t="s">
        <v>805</v>
      </c>
      <c r="W232" t="s">
        <v>780</v>
      </c>
      <c r="X232" t="s">
        <v>857</v>
      </c>
      <c r="Z232" s="31"/>
      <c r="AA232">
        <v>67840</v>
      </c>
      <c r="AB232">
        <v>13781</v>
      </c>
      <c r="AC232">
        <v>69</v>
      </c>
      <c r="AD232" t="s">
        <v>44</v>
      </c>
      <c r="AE232" s="31">
        <v>45889</v>
      </c>
      <c r="AF232" s="61">
        <v>0.46962962962962962</v>
      </c>
      <c r="AH232" t="s">
        <v>795</v>
      </c>
      <c r="AI232" s="31">
        <v>45958</v>
      </c>
      <c r="AJ232" s="61">
        <v>0.43357638888888889</v>
      </c>
      <c r="AK232" t="s">
        <v>858</v>
      </c>
      <c r="AL232" t="s">
        <v>5352</v>
      </c>
      <c r="AN232" t="s">
        <v>2002</v>
      </c>
      <c r="AR232" s="31"/>
      <c r="AX232">
        <v>1</v>
      </c>
    </row>
    <row r="233" spans="1:50" x14ac:dyDescent="0.3">
      <c r="A233" t="s">
        <v>44</v>
      </c>
      <c r="B233">
        <v>540</v>
      </c>
      <c r="D233">
        <v>2493</v>
      </c>
      <c r="F233" t="s">
        <v>2014</v>
      </c>
      <c r="G233" t="s">
        <v>2015</v>
      </c>
      <c r="H233">
        <v>43066372000204</v>
      </c>
      <c r="J233" t="s">
        <v>2014</v>
      </c>
      <c r="K233" t="s">
        <v>2016</v>
      </c>
      <c r="M233" t="s">
        <v>2017</v>
      </c>
      <c r="Q233" t="s">
        <v>2018</v>
      </c>
      <c r="R233" t="s">
        <v>790</v>
      </c>
      <c r="S233" t="s">
        <v>805</v>
      </c>
      <c r="W233" t="s">
        <v>780</v>
      </c>
      <c r="X233" t="s">
        <v>857</v>
      </c>
      <c r="Z233" s="31"/>
      <c r="AA233">
        <v>16960</v>
      </c>
      <c r="AB233">
        <v>37712</v>
      </c>
      <c r="AC233">
        <v>71</v>
      </c>
      <c r="AD233" t="s">
        <v>44</v>
      </c>
      <c r="AE233" s="31">
        <v>45889</v>
      </c>
      <c r="AF233" s="61">
        <v>0.4788310185185185</v>
      </c>
      <c r="AH233" t="s">
        <v>795</v>
      </c>
      <c r="AI233" s="31">
        <v>45960</v>
      </c>
      <c r="AJ233" s="61">
        <v>0.42280092592592589</v>
      </c>
      <c r="AK233" t="s">
        <v>5338</v>
      </c>
      <c r="AL233" t="s">
        <v>5526</v>
      </c>
      <c r="AN233" t="s">
        <v>2020</v>
      </c>
      <c r="AP233" t="s">
        <v>2021</v>
      </c>
      <c r="AR233" s="31"/>
      <c r="AX233">
        <v>1</v>
      </c>
    </row>
    <row r="234" spans="1:50" x14ac:dyDescent="0.3">
      <c r="A234" t="s">
        <v>44</v>
      </c>
      <c r="B234">
        <v>542</v>
      </c>
      <c r="D234">
        <v>2496</v>
      </c>
      <c r="G234" t="s">
        <v>5527</v>
      </c>
      <c r="H234">
        <v>1715468000125</v>
      </c>
      <c r="J234" t="s">
        <v>2023</v>
      </c>
      <c r="K234" t="s">
        <v>2024</v>
      </c>
      <c r="M234" t="s">
        <v>2025</v>
      </c>
      <c r="Q234" t="s">
        <v>2026</v>
      </c>
      <c r="R234" t="s">
        <v>1105</v>
      </c>
      <c r="V234" t="s">
        <v>1718</v>
      </c>
      <c r="W234" t="s">
        <v>780</v>
      </c>
      <c r="X234" t="s">
        <v>793</v>
      </c>
      <c r="Z234" s="31"/>
      <c r="AA234">
        <v>212</v>
      </c>
      <c r="AB234">
        <v>69045</v>
      </c>
      <c r="AC234">
        <v>41</v>
      </c>
      <c r="AD234" t="s">
        <v>44</v>
      </c>
      <c r="AE234" s="31">
        <v>45890</v>
      </c>
      <c r="AF234" s="61">
        <v>0.39834490740740741</v>
      </c>
      <c r="AH234" t="s">
        <v>795</v>
      </c>
      <c r="AI234" s="31">
        <v>45931</v>
      </c>
      <c r="AJ234" s="61">
        <v>0.66620370370370374</v>
      </c>
      <c r="AK234" t="s">
        <v>5353</v>
      </c>
      <c r="AL234" t="s">
        <v>5528</v>
      </c>
      <c r="AN234" t="s">
        <v>2002</v>
      </c>
      <c r="AP234" t="s">
        <v>2002</v>
      </c>
      <c r="AQ234" t="s">
        <v>2028</v>
      </c>
      <c r="AR234" s="31"/>
      <c r="AX234">
        <v>1</v>
      </c>
    </row>
    <row r="235" spans="1:50" x14ac:dyDescent="0.3">
      <c r="A235" t="s">
        <v>22</v>
      </c>
      <c r="B235">
        <v>545</v>
      </c>
      <c r="D235">
        <v>2464</v>
      </c>
      <c r="G235" t="s">
        <v>2029</v>
      </c>
      <c r="J235" t="s">
        <v>914</v>
      </c>
      <c r="K235" t="s">
        <v>2030</v>
      </c>
      <c r="M235" t="s">
        <v>2031</v>
      </c>
      <c r="Q235" t="s">
        <v>923</v>
      </c>
      <c r="S235" t="s">
        <v>814</v>
      </c>
      <c r="W235" t="s">
        <v>780</v>
      </c>
      <c r="X235" t="s">
        <v>793</v>
      </c>
      <c r="Z235" s="31"/>
      <c r="AA235">
        <v>47500</v>
      </c>
      <c r="AB235">
        <v>28571</v>
      </c>
      <c r="AC235">
        <v>3</v>
      </c>
      <c r="AD235" t="s">
        <v>22</v>
      </c>
      <c r="AE235" s="31">
        <v>45891</v>
      </c>
      <c r="AF235" s="61">
        <v>0.68766203703703699</v>
      </c>
      <c r="AH235" t="s">
        <v>795</v>
      </c>
      <c r="AI235" s="31">
        <v>45894</v>
      </c>
      <c r="AJ235" s="61">
        <v>0.61422453703703705</v>
      </c>
      <c r="AK235" t="s">
        <v>5347</v>
      </c>
      <c r="AN235" t="s">
        <v>1944</v>
      </c>
      <c r="AO235" t="s">
        <v>22</v>
      </c>
      <c r="AP235" t="s">
        <v>1913</v>
      </c>
      <c r="AR235" s="31"/>
      <c r="AX235">
        <v>1</v>
      </c>
    </row>
    <row r="236" spans="1:50" x14ac:dyDescent="0.3">
      <c r="A236" t="s">
        <v>22</v>
      </c>
      <c r="B236">
        <v>546</v>
      </c>
      <c r="D236">
        <v>2463</v>
      </c>
      <c r="G236" t="s">
        <v>2032</v>
      </c>
      <c r="H236">
        <v>27616615000101</v>
      </c>
      <c r="J236" t="s">
        <v>2033</v>
      </c>
      <c r="K236" t="s">
        <v>2034</v>
      </c>
      <c r="M236" t="s">
        <v>2035</v>
      </c>
      <c r="Q236" t="s">
        <v>2036</v>
      </c>
      <c r="S236" t="s">
        <v>814</v>
      </c>
      <c r="V236" t="s">
        <v>1198</v>
      </c>
      <c r="W236" t="s">
        <v>780</v>
      </c>
      <c r="X236" t="s">
        <v>807</v>
      </c>
      <c r="Z236" s="31"/>
      <c r="AA236">
        <v>56000</v>
      </c>
      <c r="AB236">
        <v>340834</v>
      </c>
      <c r="AC236">
        <v>38</v>
      </c>
      <c r="AD236" t="s">
        <v>22</v>
      </c>
      <c r="AE236" s="31">
        <v>45891</v>
      </c>
      <c r="AF236" s="61">
        <v>0.68803240740740745</v>
      </c>
      <c r="AH236" t="s">
        <v>795</v>
      </c>
      <c r="AI236" s="31">
        <v>45929</v>
      </c>
      <c r="AJ236" s="61">
        <v>0.69619212962962962</v>
      </c>
      <c r="AK236" t="s">
        <v>5338</v>
      </c>
      <c r="AN236" t="s">
        <v>2037</v>
      </c>
      <c r="AO236" t="s">
        <v>22</v>
      </c>
      <c r="AP236" t="s">
        <v>2037</v>
      </c>
      <c r="AR236" s="31"/>
      <c r="AX236">
        <v>1</v>
      </c>
    </row>
    <row r="237" spans="1:50" x14ac:dyDescent="0.3">
      <c r="A237" t="s">
        <v>22</v>
      </c>
      <c r="B237">
        <v>550</v>
      </c>
      <c r="D237">
        <v>2506</v>
      </c>
      <c r="G237" t="s">
        <v>2038</v>
      </c>
      <c r="H237">
        <v>7225431000103</v>
      </c>
      <c r="J237" t="s">
        <v>2039</v>
      </c>
      <c r="K237" t="s">
        <v>2040</v>
      </c>
      <c r="M237" t="s">
        <v>2041</v>
      </c>
      <c r="W237" t="s">
        <v>780</v>
      </c>
      <c r="X237" t="s">
        <v>807</v>
      </c>
      <c r="Z237" s="31"/>
      <c r="AA237">
        <v>519984</v>
      </c>
      <c r="AB237">
        <v>15378</v>
      </c>
      <c r="AC237">
        <v>0</v>
      </c>
      <c r="AD237" t="s">
        <v>22</v>
      </c>
      <c r="AE237" s="31">
        <v>45894</v>
      </c>
      <c r="AF237" s="61">
        <v>0.60456018518518517</v>
      </c>
      <c r="AH237" t="s">
        <v>795</v>
      </c>
      <c r="AI237" s="31">
        <v>45894</v>
      </c>
      <c r="AJ237" s="61">
        <v>0.60668981481481477</v>
      </c>
      <c r="AK237" t="s">
        <v>5347</v>
      </c>
      <c r="AN237" t="s">
        <v>2042</v>
      </c>
      <c r="AO237" t="s">
        <v>22</v>
      </c>
      <c r="AP237" t="s">
        <v>2042</v>
      </c>
      <c r="AR237" s="31"/>
      <c r="AX237">
        <v>1</v>
      </c>
    </row>
    <row r="238" spans="1:50" x14ac:dyDescent="0.3">
      <c r="A238" t="s">
        <v>22</v>
      </c>
      <c r="B238">
        <v>552</v>
      </c>
      <c r="D238">
        <v>2508</v>
      </c>
      <c r="E238" t="s">
        <v>2043</v>
      </c>
      <c r="G238" t="s">
        <v>2044</v>
      </c>
      <c r="H238">
        <v>17739326000138</v>
      </c>
      <c r="J238" t="s">
        <v>2045</v>
      </c>
      <c r="K238" t="s">
        <v>2046</v>
      </c>
      <c r="M238" t="s">
        <v>2047</v>
      </c>
      <c r="V238" t="s">
        <v>1718</v>
      </c>
      <c r="W238" t="s">
        <v>780</v>
      </c>
      <c r="X238" t="s">
        <v>807</v>
      </c>
      <c r="Z238" s="31">
        <v>46044</v>
      </c>
      <c r="AA238">
        <v>15359994</v>
      </c>
      <c r="AB238">
        <v>924744</v>
      </c>
      <c r="AC238">
        <v>151</v>
      </c>
      <c r="AD238" t="s">
        <v>22</v>
      </c>
      <c r="AE238" s="31">
        <v>45894</v>
      </c>
      <c r="AF238" s="61">
        <v>0.61782407407407403</v>
      </c>
      <c r="AH238" t="s">
        <v>795</v>
      </c>
      <c r="AI238" s="31">
        <v>46045</v>
      </c>
      <c r="AJ238" s="61">
        <v>0.46665509259259258</v>
      </c>
      <c r="AK238" t="s">
        <v>858</v>
      </c>
      <c r="AN238" t="s">
        <v>2048</v>
      </c>
      <c r="AO238" t="s">
        <v>22</v>
      </c>
      <c r="AP238" t="s">
        <v>2048</v>
      </c>
      <c r="AR238" s="31">
        <v>46044</v>
      </c>
      <c r="AX238">
        <v>1</v>
      </c>
    </row>
    <row r="239" spans="1:50" x14ac:dyDescent="0.3">
      <c r="A239" t="s">
        <v>22</v>
      </c>
      <c r="B239">
        <v>553</v>
      </c>
      <c r="D239">
        <v>2509</v>
      </c>
      <c r="G239" t="s">
        <v>2049</v>
      </c>
      <c r="J239" t="s">
        <v>2050</v>
      </c>
      <c r="K239" t="s">
        <v>2051</v>
      </c>
      <c r="M239" t="s">
        <v>1111</v>
      </c>
      <c r="W239" t="s">
        <v>780</v>
      </c>
      <c r="X239" t="s">
        <v>816</v>
      </c>
      <c r="Z239" s="31"/>
      <c r="AA239">
        <v>9600</v>
      </c>
      <c r="AB239">
        <v>412064</v>
      </c>
      <c r="AC239">
        <v>84</v>
      </c>
      <c r="AD239" t="s">
        <v>22</v>
      </c>
      <c r="AE239" s="31">
        <v>45894</v>
      </c>
      <c r="AF239" s="61">
        <v>0.62391203703703701</v>
      </c>
      <c r="AH239" t="s">
        <v>818</v>
      </c>
      <c r="AI239" s="31">
        <v>45978</v>
      </c>
      <c r="AJ239" s="61">
        <v>0.64375000000000004</v>
      </c>
      <c r="AN239" t="s">
        <v>2048</v>
      </c>
      <c r="AO239" t="s">
        <v>22</v>
      </c>
      <c r="AP239" t="s">
        <v>2048</v>
      </c>
      <c r="AR239" s="31"/>
      <c r="AX239">
        <v>1</v>
      </c>
    </row>
    <row r="240" spans="1:50" x14ac:dyDescent="0.3">
      <c r="A240" t="s">
        <v>44</v>
      </c>
      <c r="B240">
        <v>557</v>
      </c>
      <c r="D240">
        <v>2516</v>
      </c>
      <c r="G240" t="s">
        <v>2052</v>
      </c>
      <c r="H240">
        <v>59716480000134</v>
      </c>
      <c r="J240" t="s">
        <v>5529</v>
      </c>
      <c r="K240" t="s">
        <v>2054</v>
      </c>
      <c r="M240" t="s">
        <v>2055</v>
      </c>
      <c r="Q240" t="s">
        <v>2056</v>
      </c>
      <c r="R240" t="s">
        <v>790</v>
      </c>
      <c r="W240" t="s">
        <v>780</v>
      </c>
      <c r="X240" t="s">
        <v>793</v>
      </c>
      <c r="Z240" s="31"/>
      <c r="AC240">
        <v>0</v>
      </c>
      <c r="AD240" t="s">
        <v>44</v>
      </c>
      <c r="AE240" s="31">
        <v>45897</v>
      </c>
      <c r="AF240" s="61">
        <v>0.70465277777777779</v>
      </c>
      <c r="AH240" t="s">
        <v>795</v>
      </c>
      <c r="AI240" s="31">
        <v>45897</v>
      </c>
      <c r="AJ240" s="61">
        <v>0.70849537037037036</v>
      </c>
      <c r="AK240" t="s">
        <v>5347</v>
      </c>
      <c r="AL240" t="s">
        <v>5530</v>
      </c>
      <c r="AN240" t="s">
        <v>2058</v>
      </c>
      <c r="AP240" t="s">
        <v>2058</v>
      </c>
      <c r="AR240" s="31"/>
      <c r="AX240">
        <v>1</v>
      </c>
    </row>
    <row r="241" spans="1:50" x14ac:dyDescent="0.3">
      <c r="A241" t="s">
        <v>44</v>
      </c>
      <c r="B241">
        <v>558</v>
      </c>
      <c r="D241">
        <v>2518</v>
      </c>
      <c r="G241" t="s">
        <v>2059</v>
      </c>
      <c r="H241">
        <v>60315995000101</v>
      </c>
      <c r="J241" t="s">
        <v>5531</v>
      </c>
      <c r="K241" t="s">
        <v>2061</v>
      </c>
      <c r="M241" t="s">
        <v>2062</v>
      </c>
      <c r="Q241" t="s">
        <v>1950</v>
      </c>
      <c r="R241" t="s">
        <v>790</v>
      </c>
      <c r="W241" t="s">
        <v>780</v>
      </c>
      <c r="X241" t="s">
        <v>857</v>
      </c>
      <c r="Z241" s="31"/>
      <c r="AA241">
        <v>1600</v>
      </c>
      <c r="AB241">
        <v>323356</v>
      </c>
      <c r="AC241">
        <v>0</v>
      </c>
      <c r="AD241" t="s">
        <v>44</v>
      </c>
      <c r="AE241" s="31">
        <v>45898</v>
      </c>
      <c r="AF241" s="61">
        <v>0.44675925925925919</v>
      </c>
      <c r="AH241" t="s">
        <v>795</v>
      </c>
      <c r="AI241" s="31">
        <v>45898</v>
      </c>
      <c r="AJ241" s="61">
        <v>0.4629050925925926</v>
      </c>
      <c r="AK241" t="s">
        <v>5338</v>
      </c>
      <c r="AL241" t="s">
        <v>1951</v>
      </c>
      <c r="AN241" t="s">
        <v>1953</v>
      </c>
      <c r="AP241" t="s">
        <v>1952</v>
      </c>
      <c r="AR241" s="31"/>
      <c r="AX241">
        <v>1</v>
      </c>
    </row>
    <row r="242" spans="1:50" x14ac:dyDescent="0.3">
      <c r="A242" t="s">
        <v>44</v>
      </c>
      <c r="B242">
        <v>559</v>
      </c>
      <c r="C242">
        <v>155</v>
      </c>
      <c r="G242" t="s">
        <v>2063</v>
      </c>
      <c r="H242">
        <v>13609763000186</v>
      </c>
      <c r="I242" t="s">
        <v>870</v>
      </c>
      <c r="M242" t="s">
        <v>872</v>
      </c>
      <c r="Q242" t="s">
        <v>873</v>
      </c>
      <c r="R242" t="s">
        <v>874</v>
      </c>
      <c r="W242" t="s">
        <v>780</v>
      </c>
      <c r="X242" t="s">
        <v>857</v>
      </c>
      <c r="Z242" s="31"/>
      <c r="AA242">
        <v>16960</v>
      </c>
      <c r="AB242">
        <v>14256</v>
      </c>
      <c r="AC242">
        <v>32</v>
      </c>
      <c r="AD242" t="s">
        <v>44</v>
      </c>
      <c r="AE242" s="31">
        <v>45898</v>
      </c>
      <c r="AF242" s="61">
        <v>0.66320601851851857</v>
      </c>
      <c r="AH242" t="s">
        <v>795</v>
      </c>
      <c r="AI242" s="31">
        <v>45930</v>
      </c>
      <c r="AJ242" s="61">
        <v>0.68521990740740746</v>
      </c>
      <c r="AK242" t="s">
        <v>5338</v>
      </c>
      <c r="AL242" t="s">
        <v>5532</v>
      </c>
      <c r="AN242" t="s">
        <v>2065</v>
      </c>
      <c r="AR242" s="31"/>
      <c r="AX242">
        <v>1</v>
      </c>
    </row>
    <row r="243" spans="1:50" x14ac:dyDescent="0.3">
      <c r="A243" t="s">
        <v>44</v>
      </c>
      <c r="B243">
        <v>561</v>
      </c>
      <c r="D243">
        <v>2523</v>
      </c>
      <c r="G243" t="s">
        <v>2066</v>
      </c>
      <c r="H243">
        <v>4049280000183</v>
      </c>
      <c r="J243" t="s">
        <v>5533</v>
      </c>
      <c r="K243" t="s">
        <v>2006</v>
      </c>
      <c r="M243" t="s">
        <v>2007</v>
      </c>
      <c r="Q243" t="s">
        <v>1596</v>
      </c>
      <c r="R243" t="s">
        <v>790</v>
      </c>
      <c r="W243" t="s">
        <v>780</v>
      </c>
      <c r="X243" t="s">
        <v>816</v>
      </c>
      <c r="Z243" s="31"/>
      <c r="AA243">
        <v>1600</v>
      </c>
      <c r="AB243">
        <v>390556</v>
      </c>
      <c r="AC243">
        <v>61</v>
      </c>
      <c r="AD243" t="s">
        <v>44</v>
      </c>
      <c r="AE243" s="31">
        <v>45898</v>
      </c>
      <c r="AF243" s="61">
        <v>0.69483796296296296</v>
      </c>
      <c r="AH243" t="s">
        <v>795</v>
      </c>
      <c r="AI243" s="31">
        <v>45959</v>
      </c>
      <c r="AJ243" s="61">
        <v>0.44239583333333332</v>
      </c>
      <c r="AK243" t="s">
        <v>858</v>
      </c>
      <c r="AL243" t="s">
        <v>5534</v>
      </c>
      <c r="AM243" t="s">
        <v>2008</v>
      </c>
      <c r="AN243" t="s">
        <v>2008</v>
      </c>
      <c r="AP243" t="s">
        <v>2009</v>
      </c>
      <c r="AR243" s="31"/>
      <c r="AX243">
        <v>1</v>
      </c>
    </row>
    <row r="244" spans="1:50" x14ac:dyDescent="0.3">
      <c r="A244" t="s">
        <v>44</v>
      </c>
      <c r="B244">
        <v>562</v>
      </c>
      <c r="D244">
        <v>2526</v>
      </c>
      <c r="G244" t="s">
        <v>2069</v>
      </c>
      <c r="H244">
        <v>1715468000125</v>
      </c>
      <c r="J244" t="s">
        <v>2070</v>
      </c>
      <c r="K244" t="s">
        <v>2024</v>
      </c>
      <c r="M244" t="s">
        <v>2025</v>
      </c>
      <c r="Q244" t="s">
        <v>2026</v>
      </c>
      <c r="R244" t="s">
        <v>1105</v>
      </c>
      <c r="W244" t="s">
        <v>780</v>
      </c>
      <c r="X244" t="s">
        <v>857</v>
      </c>
      <c r="Z244" s="31"/>
      <c r="AA244">
        <v>1600</v>
      </c>
      <c r="AB244">
        <v>480156</v>
      </c>
      <c r="AC244">
        <v>33</v>
      </c>
      <c r="AD244" t="s">
        <v>44</v>
      </c>
      <c r="AE244" s="31">
        <v>45898</v>
      </c>
      <c r="AF244" s="61">
        <v>0.70328703703703699</v>
      </c>
      <c r="AH244" t="s">
        <v>795</v>
      </c>
      <c r="AI244" s="31">
        <v>45931</v>
      </c>
      <c r="AJ244" s="61">
        <v>0.66589120370370369</v>
      </c>
      <c r="AK244" t="s">
        <v>5353</v>
      </c>
      <c r="AL244" t="s">
        <v>5528</v>
      </c>
      <c r="AN244" t="s">
        <v>2002</v>
      </c>
      <c r="AR244" s="31"/>
      <c r="AX244">
        <v>1</v>
      </c>
    </row>
    <row r="245" spans="1:50" x14ac:dyDescent="0.3">
      <c r="A245" t="s">
        <v>44</v>
      </c>
      <c r="B245">
        <v>563</v>
      </c>
      <c r="D245">
        <v>2530</v>
      </c>
      <c r="G245" t="s">
        <v>2071</v>
      </c>
      <c r="H245">
        <v>1715468000125</v>
      </c>
      <c r="J245" t="s">
        <v>2072</v>
      </c>
      <c r="K245" t="s">
        <v>2024</v>
      </c>
      <c r="M245" t="s">
        <v>2025</v>
      </c>
      <c r="Q245" t="s">
        <v>2026</v>
      </c>
      <c r="R245" t="s">
        <v>1105</v>
      </c>
      <c r="W245" t="s">
        <v>780</v>
      </c>
      <c r="X245" t="s">
        <v>857</v>
      </c>
      <c r="Z245" s="31"/>
      <c r="AA245">
        <v>93280</v>
      </c>
      <c r="AB245">
        <v>1163416</v>
      </c>
      <c r="AC245">
        <v>33</v>
      </c>
      <c r="AD245" t="s">
        <v>44</v>
      </c>
      <c r="AE245" s="31">
        <v>45898</v>
      </c>
      <c r="AF245" s="61">
        <v>0.70486111111111116</v>
      </c>
      <c r="AH245" t="s">
        <v>795</v>
      </c>
      <c r="AI245" s="31">
        <v>45931</v>
      </c>
      <c r="AJ245" s="61">
        <v>0.66553240740740738</v>
      </c>
      <c r="AK245" t="s">
        <v>5353</v>
      </c>
      <c r="AL245" t="s">
        <v>5528</v>
      </c>
      <c r="AN245" t="s">
        <v>2002</v>
      </c>
      <c r="AR245" s="31"/>
      <c r="AX245">
        <v>1</v>
      </c>
    </row>
    <row r="246" spans="1:50" x14ac:dyDescent="0.3">
      <c r="A246" t="s">
        <v>44</v>
      </c>
      <c r="B246">
        <v>564</v>
      </c>
      <c r="D246">
        <v>2534</v>
      </c>
      <c r="G246" t="s">
        <v>2073</v>
      </c>
      <c r="J246" t="s">
        <v>2074</v>
      </c>
      <c r="K246" t="s">
        <v>2075</v>
      </c>
      <c r="M246" t="s">
        <v>1997</v>
      </c>
      <c r="W246" t="s">
        <v>780</v>
      </c>
      <c r="X246" t="s">
        <v>857</v>
      </c>
      <c r="Z246" s="31"/>
      <c r="AA246">
        <v>16200</v>
      </c>
      <c r="AB246">
        <v>2160</v>
      </c>
      <c r="AC246">
        <v>11</v>
      </c>
      <c r="AD246" t="s">
        <v>44</v>
      </c>
      <c r="AE246" s="31">
        <v>45898</v>
      </c>
      <c r="AF246" s="61">
        <v>0.73826388888888894</v>
      </c>
      <c r="AH246" t="s">
        <v>795</v>
      </c>
      <c r="AI246" s="31">
        <v>45909</v>
      </c>
      <c r="AJ246" s="61">
        <v>0.6477546296296296</v>
      </c>
      <c r="AK246" t="s">
        <v>858</v>
      </c>
      <c r="AL246" t="s">
        <v>5525</v>
      </c>
      <c r="AN246" t="s">
        <v>2001</v>
      </c>
      <c r="AR246" s="31"/>
      <c r="AX246">
        <v>1</v>
      </c>
    </row>
    <row r="247" spans="1:50" x14ac:dyDescent="0.3">
      <c r="A247" t="s">
        <v>31</v>
      </c>
      <c r="B247">
        <v>566</v>
      </c>
      <c r="D247">
        <v>2538</v>
      </c>
      <c r="F247" t="s">
        <v>2076</v>
      </c>
      <c r="G247" t="s">
        <v>2077</v>
      </c>
      <c r="H247">
        <v>46964028000140</v>
      </c>
      <c r="J247" t="s">
        <v>2076</v>
      </c>
      <c r="K247" t="s">
        <v>2078</v>
      </c>
      <c r="M247" t="s">
        <v>2079</v>
      </c>
      <c r="Q247" t="s">
        <v>2080</v>
      </c>
      <c r="R247" t="s">
        <v>956</v>
      </c>
      <c r="S247" t="s">
        <v>805</v>
      </c>
      <c r="W247" t="s">
        <v>780</v>
      </c>
      <c r="X247" t="s">
        <v>857</v>
      </c>
      <c r="Z247" s="31"/>
      <c r="AC247">
        <v>28</v>
      </c>
      <c r="AD247" t="s">
        <v>31</v>
      </c>
      <c r="AE247" s="31">
        <v>45902</v>
      </c>
      <c r="AF247" s="61">
        <v>0.39876157407407409</v>
      </c>
      <c r="AH247" t="s">
        <v>795</v>
      </c>
      <c r="AI247" s="31">
        <v>45930</v>
      </c>
      <c r="AJ247" s="61">
        <v>0.40609953703703711</v>
      </c>
      <c r="AK247" t="s">
        <v>5347</v>
      </c>
      <c r="AR247" s="31"/>
      <c r="AX247">
        <v>1</v>
      </c>
    </row>
    <row r="248" spans="1:50" x14ac:dyDescent="0.3">
      <c r="A248" t="s">
        <v>31</v>
      </c>
      <c r="B248">
        <v>567</v>
      </c>
      <c r="D248">
        <v>2541</v>
      </c>
      <c r="F248" t="s">
        <v>2081</v>
      </c>
      <c r="G248" t="s">
        <v>2082</v>
      </c>
      <c r="H248">
        <v>13039863000203</v>
      </c>
      <c r="J248" t="s">
        <v>2081</v>
      </c>
      <c r="K248" t="s">
        <v>5535</v>
      </c>
      <c r="M248" t="s">
        <v>2084</v>
      </c>
      <c r="Q248" t="s">
        <v>1094</v>
      </c>
      <c r="R248" t="s">
        <v>790</v>
      </c>
      <c r="S248" t="s">
        <v>805</v>
      </c>
      <c r="V248" t="s">
        <v>2085</v>
      </c>
      <c r="W248" t="s">
        <v>780</v>
      </c>
      <c r="X248" t="s">
        <v>781</v>
      </c>
      <c r="Z248" s="31"/>
      <c r="AC248">
        <v>98</v>
      </c>
      <c r="AD248" t="s">
        <v>31</v>
      </c>
      <c r="AE248" s="31">
        <v>45902</v>
      </c>
      <c r="AF248" s="61">
        <v>0.45640046296296288</v>
      </c>
      <c r="AH248" t="s">
        <v>795</v>
      </c>
      <c r="AI248" s="31">
        <v>46000</v>
      </c>
      <c r="AJ248" s="61">
        <v>0.49209490740740741</v>
      </c>
      <c r="AK248" t="s">
        <v>5338</v>
      </c>
      <c r="AR248" s="31"/>
      <c r="AX248">
        <v>1</v>
      </c>
    </row>
    <row r="249" spans="1:50" x14ac:dyDescent="0.3">
      <c r="A249" t="s">
        <v>22</v>
      </c>
      <c r="B249">
        <v>575</v>
      </c>
      <c r="D249">
        <v>2547</v>
      </c>
      <c r="G249" t="s">
        <v>2086</v>
      </c>
      <c r="J249" t="s">
        <v>2087</v>
      </c>
      <c r="K249" t="s">
        <v>2088</v>
      </c>
      <c r="M249" t="s">
        <v>2089</v>
      </c>
      <c r="Q249" t="s">
        <v>923</v>
      </c>
      <c r="S249" t="s">
        <v>814</v>
      </c>
      <c r="V249" t="s">
        <v>1198</v>
      </c>
      <c r="W249" t="s">
        <v>780</v>
      </c>
      <c r="X249" t="s">
        <v>793</v>
      </c>
      <c r="Z249" s="31"/>
      <c r="AC249">
        <v>19</v>
      </c>
      <c r="AD249" t="s">
        <v>22</v>
      </c>
      <c r="AE249" s="31">
        <v>45910</v>
      </c>
      <c r="AF249" s="61">
        <v>0.65240740740740744</v>
      </c>
      <c r="AH249" t="s">
        <v>795</v>
      </c>
      <c r="AI249" s="31">
        <v>45929</v>
      </c>
      <c r="AJ249" s="61">
        <v>0.69554398148148144</v>
      </c>
      <c r="AK249" t="s">
        <v>5392</v>
      </c>
      <c r="AN249" t="s">
        <v>2037</v>
      </c>
      <c r="AO249" t="s">
        <v>22</v>
      </c>
      <c r="AP249" t="s">
        <v>2037</v>
      </c>
      <c r="AR249" s="31"/>
      <c r="AX249">
        <v>1</v>
      </c>
    </row>
    <row r="250" spans="1:50" x14ac:dyDescent="0.3">
      <c r="A250" t="s">
        <v>44</v>
      </c>
      <c r="B250">
        <v>576</v>
      </c>
      <c r="D250">
        <v>2551</v>
      </c>
      <c r="F250" t="s">
        <v>2090</v>
      </c>
      <c r="G250" t="s">
        <v>2091</v>
      </c>
      <c r="H250">
        <v>36621794000158</v>
      </c>
      <c r="J250" t="s">
        <v>2090</v>
      </c>
      <c r="K250" t="s">
        <v>2092</v>
      </c>
      <c r="M250" t="s">
        <v>2093</v>
      </c>
      <c r="Q250" t="s">
        <v>2094</v>
      </c>
      <c r="R250" t="s">
        <v>790</v>
      </c>
      <c r="S250" t="s">
        <v>805</v>
      </c>
      <c r="W250" t="s">
        <v>780</v>
      </c>
      <c r="X250" t="s">
        <v>857</v>
      </c>
      <c r="Z250" s="31"/>
      <c r="AA250">
        <v>10176</v>
      </c>
      <c r="AB250">
        <v>2060</v>
      </c>
      <c r="AC250">
        <v>23</v>
      </c>
      <c r="AD250" t="s">
        <v>44</v>
      </c>
      <c r="AE250" s="31">
        <v>45910</v>
      </c>
      <c r="AF250" s="61">
        <v>0.66196759259259264</v>
      </c>
      <c r="AH250" t="s">
        <v>795</v>
      </c>
      <c r="AI250" s="31">
        <v>45933</v>
      </c>
      <c r="AJ250" s="61">
        <v>0.41651620370370368</v>
      </c>
      <c r="AK250" t="s">
        <v>934</v>
      </c>
      <c r="AL250" t="s">
        <v>5536</v>
      </c>
      <c r="AN250" t="s">
        <v>2096</v>
      </c>
      <c r="AP250" t="s">
        <v>2097</v>
      </c>
      <c r="AR250" s="31"/>
      <c r="AX250">
        <v>1</v>
      </c>
    </row>
    <row r="251" spans="1:50" x14ac:dyDescent="0.3">
      <c r="A251" t="s">
        <v>22</v>
      </c>
      <c r="B251">
        <v>577</v>
      </c>
      <c r="D251">
        <v>2502</v>
      </c>
      <c r="G251" t="s">
        <v>2098</v>
      </c>
      <c r="J251" t="s">
        <v>2099</v>
      </c>
      <c r="K251" t="s">
        <v>2100</v>
      </c>
      <c r="M251" t="s">
        <v>2101</v>
      </c>
      <c r="Q251" t="s">
        <v>943</v>
      </c>
      <c r="S251" t="s">
        <v>814</v>
      </c>
      <c r="V251" t="s">
        <v>1198</v>
      </c>
      <c r="W251" t="s">
        <v>780</v>
      </c>
      <c r="X251" t="s">
        <v>807</v>
      </c>
      <c r="Z251" s="31"/>
      <c r="AC251">
        <v>0</v>
      </c>
      <c r="AD251" t="s">
        <v>22</v>
      </c>
      <c r="AE251" s="31">
        <v>45910</v>
      </c>
      <c r="AF251" s="61">
        <v>0.66309027777777774</v>
      </c>
      <c r="AH251" t="s">
        <v>795</v>
      </c>
      <c r="AI251" s="31">
        <v>45910</v>
      </c>
      <c r="AJ251" s="61">
        <v>0.66420138888888891</v>
      </c>
      <c r="AK251" t="s">
        <v>5347</v>
      </c>
      <c r="AN251" t="s">
        <v>2102</v>
      </c>
      <c r="AO251" t="s">
        <v>22</v>
      </c>
      <c r="AP251" t="s">
        <v>2102</v>
      </c>
      <c r="AR251" s="31"/>
      <c r="AX251">
        <v>1</v>
      </c>
    </row>
    <row r="252" spans="1:50" x14ac:dyDescent="0.3">
      <c r="A252" t="s">
        <v>22</v>
      </c>
      <c r="B252">
        <v>578</v>
      </c>
      <c r="D252">
        <v>2515</v>
      </c>
      <c r="G252" t="s">
        <v>2103</v>
      </c>
      <c r="J252" t="s">
        <v>2104</v>
      </c>
      <c r="K252" t="s">
        <v>2105</v>
      </c>
      <c r="M252" t="s">
        <v>2106</v>
      </c>
      <c r="Q252" t="s">
        <v>923</v>
      </c>
      <c r="S252" t="s">
        <v>814</v>
      </c>
      <c r="V252" t="s">
        <v>1186</v>
      </c>
      <c r="W252" t="s">
        <v>780</v>
      </c>
      <c r="X252" t="s">
        <v>793</v>
      </c>
      <c r="Z252" s="31"/>
      <c r="AC252">
        <v>0</v>
      </c>
      <c r="AD252" t="s">
        <v>22</v>
      </c>
      <c r="AE252" s="31">
        <v>45911</v>
      </c>
      <c r="AF252" s="61">
        <v>0.35787037037037039</v>
      </c>
      <c r="AH252" t="s">
        <v>795</v>
      </c>
      <c r="AI252" s="31">
        <v>45911</v>
      </c>
      <c r="AJ252" s="61">
        <v>0.35978009259259258</v>
      </c>
      <c r="AK252" t="s">
        <v>5347</v>
      </c>
      <c r="AN252" t="s">
        <v>2107</v>
      </c>
      <c r="AP252" t="s">
        <v>2107</v>
      </c>
      <c r="AR252" s="31"/>
      <c r="AX252">
        <v>1</v>
      </c>
    </row>
    <row r="253" spans="1:50" x14ac:dyDescent="0.3">
      <c r="A253" t="s">
        <v>44</v>
      </c>
      <c r="B253">
        <v>582</v>
      </c>
      <c r="D253">
        <v>2555</v>
      </c>
      <c r="E253" t="s">
        <v>2108</v>
      </c>
      <c r="G253" t="s">
        <v>1638</v>
      </c>
      <c r="H253">
        <v>32921219000110</v>
      </c>
      <c r="J253" t="s">
        <v>1639</v>
      </c>
      <c r="K253" t="s">
        <v>2111</v>
      </c>
      <c r="M253" t="s">
        <v>1580</v>
      </c>
      <c r="V253" t="s">
        <v>1581</v>
      </c>
      <c r="W253" t="s">
        <v>780</v>
      </c>
      <c r="X253" t="s">
        <v>816</v>
      </c>
      <c r="Z253" s="31">
        <v>46055</v>
      </c>
      <c r="AA253">
        <v>1600</v>
      </c>
      <c r="AB253">
        <v>256856</v>
      </c>
      <c r="AC253">
        <v>231</v>
      </c>
      <c r="AD253" t="s">
        <v>44</v>
      </c>
      <c r="AE253" s="31">
        <v>45911</v>
      </c>
      <c r="AF253" s="61">
        <v>0.54175925925925927</v>
      </c>
      <c r="AH253" t="s">
        <v>795</v>
      </c>
      <c r="AI253" s="31">
        <v>46142</v>
      </c>
      <c r="AJ253" s="61">
        <v>0.60453703703703698</v>
      </c>
      <c r="AK253" t="s">
        <v>858</v>
      </c>
      <c r="AL253" t="s">
        <v>5537</v>
      </c>
      <c r="AN253" t="s">
        <v>2112</v>
      </c>
      <c r="AO253" t="s">
        <v>44</v>
      </c>
      <c r="AP253" t="s">
        <v>2112</v>
      </c>
      <c r="AR253" s="31">
        <v>46003</v>
      </c>
      <c r="AS253">
        <v>80</v>
      </c>
      <c r="AX253">
        <v>1</v>
      </c>
    </row>
    <row r="254" spans="1:50" x14ac:dyDescent="0.3">
      <c r="A254" t="s">
        <v>22</v>
      </c>
      <c r="B254">
        <v>583</v>
      </c>
      <c r="D254">
        <v>578</v>
      </c>
      <c r="E254" t="s">
        <v>2113</v>
      </c>
      <c r="F254" t="s">
        <v>2114</v>
      </c>
      <c r="G254" t="s">
        <v>383</v>
      </c>
      <c r="H254">
        <v>7664689000289</v>
      </c>
      <c r="J254" t="s">
        <v>2114</v>
      </c>
      <c r="K254" t="s">
        <v>5538</v>
      </c>
      <c r="M254" t="s">
        <v>2116</v>
      </c>
      <c r="Q254" t="s">
        <v>2117</v>
      </c>
      <c r="R254" t="s">
        <v>1105</v>
      </c>
      <c r="S254" t="s">
        <v>805</v>
      </c>
      <c r="V254" t="s">
        <v>5539</v>
      </c>
      <c r="W254" t="s">
        <v>780</v>
      </c>
      <c r="X254" t="s">
        <v>807</v>
      </c>
      <c r="Z254" s="31">
        <v>46142</v>
      </c>
      <c r="AA254">
        <v>100800</v>
      </c>
      <c r="AB254">
        <v>5484</v>
      </c>
      <c r="AC254">
        <v>249</v>
      </c>
      <c r="AD254" t="s">
        <v>22</v>
      </c>
      <c r="AE254" s="31">
        <v>45911</v>
      </c>
      <c r="AF254" s="61">
        <v>0.66440972222222228</v>
      </c>
      <c r="AH254" t="s">
        <v>795</v>
      </c>
      <c r="AI254" s="31">
        <v>46160</v>
      </c>
      <c r="AJ254" s="61">
        <v>0.70096064814814818</v>
      </c>
      <c r="AK254" t="s">
        <v>5338</v>
      </c>
      <c r="AN254" t="s">
        <v>384</v>
      </c>
      <c r="AO254" t="s">
        <v>22</v>
      </c>
      <c r="AP254" t="s">
        <v>384</v>
      </c>
      <c r="AR254" s="31">
        <v>46112</v>
      </c>
      <c r="AS254">
        <v>30</v>
      </c>
      <c r="AT254" t="s">
        <v>2120</v>
      </c>
      <c r="AU254" t="s">
        <v>2121</v>
      </c>
      <c r="AV254" t="s">
        <v>2122</v>
      </c>
      <c r="AW254" t="s">
        <v>2123</v>
      </c>
      <c r="AX254">
        <v>1</v>
      </c>
    </row>
    <row r="255" spans="1:50" x14ac:dyDescent="0.3">
      <c r="A255" t="s">
        <v>44</v>
      </c>
      <c r="B255">
        <v>585</v>
      </c>
      <c r="D255">
        <v>2557</v>
      </c>
      <c r="G255" t="s">
        <v>2124</v>
      </c>
      <c r="J255" t="s">
        <v>2125</v>
      </c>
      <c r="K255" t="s">
        <v>2126</v>
      </c>
      <c r="M255" t="s">
        <v>2127</v>
      </c>
      <c r="W255" t="s">
        <v>780</v>
      </c>
      <c r="X255" t="s">
        <v>793</v>
      </c>
      <c r="Z255" s="31"/>
      <c r="AA255">
        <v>58088</v>
      </c>
      <c r="AB255">
        <v>645602</v>
      </c>
      <c r="AC255">
        <v>13</v>
      </c>
      <c r="AD255" t="s">
        <v>44</v>
      </c>
      <c r="AE255" s="31">
        <v>45912</v>
      </c>
      <c r="AF255" s="61">
        <v>0.61721064814814819</v>
      </c>
      <c r="AH255" t="s">
        <v>795</v>
      </c>
      <c r="AI255" s="31">
        <v>45925</v>
      </c>
      <c r="AJ255" s="61">
        <v>0.67640046296296297</v>
      </c>
      <c r="AK255" t="s">
        <v>934</v>
      </c>
      <c r="AL255" t="s">
        <v>5540</v>
      </c>
      <c r="AN255" t="s">
        <v>2129</v>
      </c>
      <c r="AP255" t="s">
        <v>2129</v>
      </c>
      <c r="AR255" s="31"/>
      <c r="AX255">
        <v>1</v>
      </c>
    </row>
    <row r="256" spans="1:50" x14ac:dyDescent="0.3">
      <c r="A256" t="s">
        <v>31</v>
      </c>
      <c r="B256">
        <v>587</v>
      </c>
      <c r="D256">
        <v>2559</v>
      </c>
      <c r="G256" t="s">
        <v>2130</v>
      </c>
      <c r="J256" t="s">
        <v>704</v>
      </c>
      <c r="K256" t="s">
        <v>2132</v>
      </c>
      <c r="M256" t="s">
        <v>1111</v>
      </c>
      <c r="W256" t="s">
        <v>780</v>
      </c>
      <c r="X256" t="s">
        <v>816</v>
      </c>
      <c r="Z256" s="31"/>
      <c r="AA256">
        <v>64200</v>
      </c>
      <c r="AB256">
        <v>254344</v>
      </c>
      <c r="AC256">
        <v>78</v>
      </c>
      <c r="AD256" t="s">
        <v>31</v>
      </c>
      <c r="AE256" s="31">
        <v>45915</v>
      </c>
      <c r="AF256" s="61">
        <v>0.4500925925925926</v>
      </c>
      <c r="AH256" t="s">
        <v>818</v>
      </c>
      <c r="AI256" s="31">
        <v>45993</v>
      </c>
      <c r="AJ256" s="61">
        <v>0.47207175925925932</v>
      </c>
      <c r="AN256" t="s">
        <v>2133</v>
      </c>
      <c r="AP256" t="s">
        <v>2134</v>
      </c>
      <c r="AQ256" t="s">
        <v>2135</v>
      </c>
      <c r="AR256" s="31"/>
      <c r="AX256">
        <v>1</v>
      </c>
    </row>
    <row r="257" spans="1:50" x14ac:dyDescent="0.3">
      <c r="A257" t="s">
        <v>44</v>
      </c>
      <c r="B257">
        <v>589</v>
      </c>
      <c r="D257">
        <v>2561</v>
      </c>
      <c r="G257" t="s">
        <v>2136</v>
      </c>
      <c r="H257">
        <v>7548592000120</v>
      </c>
      <c r="J257" t="s">
        <v>2137</v>
      </c>
      <c r="K257" t="s">
        <v>2138</v>
      </c>
      <c r="M257" t="s">
        <v>2139</v>
      </c>
      <c r="Q257" t="s">
        <v>2080</v>
      </c>
      <c r="R257" t="s">
        <v>956</v>
      </c>
      <c r="S257" t="s">
        <v>814</v>
      </c>
      <c r="V257" t="s">
        <v>1186</v>
      </c>
      <c r="W257" t="s">
        <v>780</v>
      </c>
      <c r="X257" t="s">
        <v>793</v>
      </c>
      <c r="Z257" s="31"/>
      <c r="AA257">
        <v>103032</v>
      </c>
      <c r="AB257">
        <v>696032</v>
      </c>
      <c r="AC257">
        <v>30</v>
      </c>
      <c r="AD257" t="s">
        <v>22</v>
      </c>
      <c r="AE257" s="31">
        <v>45916</v>
      </c>
      <c r="AF257" s="61">
        <v>0.40375</v>
      </c>
      <c r="AH257" t="s">
        <v>795</v>
      </c>
      <c r="AI257" s="31">
        <v>45946</v>
      </c>
      <c r="AJ257" s="61">
        <v>0.5009837962962963</v>
      </c>
      <c r="AK257" t="s">
        <v>5338</v>
      </c>
      <c r="AL257" t="s">
        <v>2140</v>
      </c>
      <c r="AN257" t="s">
        <v>2141</v>
      </c>
      <c r="AO257" t="s">
        <v>44</v>
      </c>
      <c r="AP257" t="s">
        <v>2142</v>
      </c>
      <c r="AQ257" t="s">
        <v>2141</v>
      </c>
      <c r="AR257" s="31"/>
      <c r="AX257">
        <v>1</v>
      </c>
    </row>
    <row r="258" spans="1:50" x14ac:dyDescent="0.3">
      <c r="A258" t="s">
        <v>44</v>
      </c>
      <c r="B258">
        <v>590</v>
      </c>
      <c r="D258">
        <v>2561</v>
      </c>
      <c r="G258" t="s">
        <v>2143</v>
      </c>
      <c r="H258">
        <v>7548592000120</v>
      </c>
      <c r="J258" t="s">
        <v>2137</v>
      </c>
      <c r="K258" t="s">
        <v>2138</v>
      </c>
      <c r="M258" t="s">
        <v>2139</v>
      </c>
      <c r="Q258" t="s">
        <v>2080</v>
      </c>
      <c r="R258" t="s">
        <v>956</v>
      </c>
      <c r="S258" t="s">
        <v>814</v>
      </c>
      <c r="V258" t="s">
        <v>1186</v>
      </c>
      <c r="W258" t="s">
        <v>780</v>
      </c>
      <c r="X258" t="s">
        <v>781</v>
      </c>
      <c r="Z258" s="31"/>
      <c r="AC258">
        <v>0</v>
      </c>
      <c r="AD258" t="s">
        <v>44</v>
      </c>
      <c r="AE258" s="31">
        <v>45916</v>
      </c>
      <c r="AF258" s="61">
        <v>0.4065509259259259</v>
      </c>
      <c r="AH258" t="s">
        <v>795</v>
      </c>
      <c r="AI258" s="31">
        <v>45916</v>
      </c>
      <c r="AJ258" s="61">
        <v>0.41540509259259262</v>
      </c>
      <c r="AK258" t="s">
        <v>5392</v>
      </c>
      <c r="AL258" t="s">
        <v>5541</v>
      </c>
      <c r="AR258" s="31"/>
      <c r="AX258">
        <v>1</v>
      </c>
    </row>
    <row r="259" spans="1:50" x14ac:dyDescent="0.3">
      <c r="A259" t="s">
        <v>44</v>
      </c>
      <c r="B259">
        <v>597</v>
      </c>
      <c r="D259">
        <v>2571</v>
      </c>
      <c r="F259" t="s">
        <v>2145</v>
      </c>
      <c r="G259" t="s">
        <v>2146</v>
      </c>
      <c r="H259">
        <v>49872306000127</v>
      </c>
      <c r="J259" t="s">
        <v>2145</v>
      </c>
      <c r="K259" t="s">
        <v>2147</v>
      </c>
      <c r="M259" t="s">
        <v>2148</v>
      </c>
      <c r="Q259" t="s">
        <v>2149</v>
      </c>
      <c r="R259" t="s">
        <v>790</v>
      </c>
      <c r="S259" t="s">
        <v>805</v>
      </c>
      <c r="W259" t="s">
        <v>780</v>
      </c>
      <c r="X259" t="s">
        <v>793</v>
      </c>
      <c r="Z259" s="31"/>
      <c r="AA259">
        <v>7021439</v>
      </c>
      <c r="AB259">
        <v>37362</v>
      </c>
      <c r="AC259">
        <v>14</v>
      </c>
      <c r="AD259" t="s">
        <v>44</v>
      </c>
      <c r="AE259" s="31">
        <v>45919</v>
      </c>
      <c r="AF259" s="61">
        <v>0.65909722222222222</v>
      </c>
      <c r="AH259" t="s">
        <v>795</v>
      </c>
      <c r="AI259" s="31">
        <v>45933</v>
      </c>
      <c r="AJ259" s="61">
        <v>0.40391203703703699</v>
      </c>
      <c r="AK259" t="s">
        <v>858</v>
      </c>
      <c r="AL259" t="s">
        <v>5542</v>
      </c>
      <c r="AN259" t="s">
        <v>2096</v>
      </c>
      <c r="AP259" t="s">
        <v>2096</v>
      </c>
      <c r="AR259" s="31"/>
      <c r="AX259">
        <v>1</v>
      </c>
    </row>
    <row r="260" spans="1:50" x14ac:dyDescent="0.3">
      <c r="A260" t="s">
        <v>22</v>
      </c>
      <c r="B260">
        <v>600</v>
      </c>
      <c r="D260">
        <v>2477</v>
      </c>
      <c r="G260" t="s">
        <v>2151</v>
      </c>
      <c r="J260" t="s">
        <v>802</v>
      </c>
      <c r="K260" t="s">
        <v>2152</v>
      </c>
      <c r="M260" t="s">
        <v>2153</v>
      </c>
      <c r="Q260" t="s">
        <v>923</v>
      </c>
      <c r="S260" t="s">
        <v>814</v>
      </c>
      <c r="V260" t="s">
        <v>1186</v>
      </c>
      <c r="W260" t="s">
        <v>780</v>
      </c>
      <c r="X260" t="s">
        <v>807</v>
      </c>
      <c r="Z260" s="31"/>
      <c r="AC260">
        <v>43</v>
      </c>
      <c r="AD260" t="s">
        <v>22</v>
      </c>
      <c r="AE260" s="31">
        <v>45923</v>
      </c>
      <c r="AF260" s="61">
        <v>0.7016782407407407</v>
      </c>
      <c r="AH260" t="s">
        <v>795</v>
      </c>
      <c r="AI260" s="31">
        <v>45966</v>
      </c>
      <c r="AJ260" s="61">
        <v>0.41437499999999999</v>
      </c>
      <c r="AK260" t="s">
        <v>5392</v>
      </c>
      <c r="AN260" t="s">
        <v>2037</v>
      </c>
      <c r="AO260" t="s">
        <v>22</v>
      </c>
      <c r="AP260" t="s">
        <v>2154</v>
      </c>
      <c r="AR260" s="31"/>
      <c r="AX260">
        <v>1</v>
      </c>
    </row>
    <row r="261" spans="1:50" x14ac:dyDescent="0.3">
      <c r="A261" t="s">
        <v>44</v>
      </c>
      <c r="B261">
        <v>601</v>
      </c>
      <c r="D261">
        <v>2579</v>
      </c>
      <c r="G261" t="s">
        <v>5543</v>
      </c>
      <c r="J261" t="s">
        <v>5544</v>
      </c>
      <c r="K261" t="s">
        <v>2126</v>
      </c>
      <c r="M261" t="s">
        <v>2127</v>
      </c>
      <c r="W261" t="s">
        <v>780</v>
      </c>
      <c r="X261" t="s">
        <v>793</v>
      </c>
      <c r="Z261" s="31"/>
      <c r="AA261">
        <v>1600</v>
      </c>
      <c r="AB261">
        <v>2396</v>
      </c>
      <c r="AC261">
        <v>1</v>
      </c>
      <c r="AD261" t="s">
        <v>44</v>
      </c>
      <c r="AE261" s="31">
        <v>45924</v>
      </c>
      <c r="AF261" s="61">
        <v>0.40835648148148151</v>
      </c>
      <c r="AH261" t="s">
        <v>795</v>
      </c>
      <c r="AI261" s="31">
        <v>45925</v>
      </c>
      <c r="AJ261" s="61">
        <v>0.67701388888888892</v>
      </c>
      <c r="AK261" t="s">
        <v>934</v>
      </c>
      <c r="AL261" t="s">
        <v>5545</v>
      </c>
      <c r="AN261" t="s">
        <v>2129</v>
      </c>
      <c r="AP261" t="s">
        <v>2129</v>
      </c>
      <c r="AR261" s="31"/>
      <c r="AX261">
        <v>1</v>
      </c>
    </row>
    <row r="262" spans="1:50" x14ac:dyDescent="0.3">
      <c r="A262" t="s">
        <v>44</v>
      </c>
      <c r="B262">
        <v>602</v>
      </c>
      <c r="D262">
        <v>2582</v>
      </c>
      <c r="F262" t="s">
        <v>2158</v>
      </c>
      <c r="G262" t="s">
        <v>2159</v>
      </c>
      <c r="H262">
        <v>11392803000155</v>
      </c>
      <c r="J262" t="s">
        <v>2158</v>
      </c>
      <c r="K262" t="s">
        <v>5546</v>
      </c>
      <c r="M262" t="s">
        <v>2161</v>
      </c>
      <c r="Q262" t="s">
        <v>2162</v>
      </c>
      <c r="R262" t="s">
        <v>932</v>
      </c>
      <c r="S262" t="s">
        <v>805</v>
      </c>
      <c r="W262" t="s">
        <v>780</v>
      </c>
      <c r="X262" t="s">
        <v>793</v>
      </c>
      <c r="Z262" s="31"/>
      <c r="AC262">
        <v>42</v>
      </c>
      <c r="AD262" t="s">
        <v>44</v>
      </c>
      <c r="AE262" s="31">
        <v>45924</v>
      </c>
      <c r="AF262" s="61">
        <v>0.59084490740740736</v>
      </c>
      <c r="AH262" t="s">
        <v>795</v>
      </c>
      <c r="AI262" s="31">
        <v>45966</v>
      </c>
      <c r="AJ262" s="61">
        <v>0.39526620370370369</v>
      </c>
      <c r="AK262" t="s">
        <v>5338</v>
      </c>
      <c r="AL262" t="s">
        <v>5547</v>
      </c>
      <c r="AP262" t="s">
        <v>2037</v>
      </c>
      <c r="AR262" s="31"/>
      <c r="AX262">
        <v>1</v>
      </c>
    </row>
    <row r="263" spans="1:50" x14ac:dyDescent="0.3">
      <c r="A263" t="s">
        <v>44</v>
      </c>
      <c r="B263">
        <v>603</v>
      </c>
      <c r="D263">
        <v>2581</v>
      </c>
      <c r="G263" t="s">
        <v>2164</v>
      </c>
      <c r="H263">
        <v>8019257000105</v>
      </c>
      <c r="J263" t="s">
        <v>2165</v>
      </c>
      <c r="M263" t="s">
        <v>2166</v>
      </c>
      <c r="Q263" t="s">
        <v>2167</v>
      </c>
      <c r="S263" t="s">
        <v>933</v>
      </c>
      <c r="W263" t="s">
        <v>780</v>
      </c>
      <c r="X263" t="s">
        <v>781</v>
      </c>
      <c r="Z263" s="31"/>
      <c r="AC263">
        <v>13</v>
      </c>
      <c r="AD263" t="s">
        <v>22</v>
      </c>
      <c r="AE263" s="31">
        <v>45924</v>
      </c>
      <c r="AF263" s="61">
        <v>0.66754629629629625</v>
      </c>
      <c r="AH263" t="s">
        <v>795</v>
      </c>
      <c r="AI263" s="31">
        <v>45937</v>
      </c>
      <c r="AJ263" s="61">
        <v>0.61364583333333333</v>
      </c>
      <c r="AK263" t="s">
        <v>858</v>
      </c>
      <c r="AL263" t="s">
        <v>5548</v>
      </c>
      <c r="AO263" t="s">
        <v>44</v>
      </c>
      <c r="AP263" t="s">
        <v>2169</v>
      </c>
      <c r="AR263" s="31"/>
      <c r="AX263">
        <v>1</v>
      </c>
    </row>
    <row r="264" spans="1:50" x14ac:dyDescent="0.3">
      <c r="A264" t="s">
        <v>44</v>
      </c>
      <c r="B264">
        <v>604</v>
      </c>
      <c r="D264">
        <v>2580</v>
      </c>
      <c r="E264" t="s">
        <v>5549</v>
      </c>
      <c r="G264" t="s">
        <v>2171</v>
      </c>
      <c r="J264" t="s">
        <v>2165</v>
      </c>
      <c r="K264" t="s">
        <v>2172</v>
      </c>
      <c r="M264" t="s">
        <v>2173</v>
      </c>
      <c r="S264" t="s">
        <v>933</v>
      </c>
      <c r="W264" t="s">
        <v>780</v>
      </c>
      <c r="X264" t="s">
        <v>781</v>
      </c>
      <c r="Z264" s="31"/>
      <c r="AC264">
        <v>13</v>
      </c>
      <c r="AD264" t="s">
        <v>22</v>
      </c>
      <c r="AE264" s="31">
        <v>45924</v>
      </c>
      <c r="AF264" s="61">
        <v>0.66814814814814816</v>
      </c>
      <c r="AH264" t="s">
        <v>795</v>
      </c>
      <c r="AI264" s="31">
        <v>45937</v>
      </c>
      <c r="AJ264" s="61">
        <v>0.40031250000000002</v>
      </c>
      <c r="AK264" t="s">
        <v>858</v>
      </c>
      <c r="AL264" t="s">
        <v>5550</v>
      </c>
      <c r="AO264" t="s">
        <v>44</v>
      </c>
      <c r="AP264" t="s">
        <v>2169</v>
      </c>
      <c r="AR264" s="31"/>
      <c r="AX264">
        <v>1</v>
      </c>
    </row>
    <row r="265" spans="1:50" x14ac:dyDescent="0.3">
      <c r="A265" t="s">
        <v>44</v>
      </c>
      <c r="B265">
        <v>607</v>
      </c>
      <c r="D265">
        <v>2590</v>
      </c>
      <c r="G265" t="s">
        <v>5551</v>
      </c>
      <c r="H265">
        <v>1099426000107</v>
      </c>
      <c r="J265" t="s">
        <v>5552</v>
      </c>
      <c r="K265" t="s">
        <v>2177</v>
      </c>
      <c r="M265" t="s">
        <v>2178</v>
      </c>
      <c r="W265" t="s">
        <v>780</v>
      </c>
      <c r="X265" t="s">
        <v>807</v>
      </c>
      <c r="Z265" s="31"/>
      <c r="AA265">
        <v>1600</v>
      </c>
      <c r="AB265">
        <v>3360</v>
      </c>
      <c r="AC265">
        <v>62</v>
      </c>
      <c r="AD265" t="s">
        <v>44</v>
      </c>
      <c r="AE265" s="31">
        <v>45925</v>
      </c>
      <c r="AF265" s="61">
        <v>0.66249999999999998</v>
      </c>
      <c r="AH265" t="s">
        <v>795</v>
      </c>
      <c r="AI265" s="31">
        <v>45987</v>
      </c>
      <c r="AJ265" s="61">
        <v>0.59446759259259263</v>
      </c>
      <c r="AK265" t="s">
        <v>5338</v>
      </c>
      <c r="AL265" t="s">
        <v>5553</v>
      </c>
      <c r="AN265" t="s">
        <v>2180</v>
      </c>
      <c r="AP265" t="s">
        <v>2180</v>
      </c>
      <c r="AR265" s="31"/>
      <c r="AX265">
        <v>1</v>
      </c>
    </row>
    <row r="266" spans="1:50" x14ac:dyDescent="0.3">
      <c r="A266" t="s">
        <v>44</v>
      </c>
      <c r="B266">
        <v>608</v>
      </c>
      <c r="D266">
        <v>2591</v>
      </c>
      <c r="G266" t="s">
        <v>5554</v>
      </c>
      <c r="H266">
        <v>6302372000159</v>
      </c>
      <c r="J266" t="s">
        <v>5555</v>
      </c>
      <c r="K266" t="s">
        <v>2183</v>
      </c>
      <c r="M266" t="s">
        <v>2184</v>
      </c>
      <c r="W266" t="s">
        <v>780</v>
      </c>
      <c r="X266" t="s">
        <v>816</v>
      </c>
      <c r="Z266" s="31"/>
      <c r="AA266">
        <v>260148</v>
      </c>
      <c r="AB266">
        <v>0</v>
      </c>
      <c r="AC266">
        <v>0</v>
      </c>
      <c r="AD266" t="s">
        <v>44</v>
      </c>
      <c r="AE266" s="31">
        <v>45925</v>
      </c>
      <c r="AF266" s="61">
        <v>0.66907407407407404</v>
      </c>
      <c r="AH266" t="s">
        <v>818</v>
      </c>
      <c r="AI266" s="31">
        <v>45925</v>
      </c>
      <c r="AJ266" s="61">
        <v>0.67554398148148154</v>
      </c>
      <c r="AN266" t="s">
        <v>2102</v>
      </c>
      <c r="AP266" t="s">
        <v>2102</v>
      </c>
      <c r="AR266" s="31"/>
      <c r="AX266">
        <v>1</v>
      </c>
    </row>
    <row r="267" spans="1:50" x14ac:dyDescent="0.3">
      <c r="A267" t="s">
        <v>44</v>
      </c>
      <c r="B267">
        <v>609</v>
      </c>
      <c r="D267">
        <v>2592</v>
      </c>
      <c r="G267" t="s">
        <v>2185</v>
      </c>
      <c r="H267">
        <v>7548592000120</v>
      </c>
      <c r="J267" t="s">
        <v>5556</v>
      </c>
      <c r="K267" t="s">
        <v>2187</v>
      </c>
      <c r="M267" t="s">
        <v>2139</v>
      </c>
      <c r="Q267" t="s">
        <v>2080</v>
      </c>
      <c r="R267" t="s">
        <v>956</v>
      </c>
      <c r="W267" t="s">
        <v>780</v>
      </c>
      <c r="X267" t="s">
        <v>793</v>
      </c>
      <c r="Z267" s="31"/>
      <c r="AA267">
        <v>16200</v>
      </c>
      <c r="AB267">
        <v>2160</v>
      </c>
      <c r="AC267">
        <v>21</v>
      </c>
      <c r="AD267" t="s">
        <v>44</v>
      </c>
      <c r="AE267" s="31">
        <v>45925</v>
      </c>
      <c r="AF267" s="61">
        <v>0.6938657407407407</v>
      </c>
      <c r="AH267" t="s">
        <v>795</v>
      </c>
      <c r="AI267" s="31">
        <v>45946</v>
      </c>
      <c r="AJ267" s="61">
        <v>0.5020486111111111</v>
      </c>
      <c r="AK267" t="s">
        <v>5338</v>
      </c>
      <c r="AL267" t="s">
        <v>2140</v>
      </c>
      <c r="AN267" t="s">
        <v>2141</v>
      </c>
      <c r="AP267" t="s">
        <v>2141</v>
      </c>
      <c r="AR267" s="31"/>
      <c r="AX267">
        <v>1</v>
      </c>
    </row>
    <row r="268" spans="1:50" x14ac:dyDescent="0.3">
      <c r="A268" t="s">
        <v>44</v>
      </c>
      <c r="B268">
        <v>610</v>
      </c>
      <c r="D268">
        <v>2595</v>
      </c>
      <c r="G268" t="s">
        <v>2189</v>
      </c>
      <c r="H268">
        <v>7548592000120</v>
      </c>
      <c r="J268" t="s">
        <v>5557</v>
      </c>
      <c r="K268" t="s">
        <v>2187</v>
      </c>
      <c r="M268" t="s">
        <v>2139</v>
      </c>
      <c r="Q268" t="s">
        <v>2080</v>
      </c>
      <c r="R268" t="s">
        <v>956</v>
      </c>
      <c r="W268" t="s">
        <v>780</v>
      </c>
      <c r="X268" t="s">
        <v>793</v>
      </c>
      <c r="Z268" s="31"/>
      <c r="AA268">
        <v>1600</v>
      </c>
      <c r="AB268">
        <v>405552</v>
      </c>
      <c r="AC268">
        <v>21</v>
      </c>
      <c r="AD268" t="s">
        <v>44</v>
      </c>
      <c r="AE268" s="31">
        <v>45925</v>
      </c>
      <c r="AF268" s="61">
        <v>0.69575231481481481</v>
      </c>
      <c r="AH268" t="s">
        <v>795</v>
      </c>
      <c r="AI268" s="31">
        <v>45946</v>
      </c>
      <c r="AJ268" s="61">
        <v>0.50145833333333334</v>
      </c>
      <c r="AK268" t="s">
        <v>5338</v>
      </c>
      <c r="AL268" t="s">
        <v>2140</v>
      </c>
      <c r="AN268" t="s">
        <v>2141</v>
      </c>
      <c r="AP268" t="s">
        <v>2141</v>
      </c>
      <c r="AR268" s="31"/>
      <c r="AX268">
        <v>1</v>
      </c>
    </row>
    <row r="269" spans="1:50" x14ac:dyDescent="0.3">
      <c r="A269" t="s">
        <v>31</v>
      </c>
      <c r="B269">
        <v>611</v>
      </c>
      <c r="D269">
        <v>2598</v>
      </c>
      <c r="G269" t="s">
        <v>2191</v>
      </c>
      <c r="H269">
        <v>11861121000306</v>
      </c>
      <c r="J269" t="s">
        <v>2192</v>
      </c>
      <c r="K269" t="s">
        <v>2193</v>
      </c>
      <c r="M269" t="s">
        <v>2194</v>
      </c>
      <c r="Q269" t="s">
        <v>923</v>
      </c>
      <c r="S269" t="s">
        <v>814</v>
      </c>
      <c r="V269" t="s">
        <v>1186</v>
      </c>
      <c r="W269" t="s">
        <v>780</v>
      </c>
      <c r="X269" t="s">
        <v>793</v>
      </c>
      <c r="Z269" s="31"/>
      <c r="AC269">
        <v>28</v>
      </c>
      <c r="AD269" t="s">
        <v>22</v>
      </c>
      <c r="AE269" s="31">
        <v>45926</v>
      </c>
      <c r="AF269" s="61">
        <v>0.42531249999999998</v>
      </c>
      <c r="AH269" t="s">
        <v>795</v>
      </c>
      <c r="AI269" s="31">
        <v>45954</v>
      </c>
      <c r="AJ269" s="61">
        <v>0.50206018518518514</v>
      </c>
      <c r="AK269" t="s">
        <v>5347</v>
      </c>
      <c r="AO269" t="s">
        <v>31</v>
      </c>
      <c r="AP269" t="s">
        <v>2195</v>
      </c>
      <c r="AR269" s="31"/>
      <c r="AX269">
        <v>1</v>
      </c>
    </row>
    <row r="270" spans="1:50" x14ac:dyDescent="0.3">
      <c r="A270" t="s">
        <v>44</v>
      </c>
      <c r="B270">
        <v>613</v>
      </c>
      <c r="D270">
        <v>2600</v>
      </c>
      <c r="E270" t="s">
        <v>4708</v>
      </c>
      <c r="G270" t="s">
        <v>2197</v>
      </c>
      <c r="H270">
        <v>221294000181</v>
      </c>
      <c r="J270" t="s">
        <v>5558</v>
      </c>
      <c r="K270" t="s">
        <v>2199</v>
      </c>
      <c r="M270" t="s">
        <v>2200</v>
      </c>
      <c r="Q270" t="s">
        <v>2201</v>
      </c>
      <c r="R270" t="s">
        <v>790</v>
      </c>
      <c r="V270" t="s">
        <v>1419</v>
      </c>
      <c r="W270" t="s">
        <v>780</v>
      </c>
      <c r="X270" t="s">
        <v>807</v>
      </c>
      <c r="Z270" s="31">
        <v>46112</v>
      </c>
      <c r="AA270">
        <v>81786</v>
      </c>
      <c r="AB270">
        <v>79654</v>
      </c>
      <c r="AC270">
        <v>233</v>
      </c>
      <c r="AD270" t="s">
        <v>44</v>
      </c>
      <c r="AE270" s="31">
        <v>45929</v>
      </c>
      <c r="AF270" s="61">
        <v>0.48745370370370372</v>
      </c>
      <c r="AH270" t="s">
        <v>782</v>
      </c>
      <c r="AI270" s="31"/>
      <c r="AJ270" s="61"/>
      <c r="AM270" t="s">
        <v>2202</v>
      </c>
      <c r="AN270" t="s">
        <v>2203</v>
      </c>
      <c r="AO270" t="s">
        <v>44</v>
      </c>
      <c r="AP270" t="s">
        <v>2037</v>
      </c>
      <c r="AR270" s="31">
        <v>46077</v>
      </c>
      <c r="AS270">
        <v>50</v>
      </c>
      <c r="AX270">
        <v>1</v>
      </c>
    </row>
    <row r="271" spans="1:50" x14ac:dyDescent="0.3">
      <c r="A271" t="s">
        <v>22</v>
      </c>
      <c r="B271">
        <v>614</v>
      </c>
      <c r="D271">
        <v>2603</v>
      </c>
      <c r="E271" t="s">
        <v>2204</v>
      </c>
      <c r="G271" t="s">
        <v>2205</v>
      </c>
      <c r="H271">
        <v>9517464000144</v>
      </c>
      <c r="J271" t="s">
        <v>5559</v>
      </c>
      <c r="M271" t="s">
        <v>2207</v>
      </c>
      <c r="V271" t="s">
        <v>5539</v>
      </c>
      <c r="W271" t="s">
        <v>780</v>
      </c>
      <c r="X271" t="s">
        <v>807</v>
      </c>
      <c r="Z271" s="31">
        <v>46112</v>
      </c>
      <c r="AA271">
        <v>254760</v>
      </c>
      <c r="AB271">
        <v>1578632</v>
      </c>
      <c r="AC271">
        <v>131</v>
      </c>
      <c r="AD271" t="s">
        <v>22</v>
      </c>
      <c r="AE271" s="31">
        <v>45929</v>
      </c>
      <c r="AF271" s="61">
        <v>0.72163194444444445</v>
      </c>
      <c r="AH271" t="s">
        <v>795</v>
      </c>
      <c r="AI271" s="31">
        <v>46060</v>
      </c>
      <c r="AJ271" s="61">
        <v>0.36658564814814809</v>
      </c>
      <c r="AK271" t="s">
        <v>858</v>
      </c>
      <c r="AL271" t="s">
        <v>2208</v>
      </c>
      <c r="AN271" t="s">
        <v>2209</v>
      </c>
      <c r="AO271" t="s">
        <v>22</v>
      </c>
      <c r="AP271" t="s">
        <v>2209</v>
      </c>
      <c r="AR271" s="31">
        <v>46060</v>
      </c>
      <c r="AS271">
        <v>30</v>
      </c>
      <c r="AX271">
        <v>1</v>
      </c>
    </row>
    <row r="272" spans="1:50" x14ac:dyDescent="0.3">
      <c r="A272" t="s">
        <v>22</v>
      </c>
      <c r="B272">
        <v>615</v>
      </c>
      <c r="D272">
        <v>2604</v>
      </c>
      <c r="G272" t="s">
        <v>2210</v>
      </c>
      <c r="H272">
        <v>73114894000114</v>
      </c>
      <c r="J272" t="s">
        <v>2211</v>
      </c>
      <c r="M272" t="s">
        <v>2212</v>
      </c>
      <c r="W272" t="s">
        <v>780</v>
      </c>
      <c r="X272" t="s">
        <v>807</v>
      </c>
      <c r="Z272" s="31"/>
      <c r="AC272">
        <v>0</v>
      </c>
      <c r="AD272" t="s">
        <v>22</v>
      </c>
      <c r="AE272" s="31">
        <v>45929</v>
      </c>
      <c r="AF272" s="61">
        <v>0.72408564814814813</v>
      </c>
      <c r="AH272" t="s">
        <v>795</v>
      </c>
      <c r="AI272" s="31">
        <v>45929</v>
      </c>
      <c r="AJ272" s="61">
        <v>0.72424768518518523</v>
      </c>
      <c r="AK272" t="s">
        <v>5347</v>
      </c>
      <c r="AN272" t="s">
        <v>2213</v>
      </c>
      <c r="AO272" t="s">
        <v>22</v>
      </c>
      <c r="AP272" t="s">
        <v>2213</v>
      </c>
      <c r="AR272" s="31"/>
      <c r="AX272">
        <v>1</v>
      </c>
    </row>
    <row r="273" spans="1:50" x14ac:dyDescent="0.3">
      <c r="A273" t="s">
        <v>22</v>
      </c>
      <c r="B273">
        <v>616</v>
      </c>
      <c r="D273">
        <v>2605</v>
      </c>
      <c r="G273" t="s">
        <v>2214</v>
      </c>
      <c r="H273">
        <v>18628799000120</v>
      </c>
      <c r="J273" t="s">
        <v>2215</v>
      </c>
      <c r="K273" t="s">
        <v>2216</v>
      </c>
      <c r="M273" t="s">
        <v>2217</v>
      </c>
      <c r="Q273" t="s">
        <v>1094</v>
      </c>
      <c r="R273" t="s">
        <v>790</v>
      </c>
      <c r="W273" t="s">
        <v>780</v>
      </c>
      <c r="X273" t="s">
        <v>807</v>
      </c>
      <c r="Z273" s="31"/>
      <c r="AC273">
        <v>37</v>
      </c>
      <c r="AD273" t="s">
        <v>22</v>
      </c>
      <c r="AE273" s="31">
        <v>45929</v>
      </c>
      <c r="AF273" s="61">
        <v>0.72835648148148147</v>
      </c>
      <c r="AH273" t="s">
        <v>795</v>
      </c>
      <c r="AI273" s="31">
        <v>45966</v>
      </c>
      <c r="AJ273" s="61">
        <v>0.41305555555555562</v>
      </c>
      <c r="AK273" t="s">
        <v>5392</v>
      </c>
      <c r="AN273" t="s">
        <v>2142</v>
      </c>
      <c r="AO273" t="s">
        <v>22</v>
      </c>
      <c r="AP273" t="s">
        <v>2209</v>
      </c>
      <c r="AR273" s="31"/>
      <c r="AX273">
        <v>1</v>
      </c>
    </row>
    <row r="274" spans="1:50" x14ac:dyDescent="0.3">
      <c r="A274" t="s">
        <v>44</v>
      </c>
      <c r="B274">
        <v>618</v>
      </c>
      <c r="D274">
        <v>2609</v>
      </c>
      <c r="G274" t="s">
        <v>2218</v>
      </c>
      <c r="H274">
        <v>49872306000127</v>
      </c>
      <c r="J274" t="s">
        <v>5560</v>
      </c>
      <c r="K274" t="s">
        <v>2220</v>
      </c>
      <c r="M274" t="s">
        <v>2148</v>
      </c>
      <c r="Q274" t="s">
        <v>2149</v>
      </c>
      <c r="R274" t="s">
        <v>790</v>
      </c>
      <c r="W274" t="s">
        <v>780</v>
      </c>
      <c r="X274" t="s">
        <v>793</v>
      </c>
      <c r="Z274" s="31"/>
      <c r="AA274">
        <v>1600</v>
      </c>
      <c r="AB274">
        <v>2468</v>
      </c>
      <c r="AC274">
        <v>3</v>
      </c>
      <c r="AD274" t="s">
        <v>44</v>
      </c>
      <c r="AE274" s="31">
        <v>45930</v>
      </c>
      <c r="AF274" s="61">
        <v>0.60990740740740745</v>
      </c>
      <c r="AH274" t="s">
        <v>795</v>
      </c>
      <c r="AI274" s="31">
        <v>45933</v>
      </c>
      <c r="AJ274" s="61">
        <v>0.40452546296296299</v>
      </c>
      <c r="AK274" t="s">
        <v>858</v>
      </c>
      <c r="AL274" t="s">
        <v>5542</v>
      </c>
      <c r="AN274" t="s">
        <v>2096</v>
      </c>
      <c r="AP274" t="s">
        <v>2096</v>
      </c>
      <c r="AR274" s="31"/>
      <c r="AX274">
        <v>1</v>
      </c>
    </row>
    <row r="275" spans="1:50" x14ac:dyDescent="0.3">
      <c r="A275" t="s">
        <v>44</v>
      </c>
      <c r="B275">
        <v>619</v>
      </c>
      <c r="D275">
        <v>2614</v>
      </c>
      <c r="G275" t="s">
        <v>5561</v>
      </c>
      <c r="H275">
        <v>1099426000107</v>
      </c>
      <c r="J275" t="s">
        <v>5562</v>
      </c>
      <c r="K275" t="s">
        <v>2177</v>
      </c>
      <c r="M275" t="s">
        <v>2178</v>
      </c>
      <c r="W275" t="s">
        <v>780</v>
      </c>
      <c r="X275" t="s">
        <v>816</v>
      </c>
      <c r="Z275" s="31"/>
      <c r="AA275">
        <v>2527318</v>
      </c>
      <c r="AB275">
        <v>0</v>
      </c>
      <c r="AC275">
        <v>29</v>
      </c>
      <c r="AD275" t="s">
        <v>44</v>
      </c>
      <c r="AE275" s="31">
        <v>45930</v>
      </c>
      <c r="AF275" s="61">
        <v>0.66567129629629629</v>
      </c>
      <c r="AH275" t="s">
        <v>818</v>
      </c>
      <c r="AI275" s="31">
        <v>45959</v>
      </c>
      <c r="AJ275" s="61">
        <v>0.45207175925925919</v>
      </c>
      <c r="AN275" t="s">
        <v>2223</v>
      </c>
      <c r="AR275" s="31"/>
      <c r="AX275">
        <v>1</v>
      </c>
    </row>
    <row r="276" spans="1:50" x14ac:dyDescent="0.3">
      <c r="A276" t="s">
        <v>22</v>
      </c>
      <c r="B276">
        <v>620</v>
      </c>
      <c r="D276">
        <v>2615</v>
      </c>
      <c r="G276" t="s">
        <v>2224</v>
      </c>
      <c r="H276">
        <v>5856090000130</v>
      </c>
      <c r="J276" t="s">
        <v>5563</v>
      </c>
      <c r="M276" t="s">
        <v>2226</v>
      </c>
      <c r="W276" t="s">
        <v>780</v>
      </c>
      <c r="X276" t="s">
        <v>807</v>
      </c>
      <c r="Z276" s="31"/>
      <c r="AC276">
        <v>36</v>
      </c>
      <c r="AD276" t="s">
        <v>22</v>
      </c>
      <c r="AE276" s="31">
        <v>45930</v>
      </c>
      <c r="AF276" s="61">
        <v>0.6699074074074074</v>
      </c>
      <c r="AH276" t="s">
        <v>795</v>
      </c>
      <c r="AI276" s="31">
        <v>45966</v>
      </c>
      <c r="AJ276" s="61">
        <v>0.41229166666666672</v>
      </c>
      <c r="AK276" t="s">
        <v>5347</v>
      </c>
      <c r="AN276" t="s">
        <v>2227</v>
      </c>
      <c r="AO276" t="s">
        <v>22</v>
      </c>
      <c r="AP276" t="s">
        <v>2227</v>
      </c>
      <c r="AR276" s="31"/>
      <c r="AX276">
        <v>1</v>
      </c>
    </row>
    <row r="277" spans="1:50" x14ac:dyDescent="0.3">
      <c r="A277" t="s">
        <v>44</v>
      </c>
      <c r="B277">
        <v>621</v>
      </c>
      <c r="D277">
        <v>2616</v>
      </c>
      <c r="G277" t="s">
        <v>5564</v>
      </c>
      <c r="J277" t="s">
        <v>5565</v>
      </c>
      <c r="K277" t="s">
        <v>2230</v>
      </c>
      <c r="M277" t="s">
        <v>2231</v>
      </c>
      <c r="W277" t="s">
        <v>780</v>
      </c>
      <c r="X277" t="s">
        <v>816</v>
      </c>
      <c r="Z277" s="31"/>
      <c r="AA277">
        <v>5406</v>
      </c>
      <c r="AB277">
        <v>0</v>
      </c>
      <c r="AC277">
        <v>0</v>
      </c>
      <c r="AD277" t="s">
        <v>44</v>
      </c>
      <c r="AE277" s="31">
        <v>45930</v>
      </c>
      <c r="AF277" s="61">
        <v>0.68820601851851848</v>
      </c>
      <c r="AH277" t="s">
        <v>818</v>
      </c>
      <c r="AI277" s="31">
        <v>45930</v>
      </c>
      <c r="AJ277" s="61">
        <v>0.68903935185185183</v>
      </c>
      <c r="AN277" t="s">
        <v>2141</v>
      </c>
      <c r="AR277" s="31"/>
      <c r="AX277">
        <v>1</v>
      </c>
    </row>
    <row r="278" spans="1:50" x14ac:dyDescent="0.3">
      <c r="A278" t="s">
        <v>44</v>
      </c>
      <c r="B278">
        <v>622</v>
      </c>
      <c r="D278">
        <v>2617</v>
      </c>
      <c r="G278" t="s">
        <v>2232</v>
      </c>
      <c r="J278" t="s">
        <v>2233</v>
      </c>
      <c r="K278" t="s">
        <v>2234</v>
      </c>
      <c r="M278" t="s">
        <v>2093</v>
      </c>
      <c r="W278" t="s">
        <v>780</v>
      </c>
      <c r="X278" t="s">
        <v>857</v>
      </c>
      <c r="Z278" s="31"/>
      <c r="AA278">
        <v>1600</v>
      </c>
      <c r="AB278">
        <v>2468</v>
      </c>
      <c r="AC278">
        <v>3</v>
      </c>
      <c r="AD278" t="s">
        <v>44</v>
      </c>
      <c r="AE278" s="31">
        <v>45930</v>
      </c>
      <c r="AF278" s="61">
        <v>0.69144675925925925</v>
      </c>
      <c r="AH278" t="s">
        <v>795</v>
      </c>
      <c r="AI278" s="31">
        <v>45933</v>
      </c>
      <c r="AJ278" s="61">
        <v>0.41620370370370369</v>
      </c>
      <c r="AK278" t="s">
        <v>934</v>
      </c>
      <c r="AL278" t="s">
        <v>5536</v>
      </c>
      <c r="AN278" t="s">
        <v>2096</v>
      </c>
      <c r="AP278" t="s">
        <v>2097</v>
      </c>
      <c r="AR278" s="31"/>
      <c r="AX278">
        <v>1</v>
      </c>
    </row>
    <row r="279" spans="1:50" x14ac:dyDescent="0.3">
      <c r="A279" t="s">
        <v>44</v>
      </c>
      <c r="B279">
        <v>623</v>
      </c>
      <c r="D279">
        <v>2618</v>
      </c>
      <c r="G279" t="s">
        <v>2235</v>
      </c>
      <c r="J279" t="s">
        <v>5566</v>
      </c>
      <c r="K279" t="s">
        <v>2234</v>
      </c>
      <c r="M279" t="s">
        <v>2093</v>
      </c>
      <c r="W279" t="s">
        <v>780</v>
      </c>
      <c r="X279" t="s">
        <v>857</v>
      </c>
      <c r="Z279" s="31"/>
      <c r="AA279">
        <v>59360</v>
      </c>
      <c r="AB279">
        <v>27562</v>
      </c>
      <c r="AC279">
        <v>3</v>
      </c>
      <c r="AD279" t="s">
        <v>44</v>
      </c>
      <c r="AE279" s="31">
        <v>45930</v>
      </c>
      <c r="AF279" s="61">
        <v>0.69359953703703703</v>
      </c>
      <c r="AH279" t="s">
        <v>795</v>
      </c>
      <c r="AI279" s="31">
        <v>45933</v>
      </c>
      <c r="AJ279" s="61">
        <v>0.41586805555555562</v>
      </c>
      <c r="AK279" t="s">
        <v>934</v>
      </c>
      <c r="AL279" t="s">
        <v>5536</v>
      </c>
      <c r="AN279" t="s">
        <v>2096</v>
      </c>
      <c r="AP279" t="s">
        <v>2097</v>
      </c>
      <c r="AR279" s="31"/>
      <c r="AX279">
        <v>1</v>
      </c>
    </row>
    <row r="280" spans="1:50" x14ac:dyDescent="0.3">
      <c r="A280" t="s">
        <v>22</v>
      </c>
      <c r="B280">
        <v>624</v>
      </c>
      <c r="D280">
        <v>2619</v>
      </c>
      <c r="G280" t="s">
        <v>2237</v>
      </c>
      <c r="J280" t="s">
        <v>5567</v>
      </c>
      <c r="K280" t="s">
        <v>2239</v>
      </c>
      <c r="M280" t="s">
        <v>1111</v>
      </c>
      <c r="W280" t="s">
        <v>780</v>
      </c>
      <c r="X280" t="s">
        <v>807</v>
      </c>
      <c r="Z280" s="31"/>
      <c r="AC280">
        <v>36</v>
      </c>
      <c r="AD280" t="s">
        <v>22</v>
      </c>
      <c r="AE280" s="31">
        <v>45930</v>
      </c>
      <c r="AF280" s="61">
        <v>0.7330902777777778</v>
      </c>
      <c r="AH280" t="s">
        <v>795</v>
      </c>
      <c r="AI280" s="31">
        <v>45966</v>
      </c>
      <c r="AJ280" s="61">
        <v>0.41091435185185188</v>
      </c>
      <c r="AK280" t="s">
        <v>5338</v>
      </c>
      <c r="AN280" t="s">
        <v>2227</v>
      </c>
      <c r="AO280" t="s">
        <v>22</v>
      </c>
      <c r="AP280" t="s">
        <v>2227</v>
      </c>
      <c r="AR280" s="31"/>
      <c r="AX280">
        <v>1</v>
      </c>
    </row>
    <row r="281" spans="1:50" x14ac:dyDescent="0.3">
      <c r="A281" t="s">
        <v>44</v>
      </c>
      <c r="B281">
        <v>628</v>
      </c>
      <c r="D281">
        <v>2622</v>
      </c>
      <c r="G281" t="s">
        <v>2240</v>
      </c>
      <c r="J281" t="s">
        <v>2241</v>
      </c>
      <c r="K281" t="s">
        <v>2242</v>
      </c>
      <c r="M281" t="s">
        <v>2243</v>
      </c>
      <c r="Q281" t="s">
        <v>2244</v>
      </c>
      <c r="S281" t="s">
        <v>814</v>
      </c>
      <c r="V281" t="s">
        <v>1186</v>
      </c>
      <c r="W281" t="s">
        <v>780</v>
      </c>
      <c r="X281" t="s">
        <v>897</v>
      </c>
      <c r="Z281" s="31"/>
      <c r="AC281">
        <v>4</v>
      </c>
      <c r="AD281" t="s">
        <v>22</v>
      </c>
      <c r="AE281" s="31">
        <v>45933</v>
      </c>
      <c r="AF281" s="61">
        <v>0.46578703703703711</v>
      </c>
      <c r="AH281" t="s">
        <v>795</v>
      </c>
      <c r="AI281" s="31">
        <v>45937</v>
      </c>
      <c r="AJ281" s="61">
        <v>0.39880787037037041</v>
      </c>
      <c r="AK281" t="s">
        <v>5419</v>
      </c>
      <c r="AL281" t="s">
        <v>5568</v>
      </c>
      <c r="AO281" t="s">
        <v>44</v>
      </c>
      <c r="AR281" s="31"/>
      <c r="AX281">
        <v>1</v>
      </c>
    </row>
    <row r="282" spans="1:50" x14ac:dyDescent="0.3">
      <c r="A282" t="s">
        <v>44</v>
      </c>
      <c r="B282">
        <v>634</v>
      </c>
      <c r="D282">
        <v>2631</v>
      </c>
      <c r="F282" t="s">
        <v>2246</v>
      </c>
      <c r="G282" t="s">
        <v>2247</v>
      </c>
      <c r="H282">
        <v>43400571000126</v>
      </c>
      <c r="J282" t="s">
        <v>2246</v>
      </c>
      <c r="K282" t="s">
        <v>2248</v>
      </c>
      <c r="M282" t="s">
        <v>2249</v>
      </c>
      <c r="Q282" t="s">
        <v>2250</v>
      </c>
      <c r="R282" t="s">
        <v>790</v>
      </c>
      <c r="S282" t="s">
        <v>805</v>
      </c>
      <c r="W282" t="s">
        <v>780</v>
      </c>
      <c r="X282" t="s">
        <v>793</v>
      </c>
      <c r="Z282" s="31"/>
      <c r="AA282">
        <v>7021439</v>
      </c>
      <c r="AB282">
        <v>417338</v>
      </c>
      <c r="AC282">
        <v>20</v>
      </c>
      <c r="AD282" t="s">
        <v>44</v>
      </c>
      <c r="AE282" s="31">
        <v>45939</v>
      </c>
      <c r="AF282" s="61">
        <v>0.65773148148148153</v>
      </c>
      <c r="AH282" t="s">
        <v>795</v>
      </c>
      <c r="AI282" s="31">
        <v>45959</v>
      </c>
      <c r="AJ282" s="61">
        <v>0.4332523148148148</v>
      </c>
      <c r="AK282" t="s">
        <v>5338</v>
      </c>
      <c r="AL282" t="s">
        <v>5339</v>
      </c>
      <c r="AN282" t="s">
        <v>2251</v>
      </c>
      <c r="AP282" t="s">
        <v>2251</v>
      </c>
      <c r="AR282" s="31"/>
      <c r="AX282">
        <v>1</v>
      </c>
    </row>
    <row r="283" spans="1:50" x14ac:dyDescent="0.3">
      <c r="A283" t="s">
        <v>44</v>
      </c>
      <c r="B283">
        <v>638</v>
      </c>
      <c r="D283">
        <v>2640</v>
      </c>
      <c r="G283" t="s">
        <v>5569</v>
      </c>
      <c r="J283" t="s">
        <v>5570</v>
      </c>
      <c r="K283" t="s">
        <v>2254</v>
      </c>
      <c r="M283" t="s">
        <v>1111</v>
      </c>
      <c r="W283" t="s">
        <v>780</v>
      </c>
      <c r="X283" t="s">
        <v>807</v>
      </c>
      <c r="Z283" s="31"/>
      <c r="AC283">
        <v>62</v>
      </c>
      <c r="AD283" t="s">
        <v>44</v>
      </c>
      <c r="AE283" s="31">
        <v>45940</v>
      </c>
      <c r="AF283" s="61">
        <v>0.64271990740740736</v>
      </c>
      <c r="AH283" t="s">
        <v>795</v>
      </c>
      <c r="AI283" s="31">
        <v>46002</v>
      </c>
      <c r="AJ283" s="61">
        <v>0.64072916666666668</v>
      </c>
      <c r="AK283" t="s">
        <v>5338</v>
      </c>
      <c r="AP283" t="s">
        <v>2251</v>
      </c>
      <c r="AR283" s="31"/>
      <c r="AX283">
        <v>1</v>
      </c>
    </row>
    <row r="284" spans="1:50" x14ac:dyDescent="0.3">
      <c r="A284" t="s">
        <v>22</v>
      </c>
      <c r="B284">
        <v>639</v>
      </c>
      <c r="D284">
        <v>2644</v>
      </c>
      <c r="G284" t="s">
        <v>2255</v>
      </c>
      <c r="J284" t="s">
        <v>2256</v>
      </c>
      <c r="K284" t="s">
        <v>2257</v>
      </c>
      <c r="M284" t="s">
        <v>1111</v>
      </c>
      <c r="W284" t="s">
        <v>780</v>
      </c>
      <c r="X284" t="s">
        <v>807</v>
      </c>
      <c r="Z284" s="31"/>
      <c r="AC284">
        <v>33</v>
      </c>
      <c r="AD284" t="s">
        <v>22</v>
      </c>
      <c r="AE284" s="31">
        <v>45945</v>
      </c>
      <c r="AF284" s="61">
        <v>0.73146990740740736</v>
      </c>
      <c r="AH284" t="s">
        <v>795</v>
      </c>
      <c r="AI284" s="31">
        <v>45978</v>
      </c>
      <c r="AJ284" s="61">
        <v>0.64398148148148149</v>
      </c>
      <c r="AK284" t="s">
        <v>934</v>
      </c>
      <c r="AN284" t="s">
        <v>2258</v>
      </c>
      <c r="AO284" t="s">
        <v>22</v>
      </c>
      <c r="AP284" t="s">
        <v>2258</v>
      </c>
      <c r="AR284" s="31"/>
      <c r="AX284">
        <v>1</v>
      </c>
    </row>
    <row r="285" spans="1:50" x14ac:dyDescent="0.3">
      <c r="A285" t="s">
        <v>44</v>
      </c>
      <c r="B285">
        <v>640</v>
      </c>
      <c r="D285">
        <v>2646</v>
      </c>
      <c r="G285" t="s">
        <v>2259</v>
      </c>
      <c r="J285" t="s">
        <v>2260</v>
      </c>
      <c r="K285" t="s">
        <v>2261</v>
      </c>
      <c r="M285" t="s">
        <v>2262</v>
      </c>
      <c r="W285" t="s">
        <v>780</v>
      </c>
      <c r="X285" t="s">
        <v>816</v>
      </c>
      <c r="Z285" s="31"/>
      <c r="AA285">
        <v>1380825</v>
      </c>
      <c r="AB285">
        <v>0</v>
      </c>
      <c r="AC285">
        <v>0</v>
      </c>
      <c r="AD285" t="s">
        <v>44</v>
      </c>
      <c r="AE285" s="31">
        <v>45946</v>
      </c>
      <c r="AF285" s="61">
        <v>0.61724537037037042</v>
      </c>
      <c r="AH285" t="s">
        <v>818</v>
      </c>
      <c r="AI285" s="31">
        <v>45946</v>
      </c>
      <c r="AJ285" s="61">
        <v>0.61929398148148151</v>
      </c>
      <c r="AN285" t="s">
        <v>2263</v>
      </c>
      <c r="AR285" s="31"/>
      <c r="AX285">
        <v>1</v>
      </c>
    </row>
    <row r="286" spans="1:50" x14ac:dyDescent="0.3">
      <c r="A286" t="s">
        <v>44</v>
      </c>
      <c r="B286">
        <v>641</v>
      </c>
      <c r="D286">
        <v>2647</v>
      </c>
      <c r="G286" t="s">
        <v>2264</v>
      </c>
      <c r="J286" t="s">
        <v>2265</v>
      </c>
      <c r="K286" t="s">
        <v>2266</v>
      </c>
      <c r="M286" t="s">
        <v>2249</v>
      </c>
      <c r="W286" t="s">
        <v>780</v>
      </c>
      <c r="X286" t="s">
        <v>793</v>
      </c>
      <c r="Z286" s="31"/>
      <c r="AA286">
        <v>1600</v>
      </c>
      <c r="AB286">
        <v>3695</v>
      </c>
      <c r="AC286">
        <v>13</v>
      </c>
      <c r="AD286" t="s">
        <v>44</v>
      </c>
      <c r="AE286" s="31">
        <v>45946</v>
      </c>
      <c r="AF286" s="61">
        <v>0.69593749999999999</v>
      </c>
      <c r="AH286" t="s">
        <v>795</v>
      </c>
      <c r="AI286" s="31">
        <v>45959</v>
      </c>
      <c r="AJ286" s="61">
        <v>0.43424768518518519</v>
      </c>
      <c r="AK286" t="s">
        <v>5338</v>
      </c>
      <c r="AL286" t="s">
        <v>2267</v>
      </c>
      <c r="AN286" t="s">
        <v>2251</v>
      </c>
      <c r="AP286" t="s">
        <v>2251</v>
      </c>
      <c r="AR286" s="31"/>
      <c r="AX286">
        <v>1</v>
      </c>
    </row>
    <row r="287" spans="1:50" x14ac:dyDescent="0.3">
      <c r="A287" t="s">
        <v>44</v>
      </c>
      <c r="B287">
        <v>642</v>
      </c>
      <c r="D287">
        <v>2648</v>
      </c>
      <c r="E287" t="s">
        <v>4708</v>
      </c>
      <c r="G287" t="s">
        <v>5571</v>
      </c>
      <c r="J287" t="s">
        <v>5572</v>
      </c>
      <c r="K287" t="s">
        <v>2199</v>
      </c>
      <c r="M287" t="s">
        <v>2200</v>
      </c>
      <c r="V287" t="s">
        <v>1419</v>
      </c>
      <c r="W287" t="s">
        <v>780</v>
      </c>
      <c r="X287" t="s">
        <v>807</v>
      </c>
      <c r="Z287" s="31">
        <v>46112</v>
      </c>
      <c r="AA287">
        <v>1600</v>
      </c>
      <c r="AB287">
        <v>335607</v>
      </c>
      <c r="AC287">
        <v>215</v>
      </c>
      <c r="AD287" t="s">
        <v>44</v>
      </c>
      <c r="AE287" s="31">
        <v>45947</v>
      </c>
      <c r="AF287" s="61">
        <v>0.40686342592592589</v>
      </c>
      <c r="AH287" t="s">
        <v>782</v>
      </c>
      <c r="AI287" s="31"/>
      <c r="AJ287" s="61"/>
      <c r="AN287" t="s">
        <v>2203</v>
      </c>
      <c r="AO287" t="s">
        <v>44</v>
      </c>
      <c r="AP287" t="s">
        <v>2202</v>
      </c>
      <c r="AR287" s="31">
        <v>46077</v>
      </c>
      <c r="AS287">
        <v>50</v>
      </c>
      <c r="AX287">
        <v>1</v>
      </c>
    </row>
    <row r="288" spans="1:50" x14ac:dyDescent="0.3">
      <c r="A288" t="s">
        <v>44</v>
      </c>
      <c r="B288">
        <v>643</v>
      </c>
      <c r="D288">
        <v>2649</v>
      </c>
      <c r="E288" t="s">
        <v>2270</v>
      </c>
      <c r="G288" t="s">
        <v>2271</v>
      </c>
      <c r="H288">
        <v>43028557000143</v>
      </c>
      <c r="J288" t="s">
        <v>2272</v>
      </c>
      <c r="K288" t="s">
        <v>2261</v>
      </c>
      <c r="M288" t="s">
        <v>2262</v>
      </c>
      <c r="V288" t="s">
        <v>1581</v>
      </c>
      <c r="W288" t="s">
        <v>780</v>
      </c>
      <c r="X288" t="s">
        <v>816</v>
      </c>
      <c r="Z288" s="31">
        <v>45989</v>
      </c>
      <c r="AA288">
        <v>0</v>
      </c>
      <c r="AB288">
        <v>3564</v>
      </c>
      <c r="AC288">
        <v>129</v>
      </c>
      <c r="AD288" t="s">
        <v>44</v>
      </c>
      <c r="AE288" s="31">
        <v>45947</v>
      </c>
      <c r="AF288" s="61">
        <v>0.4088310185185185</v>
      </c>
      <c r="AH288" t="s">
        <v>795</v>
      </c>
      <c r="AI288" s="31">
        <v>46076</v>
      </c>
      <c r="AJ288" s="61">
        <v>0.43260416666666668</v>
      </c>
      <c r="AK288" t="s">
        <v>5338</v>
      </c>
      <c r="AL288" t="s">
        <v>5573</v>
      </c>
      <c r="AN288" t="s">
        <v>2273</v>
      </c>
      <c r="AO288" t="s">
        <v>44</v>
      </c>
      <c r="AP288" t="s">
        <v>2274</v>
      </c>
      <c r="AR288" s="31">
        <v>46003</v>
      </c>
      <c r="AS288">
        <v>80</v>
      </c>
      <c r="AX288">
        <v>1</v>
      </c>
    </row>
    <row r="289" spans="1:50" x14ac:dyDescent="0.3">
      <c r="A289" t="s">
        <v>44</v>
      </c>
      <c r="B289">
        <v>644</v>
      </c>
      <c r="D289">
        <v>2650</v>
      </c>
      <c r="E289" t="s">
        <v>5574</v>
      </c>
      <c r="G289" t="s">
        <v>2276</v>
      </c>
      <c r="H289">
        <v>62499934000177</v>
      </c>
      <c r="J289" t="s">
        <v>5575</v>
      </c>
      <c r="K289" t="s">
        <v>2278</v>
      </c>
      <c r="M289" t="s">
        <v>2279</v>
      </c>
      <c r="Q289" t="s">
        <v>2280</v>
      </c>
      <c r="R289" t="s">
        <v>790</v>
      </c>
      <c r="V289" t="s">
        <v>1581</v>
      </c>
      <c r="W289" t="s">
        <v>780</v>
      </c>
      <c r="X289" t="s">
        <v>807</v>
      </c>
      <c r="Z289" s="31">
        <v>46081</v>
      </c>
      <c r="AA289">
        <v>118908</v>
      </c>
      <c r="AB289">
        <v>1304844</v>
      </c>
      <c r="AC289">
        <v>117</v>
      </c>
      <c r="AD289" t="s">
        <v>44</v>
      </c>
      <c r="AE289" s="31">
        <v>45947</v>
      </c>
      <c r="AF289" s="61">
        <v>0.42344907407407412</v>
      </c>
      <c r="AH289" t="s">
        <v>795</v>
      </c>
      <c r="AI289" s="31">
        <v>46064</v>
      </c>
      <c r="AJ289" s="61">
        <v>0.7311805555555555</v>
      </c>
      <c r="AK289" t="s">
        <v>5353</v>
      </c>
      <c r="AL289" t="s">
        <v>5576</v>
      </c>
      <c r="AN289" t="s">
        <v>2282</v>
      </c>
      <c r="AO289" t="s">
        <v>44</v>
      </c>
      <c r="AP289" t="s">
        <v>2274</v>
      </c>
      <c r="AQ289" t="s">
        <v>2283</v>
      </c>
      <c r="AR289" s="31">
        <v>46056</v>
      </c>
      <c r="AS289">
        <v>80</v>
      </c>
      <c r="AX289">
        <v>1</v>
      </c>
    </row>
    <row r="290" spans="1:50" x14ac:dyDescent="0.3">
      <c r="A290" t="s">
        <v>44</v>
      </c>
      <c r="B290">
        <v>645</v>
      </c>
      <c r="D290">
        <v>2654</v>
      </c>
      <c r="E290" t="s">
        <v>5574</v>
      </c>
      <c r="G290" t="s">
        <v>2284</v>
      </c>
      <c r="H290">
        <v>62499934000177</v>
      </c>
      <c r="J290" t="s">
        <v>5577</v>
      </c>
      <c r="K290" t="s">
        <v>2278</v>
      </c>
      <c r="M290" t="s">
        <v>2279</v>
      </c>
      <c r="Q290" t="s">
        <v>2280</v>
      </c>
      <c r="R290" t="s">
        <v>790</v>
      </c>
      <c r="V290" t="s">
        <v>1581</v>
      </c>
      <c r="W290" t="s">
        <v>780</v>
      </c>
      <c r="X290" t="s">
        <v>807</v>
      </c>
      <c r="Z290" s="31">
        <v>46081</v>
      </c>
      <c r="AA290">
        <v>1600</v>
      </c>
      <c r="AB290">
        <v>68466</v>
      </c>
      <c r="AC290">
        <v>117</v>
      </c>
      <c r="AD290" t="s">
        <v>44</v>
      </c>
      <c r="AE290" s="31">
        <v>45947</v>
      </c>
      <c r="AF290" s="61">
        <v>0.42556712962962961</v>
      </c>
      <c r="AH290" t="s">
        <v>795</v>
      </c>
      <c r="AI290" s="31">
        <v>46064</v>
      </c>
      <c r="AJ290" s="61">
        <v>0.73228009259259264</v>
      </c>
      <c r="AK290" t="s">
        <v>5353</v>
      </c>
      <c r="AL290" t="s">
        <v>5576</v>
      </c>
      <c r="AN290" t="s">
        <v>2286</v>
      </c>
      <c r="AO290" t="s">
        <v>44</v>
      </c>
      <c r="AP290" t="s">
        <v>2286</v>
      </c>
      <c r="AR290" s="31">
        <v>46056</v>
      </c>
      <c r="AS290">
        <v>80</v>
      </c>
      <c r="AX290">
        <v>1</v>
      </c>
    </row>
    <row r="291" spans="1:50" x14ac:dyDescent="0.3">
      <c r="A291" t="s">
        <v>44</v>
      </c>
      <c r="B291">
        <v>656</v>
      </c>
      <c r="D291">
        <v>2261</v>
      </c>
      <c r="F291" t="s">
        <v>2287</v>
      </c>
      <c r="G291" t="s">
        <v>2288</v>
      </c>
      <c r="H291">
        <v>37905383000157</v>
      </c>
      <c r="J291" t="s">
        <v>2287</v>
      </c>
      <c r="K291" t="s">
        <v>2289</v>
      </c>
      <c r="M291" t="s">
        <v>2290</v>
      </c>
      <c r="Q291" t="s">
        <v>1094</v>
      </c>
      <c r="R291" t="s">
        <v>790</v>
      </c>
      <c r="S291" t="s">
        <v>805</v>
      </c>
      <c r="W291" t="s">
        <v>780</v>
      </c>
      <c r="X291" t="s">
        <v>857</v>
      </c>
      <c r="Z291" s="31"/>
      <c r="AC291">
        <v>34</v>
      </c>
      <c r="AD291" t="s">
        <v>44</v>
      </c>
      <c r="AE291" s="31">
        <v>45952</v>
      </c>
      <c r="AF291" s="61">
        <v>0.71155092592592595</v>
      </c>
      <c r="AH291" t="s">
        <v>795</v>
      </c>
      <c r="AI291" s="31">
        <v>45986</v>
      </c>
      <c r="AJ291" s="61">
        <v>0.70568287037037036</v>
      </c>
      <c r="AK291" t="s">
        <v>858</v>
      </c>
      <c r="AR291" s="31"/>
      <c r="AX291">
        <v>1</v>
      </c>
    </row>
    <row r="292" spans="1:50" x14ac:dyDescent="0.3">
      <c r="A292" t="s">
        <v>44</v>
      </c>
      <c r="B292">
        <v>657</v>
      </c>
      <c r="D292">
        <v>2659</v>
      </c>
      <c r="G292" t="s">
        <v>2291</v>
      </c>
      <c r="J292" t="s">
        <v>5578</v>
      </c>
      <c r="K292" t="s">
        <v>2293</v>
      </c>
      <c r="M292" t="s">
        <v>2294</v>
      </c>
      <c r="Q292" t="s">
        <v>2295</v>
      </c>
      <c r="S292" t="s">
        <v>814</v>
      </c>
      <c r="V292" t="s">
        <v>1186</v>
      </c>
      <c r="W292" t="s">
        <v>780</v>
      </c>
      <c r="X292" t="s">
        <v>857</v>
      </c>
      <c r="Z292" s="31"/>
      <c r="AA292">
        <v>38380</v>
      </c>
      <c r="AB292">
        <v>107526</v>
      </c>
      <c r="AC292">
        <v>32</v>
      </c>
      <c r="AD292" t="s">
        <v>22</v>
      </c>
      <c r="AE292" s="31">
        <v>45953</v>
      </c>
      <c r="AF292" s="61">
        <v>0.63064814814814818</v>
      </c>
      <c r="AH292" t="s">
        <v>795</v>
      </c>
      <c r="AI292" s="31">
        <v>45985</v>
      </c>
      <c r="AJ292" s="61">
        <v>0.70120370370370366</v>
      </c>
      <c r="AK292" t="s">
        <v>5347</v>
      </c>
      <c r="AL292" t="s">
        <v>5579</v>
      </c>
      <c r="AN292" t="s">
        <v>2203</v>
      </c>
      <c r="AO292" t="s">
        <v>44</v>
      </c>
      <c r="AP292" t="s">
        <v>2297</v>
      </c>
      <c r="AR292" s="31"/>
      <c r="AX292">
        <v>1</v>
      </c>
    </row>
    <row r="293" spans="1:50" x14ac:dyDescent="0.3">
      <c r="A293" t="s">
        <v>44</v>
      </c>
      <c r="B293">
        <v>659</v>
      </c>
      <c r="D293">
        <v>2680</v>
      </c>
      <c r="G293" t="s">
        <v>2298</v>
      </c>
      <c r="J293" t="s">
        <v>2299</v>
      </c>
      <c r="K293" t="s">
        <v>2300</v>
      </c>
      <c r="M293" t="s">
        <v>2301</v>
      </c>
      <c r="Q293" t="s">
        <v>923</v>
      </c>
      <c r="S293" t="s">
        <v>814</v>
      </c>
      <c r="V293" t="s">
        <v>1186</v>
      </c>
      <c r="W293" t="s">
        <v>780</v>
      </c>
      <c r="X293" t="s">
        <v>897</v>
      </c>
      <c r="Z293" s="31"/>
      <c r="AC293">
        <v>9</v>
      </c>
      <c r="AD293" t="s">
        <v>22</v>
      </c>
      <c r="AE293" s="31">
        <v>45957</v>
      </c>
      <c r="AF293" s="61">
        <v>0.65108796296296301</v>
      </c>
      <c r="AH293" t="s">
        <v>795</v>
      </c>
      <c r="AI293" s="31">
        <v>45966</v>
      </c>
      <c r="AJ293" s="61">
        <v>0.38394675925925931</v>
      </c>
      <c r="AK293" t="s">
        <v>5419</v>
      </c>
      <c r="AL293" t="s">
        <v>5580</v>
      </c>
      <c r="AO293" t="s">
        <v>44</v>
      </c>
      <c r="AR293" s="31"/>
      <c r="AX293">
        <v>1</v>
      </c>
    </row>
    <row r="294" spans="1:50" x14ac:dyDescent="0.3">
      <c r="A294" t="s">
        <v>44</v>
      </c>
      <c r="B294">
        <v>662</v>
      </c>
      <c r="D294">
        <v>2684</v>
      </c>
      <c r="E294" t="s">
        <v>5581</v>
      </c>
      <c r="F294" t="s">
        <v>2304</v>
      </c>
      <c r="G294" t="s">
        <v>2305</v>
      </c>
      <c r="H294">
        <v>44628219000105</v>
      </c>
      <c r="J294" t="s">
        <v>2304</v>
      </c>
      <c r="K294" t="s">
        <v>2306</v>
      </c>
      <c r="M294" t="s">
        <v>2307</v>
      </c>
      <c r="Q294" t="s">
        <v>2308</v>
      </c>
      <c r="R294" t="s">
        <v>932</v>
      </c>
      <c r="S294" t="s">
        <v>805</v>
      </c>
      <c r="V294" t="s">
        <v>1718</v>
      </c>
      <c r="W294" t="s">
        <v>780</v>
      </c>
      <c r="X294" t="s">
        <v>807</v>
      </c>
      <c r="Z294" s="31">
        <v>46052</v>
      </c>
      <c r="AA294">
        <v>38380</v>
      </c>
      <c r="AB294">
        <v>107526</v>
      </c>
      <c r="AC294">
        <v>80</v>
      </c>
      <c r="AD294" t="s">
        <v>44</v>
      </c>
      <c r="AE294" s="31">
        <v>45958</v>
      </c>
      <c r="AF294" s="61">
        <v>0.42758101851851849</v>
      </c>
      <c r="AH294" t="s">
        <v>795</v>
      </c>
      <c r="AI294" s="31">
        <v>46038</v>
      </c>
      <c r="AJ294" s="61">
        <v>0.66612268518518514</v>
      </c>
      <c r="AK294" t="s">
        <v>934</v>
      </c>
      <c r="AL294" t="s">
        <v>5581</v>
      </c>
      <c r="AN294" t="s">
        <v>2309</v>
      </c>
      <c r="AP294" t="s">
        <v>2203</v>
      </c>
      <c r="AR294" s="31">
        <v>46038</v>
      </c>
      <c r="AX294">
        <v>1</v>
      </c>
    </row>
    <row r="295" spans="1:50" x14ac:dyDescent="0.3">
      <c r="A295" t="s">
        <v>44</v>
      </c>
      <c r="B295">
        <v>665</v>
      </c>
      <c r="D295">
        <v>2692</v>
      </c>
      <c r="E295" t="s">
        <v>5581</v>
      </c>
      <c r="G295" t="s">
        <v>5582</v>
      </c>
      <c r="J295" t="s">
        <v>5583</v>
      </c>
      <c r="K295" t="s">
        <v>2312</v>
      </c>
      <c r="M295" t="s">
        <v>2307</v>
      </c>
      <c r="V295" t="s">
        <v>1718</v>
      </c>
      <c r="W295" t="s">
        <v>780</v>
      </c>
      <c r="X295" t="s">
        <v>807</v>
      </c>
      <c r="Z295" s="31">
        <v>46052</v>
      </c>
      <c r="AA295">
        <v>1600</v>
      </c>
      <c r="AB295">
        <v>2174</v>
      </c>
      <c r="AC295">
        <v>79</v>
      </c>
      <c r="AD295" t="s">
        <v>44</v>
      </c>
      <c r="AE295" s="31">
        <v>45959</v>
      </c>
      <c r="AF295" s="61">
        <v>0.70923611111111107</v>
      </c>
      <c r="AH295" t="s">
        <v>795</v>
      </c>
      <c r="AI295" s="31">
        <v>46038</v>
      </c>
      <c r="AJ295" s="61">
        <v>0.66703703703703698</v>
      </c>
      <c r="AK295" t="s">
        <v>934</v>
      </c>
      <c r="AL295" t="s">
        <v>5581</v>
      </c>
      <c r="AN295" t="s">
        <v>2309</v>
      </c>
      <c r="AP295" t="s">
        <v>2203</v>
      </c>
      <c r="AR295" s="31">
        <v>46038</v>
      </c>
      <c r="AX295">
        <v>1</v>
      </c>
    </row>
    <row r="296" spans="1:50" x14ac:dyDescent="0.3">
      <c r="A296" t="s">
        <v>44</v>
      </c>
      <c r="B296">
        <v>667</v>
      </c>
      <c r="D296">
        <v>2698</v>
      </c>
      <c r="G296" t="s">
        <v>2313</v>
      </c>
      <c r="J296" t="s">
        <v>2314</v>
      </c>
      <c r="K296" t="s">
        <v>2315</v>
      </c>
      <c r="M296" t="s">
        <v>2294</v>
      </c>
      <c r="W296" t="s">
        <v>780</v>
      </c>
      <c r="X296" t="s">
        <v>857</v>
      </c>
      <c r="Z296" s="31"/>
      <c r="AA296">
        <v>1600</v>
      </c>
      <c r="AB296">
        <v>21746</v>
      </c>
      <c r="AC296">
        <v>25</v>
      </c>
      <c r="AD296" t="s">
        <v>44</v>
      </c>
      <c r="AE296" s="31">
        <v>45960</v>
      </c>
      <c r="AF296" s="61">
        <v>0.45494212962962971</v>
      </c>
      <c r="AH296" t="s">
        <v>795</v>
      </c>
      <c r="AI296" s="31">
        <v>45985</v>
      </c>
      <c r="AJ296" s="61">
        <v>0.70178240740740738</v>
      </c>
      <c r="AK296" t="s">
        <v>5347</v>
      </c>
      <c r="AL296" t="s">
        <v>5579</v>
      </c>
      <c r="AN296" t="s">
        <v>2203</v>
      </c>
      <c r="AP296" t="s">
        <v>2297</v>
      </c>
      <c r="AR296" s="31"/>
      <c r="AX296">
        <v>1</v>
      </c>
    </row>
    <row r="297" spans="1:50" x14ac:dyDescent="0.3">
      <c r="A297" t="s">
        <v>44</v>
      </c>
      <c r="B297">
        <v>669</v>
      </c>
      <c r="D297">
        <v>2718</v>
      </c>
      <c r="G297" t="s">
        <v>2316</v>
      </c>
      <c r="J297" t="s">
        <v>2317</v>
      </c>
      <c r="K297" t="s">
        <v>2318</v>
      </c>
      <c r="M297" t="s">
        <v>1111</v>
      </c>
      <c r="W297" t="s">
        <v>780</v>
      </c>
      <c r="X297" t="s">
        <v>793</v>
      </c>
      <c r="Z297" s="31"/>
      <c r="AA297">
        <v>0</v>
      </c>
      <c r="AB297">
        <v>2185</v>
      </c>
      <c r="AC297">
        <v>26</v>
      </c>
      <c r="AD297" t="s">
        <v>44</v>
      </c>
      <c r="AE297" s="31">
        <v>45961</v>
      </c>
      <c r="AF297" s="61">
        <v>0.4906712962962963</v>
      </c>
      <c r="AH297" t="s">
        <v>795</v>
      </c>
      <c r="AI297" s="31">
        <v>45987</v>
      </c>
      <c r="AJ297" s="61">
        <v>0.5857175925925926</v>
      </c>
      <c r="AK297" t="s">
        <v>5338</v>
      </c>
      <c r="AL297" t="s">
        <v>5584</v>
      </c>
      <c r="AN297" t="s">
        <v>2282</v>
      </c>
      <c r="AP297" t="s">
        <v>2282</v>
      </c>
      <c r="AR297" s="31"/>
      <c r="AX297">
        <v>1</v>
      </c>
    </row>
    <row r="298" spans="1:50" x14ac:dyDescent="0.3">
      <c r="A298" t="s">
        <v>31</v>
      </c>
      <c r="B298">
        <v>672</v>
      </c>
      <c r="D298">
        <v>2729</v>
      </c>
      <c r="E298" t="s">
        <v>4710</v>
      </c>
      <c r="G298" t="s">
        <v>2321</v>
      </c>
      <c r="J298" t="s">
        <v>2322</v>
      </c>
      <c r="K298" t="s">
        <v>2323</v>
      </c>
      <c r="M298" t="s">
        <v>1111</v>
      </c>
      <c r="S298" t="s">
        <v>933</v>
      </c>
      <c r="V298" t="s">
        <v>1419</v>
      </c>
      <c r="W298" t="s">
        <v>780</v>
      </c>
      <c r="X298" t="s">
        <v>807</v>
      </c>
      <c r="Z298" s="31">
        <v>46203</v>
      </c>
      <c r="AA298">
        <v>46200</v>
      </c>
      <c r="AB298">
        <v>146047</v>
      </c>
      <c r="AC298">
        <v>191</v>
      </c>
      <c r="AD298" t="s">
        <v>31</v>
      </c>
      <c r="AE298" s="31">
        <v>45964</v>
      </c>
      <c r="AF298" s="61">
        <v>0.65491898148148153</v>
      </c>
      <c r="AH298" t="s">
        <v>795</v>
      </c>
      <c r="AI298" s="31">
        <v>46155</v>
      </c>
      <c r="AJ298" s="61">
        <v>0.40265046296296297</v>
      </c>
      <c r="AK298" t="s">
        <v>5338</v>
      </c>
      <c r="AN298" t="s">
        <v>2324</v>
      </c>
      <c r="AO298" t="s">
        <v>31</v>
      </c>
      <c r="AP298" t="s">
        <v>2325</v>
      </c>
      <c r="AQ298" t="s">
        <v>2326</v>
      </c>
      <c r="AR298" s="31">
        <v>46097</v>
      </c>
      <c r="AS298">
        <v>50</v>
      </c>
      <c r="AX298">
        <v>1</v>
      </c>
    </row>
    <row r="299" spans="1:50" x14ac:dyDescent="0.3">
      <c r="A299" t="s">
        <v>22</v>
      </c>
      <c r="B299">
        <v>673</v>
      </c>
      <c r="D299">
        <v>2730</v>
      </c>
      <c r="E299" t="s">
        <v>2327</v>
      </c>
      <c r="G299" t="s">
        <v>2328</v>
      </c>
      <c r="H299">
        <v>22949063000121</v>
      </c>
      <c r="J299" t="s">
        <v>2329</v>
      </c>
      <c r="K299" t="s">
        <v>2330</v>
      </c>
      <c r="M299" t="s">
        <v>2331</v>
      </c>
      <c r="Q299" t="s">
        <v>1094</v>
      </c>
      <c r="R299" t="s">
        <v>790</v>
      </c>
      <c r="S299" t="s">
        <v>791</v>
      </c>
      <c r="V299" t="s">
        <v>1718</v>
      </c>
      <c r="W299" t="s">
        <v>780</v>
      </c>
      <c r="X299" t="s">
        <v>807</v>
      </c>
      <c r="Z299" s="31">
        <v>46053</v>
      </c>
      <c r="AA299">
        <v>20000</v>
      </c>
      <c r="AB299">
        <v>5880</v>
      </c>
      <c r="AC299">
        <v>94</v>
      </c>
      <c r="AD299" t="s">
        <v>22</v>
      </c>
      <c r="AE299" s="31">
        <v>45966</v>
      </c>
      <c r="AF299" s="61">
        <v>0.45071759259259259</v>
      </c>
      <c r="AH299" t="s">
        <v>795</v>
      </c>
      <c r="AI299" s="31">
        <v>46060</v>
      </c>
      <c r="AJ299" s="61">
        <v>0.36284722222222221</v>
      </c>
      <c r="AK299" t="s">
        <v>5353</v>
      </c>
      <c r="AL299" t="s">
        <v>2332</v>
      </c>
      <c r="AN299" t="s">
        <v>2333</v>
      </c>
      <c r="AO299" t="s">
        <v>22</v>
      </c>
      <c r="AP299" t="s">
        <v>2334</v>
      </c>
      <c r="AR299" s="31">
        <v>46045</v>
      </c>
      <c r="AS299">
        <v>30</v>
      </c>
      <c r="AX299">
        <v>1</v>
      </c>
    </row>
    <row r="300" spans="1:50" x14ac:dyDescent="0.3">
      <c r="A300" t="s">
        <v>44</v>
      </c>
      <c r="B300">
        <v>674</v>
      </c>
      <c r="D300">
        <v>2733</v>
      </c>
      <c r="F300" t="s">
        <v>2335</v>
      </c>
      <c r="G300" t="s">
        <v>2336</v>
      </c>
      <c r="H300">
        <v>4911908000370</v>
      </c>
      <c r="J300" t="s">
        <v>2335</v>
      </c>
      <c r="K300" t="s">
        <v>2337</v>
      </c>
      <c r="M300" t="s">
        <v>2338</v>
      </c>
      <c r="Q300" t="s">
        <v>2339</v>
      </c>
      <c r="R300" t="s">
        <v>790</v>
      </c>
      <c r="S300" t="s">
        <v>805</v>
      </c>
      <c r="W300" t="s">
        <v>780</v>
      </c>
      <c r="X300" t="s">
        <v>793</v>
      </c>
      <c r="Z300" s="31"/>
      <c r="AA300">
        <v>81786</v>
      </c>
      <c r="AB300">
        <v>914979</v>
      </c>
      <c r="AC300">
        <v>21</v>
      </c>
      <c r="AD300" t="s">
        <v>44</v>
      </c>
      <c r="AE300" s="31">
        <v>45966</v>
      </c>
      <c r="AF300" s="61">
        <v>0.64677083333333329</v>
      </c>
      <c r="AH300" t="s">
        <v>795</v>
      </c>
      <c r="AI300" s="31">
        <v>45987</v>
      </c>
      <c r="AJ300" s="61">
        <v>0.5209259259259259</v>
      </c>
      <c r="AK300" t="s">
        <v>858</v>
      </c>
      <c r="AL300" t="s">
        <v>2340</v>
      </c>
      <c r="AN300" t="s">
        <v>2286</v>
      </c>
      <c r="AP300" t="s">
        <v>2341</v>
      </c>
      <c r="AR300" s="31"/>
      <c r="AX300">
        <v>1</v>
      </c>
    </row>
    <row r="301" spans="1:50" x14ac:dyDescent="0.3">
      <c r="A301" t="s">
        <v>44</v>
      </c>
      <c r="B301">
        <v>680</v>
      </c>
      <c r="D301">
        <v>2755</v>
      </c>
      <c r="G301" t="s">
        <v>2342</v>
      </c>
      <c r="J301" t="s">
        <v>2343</v>
      </c>
      <c r="K301" t="s">
        <v>1549</v>
      </c>
      <c r="M301" t="s">
        <v>1522</v>
      </c>
      <c r="W301" t="s">
        <v>780</v>
      </c>
      <c r="X301" t="s">
        <v>816</v>
      </c>
      <c r="Z301" s="31"/>
      <c r="AA301">
        <v>0</v>
      </c>
      <c r="AB301">
        <v>3564</v>
      </c>
      <c r="AC301">
        <v>13</v>
      </c>
      <c r="AD301" t="s">
        <v>44</v>
      </c>
      <c r="AE301" s="31">
        <v>45973</v>
      </c>
      <c r="AF301" s="61">
        <v>0.43079861111111112</v>
      </c>
      <c r="AH301" t="s">
        <v>818</v>
      </c>
      <c r="AI301" s="31">
        <v>45986</v>
      </c>
      <c r="AJ301" s="61">
        <v>0.64148148148148143</v>
      </c>
      <c r="AN301" t="s">
        <v>2341</v>
      </c>
      <c r="AP301" t="s">
        <v>2341</v>
      </c>
      <c r="AR301" s="31"/>
      <c r="AX301">
        <v>1</v>
      </c>
    </row>
    <row r="302" spans="1:50" x14ac:dyDescent="0.3">
      <c r="A302" t="s">
        <v>44</v>
      </c>
      <c r="B302">
        <v>681</v>
      </c>
      <c r="D302">
        <v>2756</v>
      </c>
      <c r="E302" t="s">
        <v>2344</v>
      </c>
      <c r="G302" t="s">
        <v>2345</v>
      </c>
      <c r="H302">
        <v>43252675000130</v>
      </c>
      <c r="J302" t="s">
        <v>5585</v>
      </c>
      <c r="K302" t="s">
        <v>2347</v>
      </c>
      <c r="M302" t="s">
        <v>2348</v>
      </c>
      <c r="Q302" t="s">
        <v>1787</v>
      </c>
      <c r="R302" t="s">
        <v>790</v>
      </c>
      <c r="V302" t="s">
        <v>1581</v>
      </c>
      <c r="W302" t="s">
        <v>780</v>
      </c>
      <c r="X302" t="s">
        <v>816</v>
      </c>
      <c r="Z302" s="31">
        <v>46022</v>
      </c>
      <c r="AA302">
        <v>22000</v>
      </c>
      <c r="AB302">
        <v>1800</v>
      </c>
      <c r="AC302">
        <v>54</v>
      </c>
      <c r="AD302" t="s">
        <v>44</v>
      </c>
      <c r="AE302" s="31">
        <v>45973</v>
      </c>
      <c r="AF302" s="61">
        <v>0.6058217592592593</v>
      </c>
      <c r="AH302" t="s">
        <v>818</v>
      </c>
      <c r="AI302" s="31">
        <v>46027</v>
      </c>
      <c r="AJ302" s="61">
        <v>0.61912037037037038</v>
      </c>
      <c r="AN302" t="s">
        <v>2341</v>
      </c>
      <c r="AO302" t="s">
        <v>44</v>
      </c>
      <c r="AP302" t="s">
        <v>2341</v>
      </c>
      <c r="AQ302" t="s">
        <v>2349</v>
      </c>
      <c r="AR302" s="31">
        <v>46003</v>
      </c>
      <c r="AX302">
        <v>1</v>
      </c>
    </row>
    <row r="303" spans="1:50" x14ac:dyDescent="0.3">
      <c r="A303" t="s">
        <v>44</v>
      </c>
      <c r="B303">
        <v>684</v>
      </c>
      <c r="D303">
        <v>2760</v>
      </c>
      <c r="G303" t="s">
        <v>5586</v>
      </c>
      <c r="J303" t="s">
        <v>5587</v>
      </c>
      <c r="K303" t="s">
        <v>2352</v>
      </c>
      <c r="M303" t="s">
        <v>2353</v>
      </c>
      <c r="V303" t="s">
        <v>1718</v>
      </c>
      <c r="W303" t="s">
        <v>780</v>
      </c>
      <c r="X303" t="s">
        <v>793</v>
      </c>
      <c r="Z303" s="31"/>
      <c r="AA303">
        <v>106400</v>
      </c>
      <c r="AB303">
        <v>1419164</v>
      </c>
      <c r="AC303">
        <v>13</v>
      </c>
      <c r="AD303" t="s">
        <v>44</v>
      </c>
      <c r="AE303" s="31">
        <v>45974</v>
      </c>
      <c r="AF303" s="61">
        <v>0.5064467592592593</v>
      </c>
      <c r="AH303" t="s">
        <v>795</v>
      </c>
      <c r="AI303" s="31">
        <v>45987</v>
      </c>
      <c r="AJ303" s="61">
        <v>0.53358796296296296</v>
      </c>
      <c r="AK303" t="s">
        <v>5338</v>
      </c>
      <c r="AL303" t="s">
        <v>2366</v>
      </c>
      <c r="AN303" t="s">
        <v>2355</v>
      </c>
      <c r="AP303" t="s">
        <v>2355</v>
      </c>
      <c r="AR303" s="31"/>
      <c r="AX303">
        <v>1</v>
      </c>
    </row>
    <row r="304" spans="1:50" x14ac:dyDescent="0.3">
      <c r="A304" t="s">
        <v>31</v>
      </c>
      <c r="B304">
        <v>685</v>
      </c>
      <c r="D304">
        <v>2761</v>
      </c>
      <c r="F304" t="s">
        <v>2356</v>
      </c>
      <c r="G304" t="s">
        <v>2357</v>
      </c>
      <c r="H304">
        <v>42517186000109</v>
      </c>
      <c r="J304" t="s">
        <v>2356</v>
      </c>
      <c r="K304" t="s">
        <v>2358</v>
      </c>
      <c r="M304" t="s">
        <v>2359</v>
      </c>
      <c r="Q304" t="s">
        <v>2360</v>
      </c>
      <c r="R304" t="s">
        <v>790</v>
      </c>
      <c r="S304" t="s">
        <v>805</v>
      </c>
      <c r="W304" t="s">
        <v>780</v>
      </c>
      <c r="X304" t="s">
        <v>781</v>
      </c>
      <c r="Z304" s="31"/>
      <c r="AC304">
        <v>0</v>
      </c>
      <c r="AD304" t="s">
        <v>31</v>
      </c>
      <c r="AE304" s="31">
        <v>45974</v>
      </c>
      <c r="AF304" s="61">
        <v>0.67355324074074074</v>
      </c>
      <c r="AH304" t="s">
        <v>795</v>
      </c>
      <c r="AI304" s="31">
        <v>45974</v>
      </c>
      <c r="AJ304" s="61">
        <v>0.6752893518518519</v>
      </c>
      <c r="AK304" t="s">
        <v>5347</v>
      </c>
      <c r="AO304" t="s">
        <v>31</v>
      </c>
      <c r="AR304" s="31"/>
      <c r="AX304">
        <v>1</v>
      </c>
    </row>
    <row r="305" spans="1:50" x14ac:dyDescent="0.3">
      <c r="A305" t="s">
        <v>44</v>
      </c>
      <c r="B305">
        <v>690</v>
      </c>
      <c r="D305">
        <v>2872</v>
      </c>
      <c r="G305" t="s">
        <v>5588</v>
      </c>
      <c r="J305" t="s">
        <v>5589</v>
      </c>
      <c r="K305" t="s">
        <v>1579</v>
      </c>
      <c r="M305" t="s">
        <v>1111</v>
      </c>
      <c r="V305" t="s">
        <v>1704</v>
      </c>
      <c r="W305" t="s">
        <v>780</v>
      </c>
      <c r="X305" t="s">
        <v>816</v>
      </c>
      <c r="Z305" s="31">
        <v>45987</v>
      </c>
      <c r="AA305">
        <v>0</v>
      </c>
      <c r="AB305">
        <v>114048</v>
      </c>
      <c r="AC305">
        <v>16</v>
      </c>
      <c r="AD305" t="s">
        <v>44</v>
      </c>
      <c r="AE305" s="31">
        <v>45985</v>
      </c>
      <c r="AF305" s="61">
        <v>0.70365740740740745</v>
      </c>
      <c r="AH305" t="s">
        <v>818</v>
      </c>
      <c r="AI305" s="31">
        <v>46001</v>
      </c>
      <c r="AJ305" s="61">
        <v>0.42643518518518519</v>
      </c>
      <c r="AN305" t="s">
        <v>2363</v>
      </c>
      <c r="AP305" t="s">
        <v>2363</v>
      </c>
      <c r="AR305" s="31"/>
      <c r="AX305">
        <v>1</v>
      </c>
    </row>
    <row r="306" spans="1:50" x14ac:dyDescent="0.3">
      <c r="A306" t="s">
        <v>44</v>
      </c>
      <c r="B306">
        <v>692</v>
      </c>
      <c r="D306">
        <v>2880</v>
      </c>
      <c r="G306" t="s">
        <v>5590</v>
      </c>
      <c r="J306" t="s">
        <v>5591</v>
      </c>
      <c r="K306" t="s">
        <v>2352</v>
      </c>
      <c r="M306" t="s">
        <v>2353</v>
      </c>
      <c r="V306" t="s">
        <v>1718</v>
      </c>
      <c r="W306" t="s">
        <v>780</v>
      </c>
      <c r="X306" t="s">
        <v>793</v>
      </c>
      <c r="Z306" s="31"/>
      <c r="AA306">
        <v>1600</v>
      </c>
      <c r="AB306">
        <v>860304</v>
      </c>
      <c r="AC306">
        <v>1</v>
      </c>
      <c r="AD306" t="s">
        <v>44</v>
      </c>
      <c r="AE306" s="31">
        <v>45986</v>
      </c>
      <c r="AF306" s="61">
        <v>0.62754629629629632</v>
      </c>
      <c r="AH306" t="s">
        <v>795</v>
      </c>
      <c r="AI306" s="31">
        <v>45987</v>
      </c>
      <c r="AJ306" s="61">
        <v>0.53437500000000004</v>
      </c>
      <c r="AK306" t="s">
        <v>5338</v>
      </c>
      <c r="AL306" t="s">
        <v>2366</v>
      </c>
      <c r="AN306" t="s">
        <v>2355</v>
      </c>
      <c r="AP306" t="s">
        <v>2355</v>
      </c>
      <c r="AR306" s="31"/>
      <c r="AX306">
        <v>1</v>
      </c>
    </row>
    <row r="307" spans="1:50" x14ac:dyDescent="0.3">
      <c r="A307" t="s">
        <v>44</v>
      </c>
      <c r="B307">
        <v>693</v>
      </c>
      <c r="D307">
        <v>2881</v>
      </c>
      <c r="G307" t="s">
        <v>5592</v>
      </c>
      <c r="J307" t="s">
        <v>5593</v>
      </c>
      <c r="K307" t="s">
        <v>2369</v>
      </c>
      <c r="M307" t="s">
        <v>1111</v>
      </c>
      <c r="W307" t="s">
        <v>780</v>
      </c>
      <c r="X307" t="s">
        <v>781</v>
      </c>
      <c r="Z307" s="31"/>
      <c r="AA307">
        <v>330714</v>
      </c>
      <c r="AB307">
        <v>0</v>
      </c>
      <c r="AC307">
        <v>0</v>
      </c>
      <c r="AD307" t="s">
        <v>44</v>
      </c>
      <c r="AE307" s="31">
        <v>45986</v>
      </c>
      <c r="AF307" s="61">
        <v>0.65606481481481482</v>
      </c>
      <c r="AH307" t="s">
        <v>818</v>
      </c>
      <c r="AI307" s="31">
        <v>45986</v>
      </c>
      <c r="AJ307" s="61">
        <v>0.65793981481481478</v>
      </c>
      <c r="AN307" t="s">
        <v>2283</v>
      </c>
      <c r="AP307" t="s">
        <v>2283</v>
      </c>
      <c r="AR307" s="31"/>
      <c r="AX307">
        <v>1</v>
      </c>
    </row>
    <row r="308" spans="1:50" x14ac:dyDescent="0.3">
      <c r="A308" t="s">
        <v>44</v>
      </c>
      <c r="B308">
        <v>694</v>
      </c>
      <c r="D308">
        <v>2882</v>
      </c>
      <c r="G308" t="s">
        <v>2370</v>
      </c>
      <c r="J308" t="s">
        <v>5594</v>
      </c>
      <c r="K308" t="s">
        <v>2372</v>
      </c>
      <c r="M308" t="s">
        <v>1111</v>
      </c>
      <c r="V308" t="s">
        <v>1718</v>
      </c>
      <c r="W308" t="s">
        <v>780</v>
      </c>
      <c r="X308" t="s">
        <v>793</v>
      </c>
      <c r="Z308" s="31">
        <v>46023</v>
      </c>
      <c r="AA308">
        <v>16960</v>
      </c>
      <c r="AB308">
        <v>450</v>
      </c>
      <c r="AC308">
        <v>15</v>
      </c>
      <c r="AD308" t="s">
        <v>44</v>
      </c>
      <c r="AE308" s="31">
        <v>45986</v>
      </c>
      <c r="AF308" s="61">
        <v>0.66625000000000001</v>
      </c>
      <c r="AH308" t="s">
        <v>795</v>
      </c>
      <c r="AI308" s="31">
        <v>46001</v>
      </c>
      <c r="AJ308" s="61">
        <v>0.39305555555555549</v>
      </c>
      <c r="AK308" t="s">
        <v>5338</v>
      </c>
      <c r="AL308" t="s">
        <v>5595</v>
      </c>
      <c r="AN308" t="s">
        <v>2286</v>
      </c>
      <c r="AP308" t="s">
        <v>2286</v>
      </c>
      <c r="AR308" s="31"/>
      <c r="AX308">
        <v>1</v>
      </c>
    </row>
    <row r="309" spans="1:50" x14ac:dyDescent="0.3">
      <c r="A309" t="s">
        <v>44</v>
      </c>
      <c r="B309">
        <v>695</v>
      </c>
      <c r="D309">
        <v>2883</v>
      </c>
      <c r="G309" t="s">
        <v>2374</v>
      </c>
      <c r="H309">
        <v>57524096000104</v>
      </c>
      <c r="J309" t="s">
        <v>5596</v>
      </c>
      <c r="K309" t="s">
        <v>2376</v>
      </c>
      <c r="M309" t="s">
        <v>2377</v>
      </c>
      <c r="Q309" t="s">
        <v>2378</v>
      </c>
      <c r="R309" t="s">
        <v>2379</v>
      </c>
      <c r="V309" t="s">
        <v>1718</v>
      </c>
      <c r="W309" t="s">
        <v>780</v>
      </c>
      <c r="X309" t="s">
        <v>857</v>
      </c>
      <c r="Z309" s="31"/>
      <c r="AC309">
        <v>8</v>
      </c>
      <c r="AD309" t="s">
        <v>44</v>
      </c>
      <c r="AE309" s="31">
        <v>45986</v>
      </c>
      <c r="AF309" s="61">
        <v>0.68422453703703701</v>
      </c>
      <c r="AH309" t="s">
        <v>795</v>
      </c>
      <c r="AI309" s="31">
        <v>45994</v>
      </c>
      <c r="AJ309" s="61">
        <v>0.66239583333333329</v>
      </c>
      <c r="AK309" t="s">
        <v>5338</v>
      </c>
      <c r="AL309" t="s">
        <v>5597</v>
      </c>
      <c r="AN309" t="s">
        <v>2349</v>
      </c>
      <c r="AP309" t="s">
        <v>2273</v>
      </c>
      <c r="AR309" s="31"/>
      <c r="AX309">
        <v>1</v>
      </c>
    </row>
    <row r="310" spans="1:50" x14ac:dyDescent="0.3">
      <c r="A310" t="s">
        <v>44</v>
      </c>
      <c r="B310">
        <v>696</v>
      </c>
      <c r="D310">
        <v>2885</v>
      </c>
      <c r="G310" t="s">
        <v>2381</v>
      </c>
      <c r="H310">
        <v>57524096000104</v>
      </c>
      <c r="J310" t="s">
        <v>2382</v>
      </c>
      <c r="K310" t="s">
        <v>2376</v>
      </c>
      <c r="M310" t="s">
        <v>2377</v>
      </c>
      <c r="V310" t="s">
        <v>1718</v>
      </c>
      <c r="W310" t="s">
        <v>780</v>
      </c>
      <c r="X310" t="s">
        <v>857</v>
      </c>
      <c r="Z310" s="31"/>
      <c r="AC310">
        <v>8</v>
      </c>
      <c r="AD310" t="s">
        <v>44</v>
      </c>
      <c r="AE310" s="31">
        <v>45986</v>
      </c>
      <c r="AF310" s="61">
        <v>0.70030092592592597</v>
      </c>
      <c r="AH310" t="s">
        <v>795</v>
      </c>
      <c r="AI310" s="31">
        <v>45994</v>
      </c>
      <c r="AJ310" s="61">
        <v>0.66202546296296294</v>
      </c>
      <c r="AK310" t="s">
        <v>5338</v>
      </c>
      <c r="AL310" t="s">
        <v>5597</v>
      </c>
      <c r="AN310" t="s">
        <v>2349</v>
      </c>
      <c r="AP310" t="s">
        <v>2273</v>
      </c>
      <c r="AR310" s="31"/>
      <c r="AX310">
        <v>1</v>
      </c>
    </row>
    <row r="311" spans="1:50" x14ac:dyDescent="0.3">
      <c r="A311" t="s">
        <v>44</v>
      </c>
      <c r="B311">
        <v>697</v>
      </c>
      <c r="D311">
        <v>2887</v>
      </c>
      <c r="G311" t="s">
        <v>2383</v>
      </c>
      <c r="J311" t="s">
        <v>2384</v>
      </c>
      <c r="K311" t="s">
        <v>2385</v>
      </c>
      <c r="M311" t="s">
        <v>2338</v>
      </c>
      <c r="W311" t="s">
        <v>780</v>
      </c>
      <c r="X311" t="s">
        <v>857</v>
      </c>
      <c r="Z311" s="31"/>
      <c r="AA311">
        <v>1600</v>
      </c>
      <c r="AB311">
        <v>335607</v>
      </c>
      <c r="AC311">
        <v>1</v>
      </c>
      <c r="AD311" t="s">
        <v>44</v>
      </c>
      <c r="AE311" s="31">
        <v>45986</v>
      </c>
      <c r="AF311" s="61">
        <v>0.71326388888888892</v>
      </c>
      <c r="AH311" t="s">
        <v>795</v>
      </c>
      <c r="AI311" s="31">
        <v>45987</v>
      </c>
      <c r="AJ311" s="61">
        <v>0.52252314814814815</v>
      </c>
      <c r="AK311" t="s">
        <v>858</v>
      </c>
      <c r="AL311" t="s">
        <v>2340</v>
      </c>
      <c r="AN311" t="s">
        <v>2286</v>
      </c>
      <c r="AP311" t="s">
        <v>2341</v>
      </c>
      <c r="AR311" s="31"/>
      <c r="AX311">
        <v>1</v>
      </c>
    </row>
    <row r="312" spans="1:50" x14ac:dyDescent="0.3">
      <c r="A312" t="s">
        <v>22</v>
      </c>
      <c r="B312">
        <v>700</v>
      </c>
      <c r="D312">
        <v>2874</v>
      </c>
      <c r="G312" t="s">
        <v>2386</v>
      </c>
      <c r="J312" t="s">
        <v>2387</v>
      </c>
      <c r="K312" t="s">
        <v>2388</v>
      </c>
      <c r="M312" t="s">
        <v>2389</v>
      </c>
      <c r="Q312" t="s">
        <v>2390</v>
      </c>
      <c r="S312" t="s">
        <v>814</v>
      </c>
      <c r="V312" t="s">
        <v>5598</v>
      </c>
      <c r="W312" t="s">
        <v>780</v>
      </c>
      <c r="X312" t="s">
        <v>793</v>
      </c>
      <c r="Z312" s="31">
        <v>46053</v>
      </c>
      <c r="AC312">
        <v>14</v>
      </c>
      <c r="AD312" t="s">
        <v>22</v>
      </c>
      <c r="AE312" s="31">
        <v>45987</v>
      </c>
      <c r="AF312" s="61">
        <v>0.47543981481481479</v>
      </c>
      <c r="AH312" t="s">
        <v>795</v>
      </c>
      <c r="AI312" s="31">
        <v>46001</v>
      </c>
      <c r="AJ312" s="61">
        <v>0.96790509259259261</v>
      </c>
      <c r="AK312" t="s">
        <v>934</v>
      </c>
      <c r="AN312" t="s">
        <v>2392</v>
      </c>
      <c r="AO312" t="s">
        <v>22</v>
      </c>
      <c r="AP312" t="s">
        <v>2392</v>
      </c>
      <c r="AR312" s="31"/>
      <c r="AX312">
        <v>1</v>
      </c>
    </row>
    <row r="313" spans="1:50" x14ac:dyDescent="0.3">
      <c r="A313" t="s">
        <v>22</v>
      </c>
      <c r="B313">
        <v>701</v>
      </c>
      <c r="D313">
        <v>2829</v>
      </c>
      <c r="E313" t="s">
        <v>2393</v>
      </c>
      <c r="G313" t="s">
        <v>2394</v>
      </c>
      <c r="H313">
        <v>5825017000100</v>
      </c>
      <c r="J313" t="s">
        <v>2395</v>
      </c>
      <c r="K313" t="s">
        <v>2396</v>
      </c>
      <c r="M313" t="s">
        <v>2397</v>
      </c>
      <c r="Q313" t="s">
        <v>2398</v>
      </c>
      <c r="S313" t="s">
        <v>814</v>
      </c>
      <c r="V313" t="s">
        <v>5599</v>
      </c>
      <c r="W313" t="s">
        <v>780</v>
      </c>
      <c r="X313" t="s">
        <v>807</v>
      </c>
      <c r="Z313" s="31">
        <v>46112</v>
      </c>
      <c r="AA313">
        <v>130600</v>
      </c>
      <c r="AB313">
        <v>1680982</v>
      </c>
      <c r="AC313">
        <v>173</v>
      </c>
      <c r="AD313" t="s">
        <v>22</v>
      </c>
      <c r="AE313" s="31">
        <v>45987</v>
      </c>
      <c r="AF313" s="61">
        <v>0.47600694444444452</v>
      </c>
      <c r="AH313" t="s">
        <v>795</v>
      </c>
      <c r="AI313" s="31">
        <v>46160</v>
      </c>
      <c r="AJ313" s="61">
        <v>0.70228009259259261</v>
      </c>
      <c r="AK313" t="s">
        <v>5338</v>
      </c>
      <c r="AN313" t="s">
        <v>2392</v>
      </c>
      <c r="AO313" t="s">
        <v>22</v>
      </c>
      <c r="AP313" t="s">
        <v>2392</v>
      </c>
      <c r="AR313" s="31">
        <v>46112</v>
      </c>
      <c r="AS313">
        <v>30</v>
      </c>
      <c r="AT313" t="s">
        <v>2400</v>
      </c>
      <c r="AU313" t="s">
        <v>2401</v>
      </c>
      <c r="AV313" t="s">
        <v>2402</v>
      </c>
      <c r="AW313" t="s">
        <v>2403</v>
      </c>
      <c r="AX313">
        <v>1</v>
      </c>
    </row>
    <row r="314" spans="1:50" x14ac:dyDescent="0.3">
      <c r="A314" t="s">
        <v>22</v>
      </c>
      <c r="B314">
        <v>702</v>
      </c>
      <c r="D314">
        <v>2890</v>
      </c>
      <c r="E314" t="s">
        <v>2404</v>
      </c>
      <c r="G314" t="s">
        <v>2405</v>
      </c>
      <c r="J314" t="s">
        <v>5559</v>
      </c>
      <c r="K314" t="s">
        <v>2406</v>
      </c>
      <c r="M314" t="s">
        <v>1111</v>
      </c>
      <c r="V314" t="s">
        <v>2407</v>
      </c>
      <c r="W314" t="s">
        <v>780</v>
      </c>
      <c r="X314" t="s">
        <v>816</v>
      </c>
      <c r="Z314" s="31">
        <v>46053</v>
      </c>
      <c r="AA314">
        <v>16000</v>
      </c>
      <c r="AB314">
        <v>5880</v>
      </c>
      <c r="AC314">
        <v>57</v>
      </c>
      <c r="AD314" t="s">
        <v>22</v>
      </c>
      <c r="AE314" s="31">
        <v>45987</v>
      </c>
      <c r="AF314" s="61">
        <v>0.47789351851851852</v>
      </c>
      <c r="AH314" t="s">
        <v>795</v>
      </c>
      <c r="AI314" s="31">
        <v>46044</v>
      </c>
      <c r="AJ314" s="61">
        <v>0.6855324074074074</v>
      </c>
      <c r="AK314" t="s">
        <v>934</v>
      </c>
      <c r="AL314" t="s">
        <v>2408</v>
      </c>
      <c r="AN314" t="s">
        <v>2409</v>
      </c>
      <c r="AO314" t="s">
        <v>22</v>
      </c>
      <c r="AP314" t="s">
        <v>2409</v>
      </c>
      <c r="AR314" s="31">
        <v>46031</v>
      </c>
      <c r="AX314">
        <v>1</v>
      </c>
    </row>
    <row r="315" spans="1:50" x14ac:dyDescent="0.3">
      <c r="A315" t="s">
        <v>22</v>
      </c>
      <c r="B315">
        <v>703</v>
      </c>
      <c r="D315">
        <v>2891</v>
      </c>
      <c r="E315" t="s">
        <v>2410</v>
      </c>
      <c r="G315" t="s">
        <v>2411</v>
      </c>
      <c r="H315">
        <v>7728812000105</v>
      </c>
      <c r="J315" t="s">
        <v>2412</v>
      </c>
      <c r="K315" t="s">
        <v>2413</v>
      </c>
      <c r="M315" t="s">
        <v>2414</v>
      </c>
      <c r="Q315" t="s">
        <v>1094</v>
      </c>
      <c r="R315" t="s">
        <v>790</v>
      </c>
      <c r="V315" t="s">
        <v>1718</v>
      </c>
      <c r="W315" t="s">
        <v>780</v>
      </c>
      <c r="X315" t="s">
        <v>807</v>
      </c>
      <c r="Z315" s="31">
        <v>46045</v>
      </c>
      <c r="AA315">
        <v>72000</v>
      </c>
      <c r="AB315">
        <v>8045</v>
      </c>
      <c r="AC315">
        <v>58</v>
      </c>
      <c r="AD315" t="s">
        <v>22</v>
      </c>
      <c r="AE315" s="31">
        <v>45987</v>
      </c>
      <c r="AF315" s="61">
        <v>0.47932870370370367</v>
      </c>
      <c r="AH315" t="s">
        <v>795</v>
      </c>
      <c r="AI315" s="31">
        <v>46045</v>
      </c>
      <c r="AJ315" s="61">
        <v>0.48511574074074082</v>
      </c>
      <c r="AK315" t="s">
        <v>5338</v>
      </c>
      <c r="AN315" t="s">
        <v>1421</v>
      </c>
      <c r="AO315" t="s">
        <v>22</v>
      </c>
      <c r="AP315" t="s">
        <v>1421</v>
      </c>
      <c r="AR315" s="31">
        <v>46045</v>
      </c>
      <c r="AX315">
        <v>1</v>
      </c>
    </row>
    <row r="316" spans="1:50" x14ac:dyDescent="0.3">
      <c r="A316" t="s">
        <v>22</v>
      </c>
      <c r="B316">
        <v>704</v>
      </c>
      <c r="D316">
        <v>2894</v>
      </c>
      <c r="E316" t="s">
        <v>2415</v>
      </c>
      <c r="G316" t="s">
        <v>2416</v>
      </c>
      <c r="H316">
        <v>3761404000196</v>
      </c>
      <c r="J316" t="s">
        <v>2424</v>
      </c>
      <c r="K316" t="s">
        <v>2418</v>
      </c>
      <c r="M316" t="s">
        <v>2419</v>
      </c>
      <c r="Q316" t="s">
        <v>2420</v>
      </c>
      <c r="R316" t="s">
        <v>790</v>
      </c>
      <c r="V316" t="s">
        <v>1704</v>
      </c>
      <c r="W316" t="s">
        <v>780</v>
      </c>
      <c r="X316" t="s">
        <v>816</v>
      </c>
      <c r="Z316" s="31">
        <v>46037</v>
      </c>
      <c r="AA316">
        <v>17829</v>
      </c>
      <c r="AB316">
        <v>83997</v>
      </c>
      <c r="AC316">
        <v>44</v>
      </c>
      <c r="AD316" t="s">
        <v>22</v>
      </c>
      <c r="AE316" s="31">
        <v>45987</v>
      </c>
      <c r="AF316" s="61">
        <v>0.48346064814814821</v>
      </c>
      <c r="AH316" t="s">
        <v>818</v>
      </c>
      <c r="AI316" s="31">
        <v>46031</v>
      </c>
      <c r="AJ316" s="61">
        <v>0.58515046296296291</v>
      </c>
      <c r="AN316" t="s">
        <v>2421</v>
      </c>
      <c r="AO316" t="s">
        <v>22</v>
      </c>
      <c r="AP316" t="s">
        <v>2392</v>
      </c>
      <c r="AR316" s="31">
        <v>46003</v>
      </c>
      <c r="AX316">
        <v>1</v>
      </c>
    </row>
    <row r="317" spans="1:50" x14ac:dyDescent="0.3">
      <c r="A317" t="s">
        <v>22</v>
      </c>
      <c r="B317">
        <v>705</v>
      </c>
      <c r="D317">
        <v>2896</v>
      </c>
      <c r="E317" t="s">
        <v>2422</v>
      </c>
      <c r="G317" t="s">
        <v>2423</v>
      </c>
      <c r="H317">
        <v>3761404000196</v>
      </c>
      <c r="J317" t="s">
        <v>2424</v>
      </c>
      <c r="K317" t="s">
        <v>2418</v>
      </c>
      <c r="M317" t="s">
        <v>2419</v>
      </c>
      <c r="Q317" t="s">
        <v>2420</v>
      </c>
      <c r="R317" t="s">
        <v>790</v>
      </c>
      <c r="V317" t="s">
        <v>1718</v>
      </c>
      <c r="W317" t="s">
        <v>780</v>
      </c>
      <c r="X317" t="s">
        <v>807</v>
      </c>
      <c r="Z317" s="31">
        <v>46022</v>
      </c>
      <c r="AA317">
        <v>1600</v>
      </c>
      <c r="AB317">
        <v>384454</v>
      </c>
      <c r="AC317">
        <v>44</v>
      </c>
      <c r="AD317" t="s">
        <v>22</v>
      </c>
      <c r="AE317" s="31">
        <v>45987</v>
      </c>
      <c r="AF317" s="61">
        <v>0.49594907407407413</v>
      </c>
      <c r="AH317" t="s">
        <v>795</v>
      </c>
      <c r="AI317" s="31">
        <v>46031</v>
      </c>
      <c r="AJ317" s="61">
        <v>0.59928240740740746</v>
      </c>
      <c r="AK317" t="s">
        <v>5338</v>
      </c>
      <c r="AN317" t="s">
        <v>2392</v>
      </c>
      <c r="AO317" t="s">
        <v>22</v>
      </c>
      <c r="AP317" t="s">
        <v>2392</v>
      </c>
      <c r="AR317" s="31">
        <v>46031</v>
      </c>
      <c r="AX317">
        <v>1</v>
      </c>
    </row>
    <row r="318" spans="1:50" x14ac:dyDescent="0.3">
      <c r="A318" t="s">
        <v>22</v>
      </c>
      <c r="B318">
        <v>706</v>
      </c>
      <c r="D318">
        <v>2897</v>
      </c>
      <c r="G318" t="s">
        <v>2425</v>
      </c>
      <c r="J318" t="s">
        <v>2426</v>
      </c>
      <c r="K318" t="s">
        <v>2427</v>
      </c>
      <c r="M318" t="s">
        <v>1111</v>
      </c>
      <c r="W318" t="s">
        <v>780</v>
      </c>
      <c r="X318" t="s">
        <v>807</v>
      </c>
      <c r="Z318" s="31">
        <v>46037</v>
      </c>
      <c r="AA318">
        <v>50000</v>
      </c>
      <c r="AB318">
        <v>2355</v>
      </c>
      <c r="AC318">
        <v>14</v>
      </c>
      <c r="AD318" t="s">
        <v>22</v>
      </c>
      <c r="AE318" s="31">
        <v>45987</v>
      </c>
      <c r="AF318" s="61">
        <v>0.49806712962962962</v>
      </c>
      <c r="AH318" t="s">
        <v>795</v>
      </c>
      <c r="AI318" s="31">
        <v>46001</v>
      </c>
      <c r="AJ318" s="61">
        <v>0.72103009259259254</v>
      </c>
      <c r="AK318" t="s">
        <v>934</v>
      </c>
      <c r="AN318" t="s">
        <v>2428</v>
      </c>
      <c r="AO318" t="s">
        <v>22</v>
      </c>
      <c r="AP318" t="s">
        <v>2428</v>
      </c>
      <c r="AR318" s="31"/>
      <c r="AX318">
        <v>1</v>
      </c>
    </row>
    <row r="319" spans="1:50" x14ac:dyDescent="0.3">
      <c r="A319" t="s">
        <v>22</v>
      </c>
      <c r="B319">
        <v>707</v>
      </c>
      <c r="D319">
        <v>2898</v>
      </c>
      <c r="E319" t="s">
        <v>2429</v>
      </c>
      <c r="G319" t="s">
        <v>2430</v>
      </c>
      <c r="J319" t="s">
        <v>2431</v>
      </c>
      <c r="K319" t="s">
        <v>2432</v>
      </c>
      <c r="M319" t="s">
        <v>1111</v>
      </c>
      <c r="S319" t="s">
        <v>791</v>
      </c>
      <c r="V319" t="s">
        <v>1704</v>
      </c>
      <c r="W319" t="s">
        <v>780</v>
      </c>
      <c r="X319" t="s">
        <v>807</v>
      </c>
      <c r="Z319" s="31">
        <v>46053</v>
      </c>
      <c r="AA319">
        <v>14400</v>
      </c>
      <c r="AB319">
        <v>185328</v>
      </c>
      <c r="AC319">
        <v>47</v>
      </c>
      <c r="AD319" t="s">
        <v>22</v>
      </c>
      <c r="AE319" s="31">
        <v>45987</v>
      </c>
      <c r="AF319" s="61">
        <v>0.49944444444444452</v>
      </c>
      <c r="AH319" t="s">
        <v>795</v>
      </c>
      <c r="AI319" s="31">
        <v>46034</v>
      </c>
      <c r="AJ319" s="61">
        <v>0.93351851851851853</v>
      </c>
      <c r="AK319" t="s">
        <v>5338</v>
      </c>
      <c r="AN319" t="s">
        <v>2433</v>
      </c>
      <c r="AO319" t="s">
        <v>22</v>
      </c>
      <c r="AP319" t="s">
        <v>2433</v>
      </c>
      <c r="AR319" s="31">
        <v>46034</v>
      </c>
      <c r="AX319">
        <v>1</v>
      </c>
    </row>
    <row r="320" spans="1:50" x14ac:dyDescent="0.3">
      <c r="A320" t="s">
        <v>22</v>
      </c>
      <c r="B320">
        <v>708</v>
      </c>
      <c r="D320">
        <v>2899</v>
      </c>
      <c r="G320" t="s">
        <v>2049</v>
      </c>
      <c r="J320" t="s">
        <v>2434</v>
      </c>
      <c r="K320" t="s">
        <v>1805</v>
      </c>
      <c r="M320" t="s">
        <v>1111</v>
      </c>
      <c r="W320" t="s">
        <v>780</v>
      </c>
      <c r="X320" t="s">
        <v>816</v>
      </c>
      <c r="Z320" s="31"/>
      <c r="AC320">
        <v>12</v>
      </c>
      <c r="AD320" t="s">
        <v>22</v>
      </c>
      <c r="AE320" s="31">
        <v>45987</v>
      </c>
      <c r="AF320" s="61">
        <v>0.50092592592592589</v>
      </c>
      <c r="AH320" t="s">
        <v>818</v>
      </c>
      <c r="AI320" s="31">
        <v>45999</v>
      </c>
      <c r="AJ320" s="61">
        <v>0.57885416666666667</v>
      </c>
      <c r="AN320" t="s">
        <v>2435</v>
      </c>
      <c r="AO320" t="s">
        <v>22</v>
      </c>
      <c r="AP320" t="s">
        <v>2435</v>
      </c>
      <c r="AR320" s="31"/>
      <c r="AX320">
        <v>1</v>
      </c>
    </row>
    <row r="321" spans="1:50" x14ac:dyDescent="0.3">
      <c r="A321" t="s">
        <v>22</v>
      </c>
      <c r="B321">
        <v>709</v>
      </c>
      <c r="D321">
        <v>2900</v>
      </c>
      <c r="G321" t="s">
        <v>2436</v>
      </c>
      <c r="J321" t="s">
        <v>1804</v>
      </c>
      <c r="K321" t="s">
        <v>1805</v>
      </c>
      <c r="M321" t="s">
        <v>1111</v>
      </c>
      <c r="W321" t="s">
        <v>780</v>
      </c>
      <c r="X321" t="s">
        <v>816</v>
      </c>
      <c r="Z321" s="31"/>
      <c r="AC321">
        <v>12</v>
      </c>
      <c r="AD321" t="s">
        <v>22</v>
      </c>
      <c r="AE321" s="31">
        <v>45987</v>
      </c>
      <c r="AF321" s="61">
        <v>0.50186342592592592</v>
      </c>
      <c r="AH321" t="s">
        <v>818</v>
      </c>
      <c r="AI321" s="31">
        <v>45999</v>
      </c>
      <c r="AJ321" s="61">
        <v>0.59797453703703707</v>
      </c>
      <c r="AN321" t="s">
        <v>2437</v>
      </c>
      <c r="AO321" t="s">
        <v>22</v>
      </c>
      <c r="AP321" t="s">
        <v>2437</v>
      </c>
      <c r="AR321" s="31"/>
      <c r="AX321">
        <v>1</v>
      </c>
    </row>
    <row r="322" spans="1:50" x14ac:dyDescent="0.3">
      <c r="A322" t="s">
        <v>44</v>
      </c>
      <c r="B322">
        <v>711</v>
      </c>
      <c r="D322">
        <v>2902</v>
      </c>
      <c r="E322" t="s">
        <v>2438</v>
      </c>
      <c r="G322" t="s">
        <v>5600</v>
      </c>
      <c r="J322" t="s">
        <v>5601</v>
      </c>
      <c r="K322" t="s">
        <v>2441</v>
      </c>
      <c r="M322" t="s">
        <v>1111</v>
      </c>
      <c r="V322" t="s">
        <v>1419</v>
      </c>
      <c r="W322" t="s">
        <v>780</v>
      </c>
      <c r="X322" t="s">
        <v>816</v>
      </c>
      <c r="Z322" s="31">
        <v>46062</v>
      </c>
      <c r="AA322">
        <v>235848</v>
      </c>
      <c r="AB322">
        <v>14256</v>
      </c>
      <c r="AC322">
        <v>65</v>
      </c>
      <c r="AD322" t="s">
        <v>44</v>
      </c>
      <c r="AE322" s="31">
        <v>45987</v>
      </c>
      <c r="AF322" s="61">
        <v>0.62859953703703708</v>
      </c>
      <c r="AH322" t="s">
        <v>795</v>
      </c>
      <c r="AI322" s="31">
        <v>46052</v>
      </c>
      <c r="AJ322" s="61">
        <v>0.65068287037037043</v>
      </c>
      <c r="AK322" t="s">
        <v>5338</v>
      </c>
      <c r="AL322" t="s">
        <v>5352</v>
      </c>
      <c r="AN322" t="s">
        <v>2273</v>
      </c>
      <c r="AO322" t="s">
        <v>44</v>
      </c>
      <c r="AP322" t="s">
        <v>2273</v>
      </c>
      <c r="AR322" s="31">
        <v>46003</v>
      </c>
      <c r="AX322">
        <v>1</v>
      </c>
    </row>
    <row r="323" spans="1:50" x14ac:dyDescent="0.3">
      <c r="A323" t="s">
        <v>44</v>
      </c>
      <c r="B323">
        <v>714</v>
      </c>
      <c r="D323">
        <v>2910</v>
      </c>
      <c r="G323" t="s">
        <v>2442</v>
      </c>
      <c r="J323" t="s">
        <v>2443</v>
      </c>
      <c r="K323" t="s">
        <v>2444</v>
      </c>
      <c r="M323" t="s">
        <v>1111</v>
      </c>
      <c r="W323" t="s">
        <v>780</v>
      </c>
      <c r="X323" t="s">
        <v>807</v>
      </c>
      <c r="Z323" s="31"/>
      <c r="AA323">
        <v>0</v>
      </c>
      <c r="AB323">
        <v>209</v>
      </c>
      <c r="AC323">
        <v>12</v>
      </c>
      <c r="AD323" t="s">
        <v>44</v>
      </c>
      <c r="AE323" s="31">
        <v>45989</v>
      </c>
      <c r="AF323" s="61">
        <v>0.60240740740740739</v>
      </c>
      <c r="AH323" t="s">
        <v>795</v>
      </c>
      <c r="AI323" s="31">
        <v>46001</v>
      </c>
      <c r="AJ323" s="61">
        <v>0.41670138888888891</v>
      </c>
      <c r="AK323" t="s">
        <v>858</v>
      </c>
      <c r="AL323" t="s">
        <v>5602</v>
      </c>
      <c r="AN323" t="s">
        <v>2349</v>
      </c>
      <c r="AP323" t="s">
        <v>2349</v>
      </c>
      <c r="AR323" s="31"/>
      <c r="AX323">
        <v>1</v>
      </c>
    </row>
    <row r="324" spans="1:50" x14ac:dyDescent="0.3">
      <c r="A324" t="s">
        <v>22</v>
      </c>
      <c r="B324">
        <v>717</v>
      </c>
      <c r="D324">
        <v>2945</v>
      </c>
      <c r="E324" t="s">
        <v>2446</v>
      </c>
      <c r="G324" t="s">
        <v>2447</v>
      </c>
      <c r="J324" t="s">
        <v>2448</v>
      </c>
      <c r="K324" t="s">
        <v>2449</v>
      </c>
      <c r="M324" t="s">
        <v>2450</v>
      </c>
      <c r="Q324" t="s">
        <v>923</v>
      </c>
      <c r="S324" t="s">
        <v>814</v>
      </c>
      <c r="V324" t="s">
        <v>1718</v>
      </c>
      <c r="W324" t="s">
        <v>780</v>
      </c>
      <c r="X324" t="s">
        <v>793</v>
      </c>
      <c r="Z324" s="31">
        <v>46053</v>
      </c>
      <c r="AC324">
        <v>68</v>
      </c>
      <c r="AD324" t="s">
        <v>22</v>
      </c>
      <c r="AE324" s="31">
        <v>45992</v>
      </c>
      <c r="AF324" s="61">
        <v>0.65984953703703708</v>
      </c>
      <c r="AH324" t="s">
        <v>795</v>
      </c>
      <c r="AI324" s="31">
        <v>46060</v>
      </c>
      <c r="AJ324" s="61">
        <v>0.34912037037037041</v>
      </c>
      <c r="AK324" t="s">
        <v>858</v>
      </c>
      <c r="AN324" t="s">
        <v>2451</v>
      </c>
      <c r="AO324" t="s">
        <v>22</v>
      </c>
      <c r="AP324" t="s">
        <v>2452</v>
      </c>
      <c r="AR324" s="31">
        <v>46045</v>
      </c>
      <c r="AS324">
        <v>30</v>
      </c>
      <c r="AX324">
        <v>1</v>
      </c>
    </row>
    <row r="325" spans="1:50" x14ac:dyDescent="0.3">
      <c r="A325" t="s">
        <v>22</v>
      </c>
      <c r="B325">
        <v>718</v>
      </c>
      <c r="D325">
        <v>2913</v>
      </c>
      <c r="E325" t="s">
        <v>2453</v>
      </c>
      <c r="G325" t="s">
        <v>2454</v>
      </c>
      <c r="J325" t="s">
        <v>2455</v>
      </c>
      <c r="K325" t="s">
        <v>2456</v>
      </c>
      <c r="M325" t="s">
        <v>2457</v>
      </c>
      <c r="Q325" t="s">
        <v>2458</v>
      </c>
      <c r="S325" t="s">
        <v>814</v>
      </c>
      <c r="V325" t="s">
        <v>5599</v>
      </c>
      <c r="W325" t="s">
        <v>780</v>
      </c>
      <c r="X325" t="s">
        <v>897</v>
      </c>
      <c r="Z325" s="31">
        <v>46142</v>
      </c>
      <c r="AC325">
        <v>161</v>
      </c>
      <c r="AD325" t="s">
        <v>22</v>
      </c>
      <c r="AE325" s="31">
        <v>45992</v>
      </c>
      <c r="AF325" s="61">
        <v>0.68266203703703698</v>
      </c>
      <c r="AH325" t="s">
        <v>795</v>
      </c>
      <c r="AI325" s="31">
        <v>46153</v>
      </c>
      <c r="AJ325" s="61">
        <v>0.49701388888888892</v>
      </c>
      <c r="AK325" t="s">
        <v>5338</v>
      </c>
      <c r="AN325" t="s">
        <v>2459</v>
      </c>
      <c r="AO325" t="s">
        <v>22</v>
      </c>
      <c r="AP325" t="s">
        <v>2452</v>
      </c>
      <c r="AR325" s="31">
        <v>46122</v>
      </c>
      <c r="AS325">
        <v>30</v>
      </c>
      <c r="AX325">
        <v>1</v>
      </c>
    </row>
    <row r="326" spans="1:50" x14ac:dyDescent="0.3">
      <c r="A326" t="s">
        <v>22</v>
      </c>
      <c r="B326">
        <v>719</v>
      </c>
      <c r="D326">
        <v>2904</v>
      </c>
      <c r="E326" t="s">
        <v>4711</v>
      </c>
      <c r="G326" t="s">
        <v>2461</v>
      </c>
      <c r="H326">
        <v>3674537000125</v>
      </c>
      <c r="J326" t="s">
        <v>2462</v>
      </c>
      <c r="K326" t="s">
        <v>2463</v>
      </c>
      <c r="M326" t="s">
        <v>2464</v>
      </c>
      <c r="Q326" t="s">
        <v>923</v>
      </c>
      <c r="S326" t="s">
        <v>814</v>
      </c>
      <c r="V326" t="s">
        <v>5603</v>
      </c>
      <c r="W326" t="s">
        <v>780</v>
      </c>
      <c r="X326" t="s">
        <v>807</v>
      </c>
      <c r="Z326" s="31">
        <v>46112</v>
      </c>
      <c r="AA326">
        <v>104490</v>
      </c>
      <c r="AB326">
        <v>111957</v>
      </c>
      <c r="AC326">
        <v>130</v>
      </c>
      <c r="AD326" t="s">
        <v>22</v>
      </c>
      <c r="AE326" s="31">
        <v>45992</v>
      </c>
      <c r="AF326" s="61">
        <v>0.69298611111111108</v>
      </c>
      <c r="AH326" t="s">
        <v>795</v>
      </c>
      <c r="AI326" s="31">
        <v>46122</v>
      </c>
      <c r="AJ326" s="61">
        <v>0.66306712962962966</v>
      </c>
      <c r="AK326" t="s">
        <v>5338</v>
      </c>
      <c r="AN326" t="s">
        <v>2459</v>
      </c>
      <c r="AO326" t="s">
        <v>22</v>
      </c>
      <c r="AP326" t="s">
        <v>2465</v>
      </c>
      <c r="AR326" s="31">
        <v>46101</v>
      </c>
      <c r="AS326">
        <v>30</v>
      </c>
      <c r="AT326" t="s">
        <v>2466</v>
      </c>
      <c r="AU326" t="s">
        <v>2467</v>
      </c>
      <c r="AV326" t="s">
        <v>2468</v>
      </c>
      <c r="AW326" t="s">
        <v>2469</v>
      </c>
      <c r="AX326">
        <v>1</v>
      </c>
    </row>
    <row r="327" spans="1:50" x14ac:dyDescent="0.3">
      <c r="A327" t="s">
        <v>22</v>
      </c>
      <c r="B327">
        <v>725</v>
      </c>
      <c r="D327">
        <v>2970</v>
      </c>
      <c r="E327" t="s">
        <v>5604</v>
      </c>
      <c r="G327" t="s">
        <v>2471</v>
      </c>
      <c r="J327" t="s">
        <v>2472</v>
      </c>
      <c r="K327" t="s">
        <v>2473</v>
      </c>
      <c r="M327" t="s">
        <v>1111</v>
      </c>
      <c r="V327" t="s">
        <v>5539</v>
      </c>
      <c r="W327" t="s">
        <v>780</v>
      </c>
      <c r="X327" t="s">
        <v>807</v>
      </c>
      <c r="Z327" s="31">
        <v>46112</v>
      </c>
      <c r="AA327">
        <v>315000</v>
      </c>
      <c r="AB327">
        <v>32575</v>
      </c>
      <c r="AC327">
        <v>37</v>
      </c>
      <c r="AD327" t="s">
        <v>22</v>
      </c>
      <c r="AE327" s="31">
        <v>45999</v>
      </c>
      <c r="AF327" s="61">
        <v>0.5826041666666667</v>
      </c>
      <c r="AH327" t="s">
        <v>795</v>
      </c>
      <c r="AI327" s="31">
        <v>46036</v>
      </c>
      <c r="AJ327" s="61">
        <v>0.7865509259259259</v>
      </c>
      <c r="AK327" t="s">
        <v>5353</v>
      </c>
      <c r="AL327" t="s">
        <v>5605</v>
      </c>
      <c r="AN327" t="s">
        <v>2459</v>
      </c>
      <c r="AO327" t="s">
        <v>22</v>
      </c>
      <c r="AP327" t="s">
        <v>2459</v>
      </c>
      <c r="AR327" s="31">
        <v>46031</v>
      </c>
      <c r="AX327">
        <v>1</v>
      </c>
    </row>
    <row r="328" spans="1:50" x14ac:dyDescent="0.3">
      <c r="A328" t="s">
        <v>22</v>
      </c>
      <c r="B328">
        <v>726</v>
      </c>
      <c r="D328">
        <v>2971</v>
      </c>
      <c r="G328" t="s">
        <v>2475</v>
      </c>
      <c r="J328" t="s">
        <v>1978</v>
      </c>
      <c r="K328" t="s">
        <v>1979</v>
      </c>
      <c r="M328" t="s">
        <v>1111</v>
      </c>
      <c r="W328" t="s">
        <v>780</v>
      </c>
      <c r="X328" t="s">
        <v>816</v>
      </c>
      <c r="Z328" s="31"/>
      <c r="AA328">
        <v>0</v>
      </c>
      <c r="AB328">
        <v>57024</v>
      </c>
      <c r="AC328">
        <v>0</v>
      </c>
      <c r="AD328" t="s">
        <v>22</v>
      </c>
      <c r="AE328" s="31">
        <v>45999</v>
      </c>
      <c r="AF328" s="61">
        <v>0.58803240740740736</v>
      </c>
      <c r="AH328" t="s">
        <v>818</v>
      </c>
      <c r="AI328" s="31">
        <v>45999</v>
      </c>
      <c r="AJ328" s="61">
        <v>0.58959490740740739</v>
      </c>
      <c r="AN328" t="s">
        <v>2452</v>
      </c>
      <c r="AO328" t="s">
        <v>22</v>
      </c>
      <c r="AP328" t="s">
        <v>2452</v>
      </c>
      <c r="AR328" s="31"/>
      <c r="AX328">
        <v>1</v>
      </c>
    </row>
    <row r="329" spans="1:50" x14ac:dyDescent="0.3">
      <c r="A329" t="s">
        <v>22</v>
      </c>
      <c r="B329">
        <v>727</v>
      </c>
      <c r="D329">
        <v>2969</v>
      </c>
      <c r="E329" t="s">
        <v>2476</v>
      </c>
      <c r="G329" t="s">
        <v>5606</v>
      </c>
      <c r="J329" t="s">
        <v>2478</v>
      </c>
      <c r="K329" t="s">
        <v>2479</v>
      </c>
      <c r="M329" t="s">
        <v>2480</v>
      </c>
      <c r="Q329" t="s">
        <v>2481</v>
      </c>
      <c r="S329" t="s">
        <v>814</v>
      </c>
      <c r="V329" t="s">
        <v>5598</v>
      </c>
      <c r="W329" t="s">
        <v>780</v>
      </c>
      <c r="X329" t="s">
        <v>807</v>
      </c>
      <c r="Z329" s="31">
        <v>46053</v>
      </c>
      <c r="AA329">
        <v>47200</v>
      </c>
      <c r="AB329">
        <v>22981</v>
      </c>
      <c r="AC329">
        <v>60</v>
      </c>
      <c r="AD329" t="s">
        <v>22</v>
      </c>
      <c r="AE329" s="31">
        <v>46000</v>
      </c>
      <c r="AF329" s="61">
        <v>0.59325231481481477</v>
      </c>
      <c r="AH329" t="s">
        <v>795</v>
      </c>
      <c r="AI329" s="31">
        <v>46060</v>
      </c>
      <c r="AJ329" s="61">
        <v>0.37217592592592591</v>
      </c>
      <c r="AK329" t="s">
        <v>858</v>
      </c>
      <c r="AL329" t="s">
        <v>2482</v>
      </c>
      <c r="AN329" t="s">
        <v>2483</v>
      </c>
      <c r="AO329" t="s">
        <v>22</v>
      </c>
      <c r="AP329" t="s">
        <v>2483</v>
      </c>
      <c r="AR329" s="31">
        <v>46060</v>
      </c>
      <c r="AS329">
        <v>30</v>
      </c>
      <c r="AX329">
        <v>1</v>
      </c>
    </row>
    <row r="330" spans="1:50" x14ac:dyDescent="0.3">
      <c r="A330" t="s">
        <v>22</v>
      </c>
      <c r="B330">
        <v>728</v>
      </c>
      <c r="D330">
        <v>2973</v>
      </c>
      <c r="E330" t="s">
        <v>4712</v>
      </c>
      <c r="G330" t="s">
        <v>2485</v>
      </c>
      <c r="H330">
        <v>3674537000125</v>
      </c>
      <c r="J330" t="s">
        <v>2794</v>
      </c>
      <c r="K330" t="s">
        <v>2487</v>
      </c>
      <c r="M330" t="s">
        <v>2488</v>
      </c>
      <c r="Q330" t="s">
        <v>2489</v>
      </c>
      <c r="R330" t="s">
        <v>790</v>
      </c>
      <c r="S330" t="s">
        <v>791</v>
      </c>
      <c r="V330" t="s">
        <v>1419</v>
      </c>
      <c r="W330" t="s">
        <v>780</v>
      </c>
      <c r="X330" t="s">
        <v>807</v>
      </c>
      <c r="Z330" s="31">
        <v>46112</v>
      </c>
      <c r="AA330">
        <v>1700</v>
      </c>
      <c r="AB330">
        <v>13100</v>
      </c>
      <c r="AC330">
        <v>121</v>
      </c>
      <c r="AD330" t="s">
        <v>22</v>
      </c>
      <c r="AE330" s="31">
        <v>46001</v>
      </c>
      <c r="AF330" s="61">
        <v>0.73172453703703699</v>
      </c>
      <c r="AH330" t="s">
        <v>795</v>
      </c>
      <c r="AI330" s="31">
        <v>46122</v>
      </c>
      <c r="AJ330" s="61">
        <v>0.66342592592592597</v>
      </c>
      <c r="AK330" t="s">
        <v>5338</v>
      </c>
      <c r="AN330" t="s">
        <v>2483</v>
      </c>
      <c r="AO330" t="s">
        <v>22</v>
      </c>
      <c r="AP330" t="s">
        <v>2483</v>
      </c>
      <c r="AR330" s="31">
        <v>46101</v>
      </c>
      <c r="AS330">
        <v>30</v>
      </c>
      <c r="AT330" t="s">
        <v>1012</v>
      </c>
      <c r="AU330" t="s">
        <v>69</v>
      </c>
      <c r="AV330" t="s">
        <v>2490</v>
      </c>
      <c r="AW330" t="s">
        <v>2491</v>
      </c>
      <c r="AX330">
        <v>1</v>
      </c>
    </row>
    <row r="331" spans="1:50" x14ac:dyDescent="0.3">
      <c r="A331" t="s">
        <v>22</v>
      </c>
      <c r="B331">
        <v>729</v>
      </c>
      <c r="D331">
        <v>2972</v>
      </c>
      <c r="E331" t="s">
        <v>2492</v>
      </c>
      <c r="G331" t="s">
        <v>5607</v>
      </c>
      <c r="J331" t="s">
        <v>5608</v>
      </c>
      <c r="K331" t="s">
        <v>2495</v>
      </c>
      <c r="M331" t="s">
        <v>2496</v>
      </c>
      <c r="Q331" t="s">
        <v>2497</v>
      </c>
      <c r="S331" t="s">
        <v>814</v>
      </c>
      <c r="V331" t="s">
        <v>5598</v>
      </c>
      <c r="W331" t="s">
        <v>780</v>
      </c>
      <c r="X331" t="s">
        <v>793</v>
      </c>
      <c r="Z331" s="31">
        <v>46053</v>
      </c>
      <c r="AC331">
        <v>59</v>
      </c>
      <c r="AD331" t="s">
        <v>22</v>
      </c>
      <c r="AE331" s="31">
        <v>46001</v>
      </c>
      <c r="AF331" s="61">
        <v>0.95519675925925929</v>
      </c>
      <c r="AH331" t="s">
        <v>795</v>
      </c>
      <c r="AI331" s="31">
        <v>46060</v>
      </c>
      <c r="AJ331" s="61">
        <v>0.3478472222222222</v>
      </c>
      <c r="AK331" t="s">
        <v>5338</v>
      </c>
      <c r="AL331" t="s">
        <v>2498</v>
      </c>
      <c r="AN331" t="s">
        <v>2499</v>
      </c>
      <c r="AO331" t="s">
        <v>22</v>
      </c>
      <c r="AP331" t="s">
        <v>2499</v>
      </c>
      <c r="AR331" s="31">
        <v>46059</v>
      </c>
      <c r="AS331">
        <v>30</v>
      </c>
      <c r="AX331">
        <v>1</v>
      </c>
    </row>
    <row r="332" spans="1:50" x14ac:dyDescent="0.3">
      <c r="A332" t="s">
        <v>44</v>
      </c>
      <c r="B332">
        <v>730</v>
      </c>
      <c r="D332">
        <v>2977</v>
      </c>
      <c r="E332" t="s">
        <v>5609</v>
      </c>
      <c r="F332" t="s">
        <v>2501</v>
      </c>
      <c r="G332" t="s">
        <v>2502</v>
      </c>
      <c r="H332">
        <v>50828915000168</v>
      </c>
      <c r="J332" t="s">
        <v>2501</v>
      </c>
      <c r="K332" t="s">
        <v>1531</v>
      </c>
      <c r="M332" t="s">
        <v>1532</v>
      </c>
      <c r="Q332" t="s">
        <v>1094</v>
      </c>
      <c r="R332" t="s">
        <v>790</v>
      </c>
      <c r="S332" t="s">
        <v>805</v>
      </c>
      <c r="V332" t="s">
        <v>2503</v>
      </c>
      <c r="W332" t="s">
        <v>780</v>
      </c>
      <c r="X332" t="s">
        <v>807</v>
      </c>
      <c r="Z332" s="31">
        <v>46081</v>
      </c>
      <c r="AA332">
        <v>44000</v>
      </c>
      <c r="AB332">
        <v>13781</v>
      </c>
      <c r="AC332">
        <v>134</v>
      </c>
      <c r="AD332" t="s">
        <v>44</v>
      </c>
      <c r="AE332" s="31">
        <v>46002</v>
      </c>
      <c r="AF332" s="61">
        <v>0.42090277777777779</v>
      </c>
      <c r="AH332" t="s">
        <v>795</v>
      </c>
      <c r="AI332" s="31">
        <v>46136</v>
      </c>
      <c r="AJ332" s="61">
        <v>0.39181712962962961</v>
      </c>
      <c r="AK332" t="s">
        <v>5338</v>
      </c>
      <c r="AL332" t="s">
        <v>5610</v>
      </c>
      <c r="AN332" t="s">
        <v>2504</v>
      </c>
      <c r="AO332" t="s">
        <v>44</v>
      </c>
      <c r="AP332" t="s">
        <v>2505</v>
      </c>
      <c r="AQ332" t="s">
        <v>2504</v>
      </c>
      <c r="AR332" s="31">
        <v>46136</v>
      </c>
      <c r="AS332">
        <v>50</v>
      </c>
      <c r="AX332">
        <v>1</v>
      </c>
    </row>
    <row r="333" spans="1:50" x14ac:dyDescent="0.3">
      <c r="A333" t="s">
        <v>44</v>
      </c>
      <c r="B333">
        <v>731</v>
      </c>
      <c r="D333">
        <v>2980</v>
      </c>
      <c r="G333" t="s">
        <v>5611</v>
      </c>
      <c r="J333" t="s">
        <v>5612</v>
      </c>
      <c r="K333" t="s">
        <v>2508</v>
      </c>
      <c r="M333" t="s">
        <v>1532</v>
      </c>
      <c r="V333" t="s">
        <v>1419</v>
      </c>
      <c r="W333" t="s">
        <v>780</v>
      </c>
      <c r="X333" t="s">
        <v>807</v>
      </c>
      <c r="Z333" s="31">
        <v>46053</v>
      </c>
      <c r="AA333">
        <v>8000</v>
      </c>
      <c r="AB333">
        <v>19642</v>
      </c>
      <c r="AC333">
        <v>49</v>
      </c>
      <c r="AD333" t="s">
        <v>44</v>
      </c>
      <c r="AE333" s="31">
        <v>46002</v>
      </c>
      <c r="AF333" s="61">
        <v>0.43156250000000002</v>
      </c>
      <c r="AH333" t="s">
        <v>795</v>
      </c>
      <c r="AI333" s="31">
        <v>46051</v>
      </c>
      <c r="AJ333" s="61">
        <v>0.6605092592592593</v>
      </c>
      <c r="AK333" t="s">
        <v>858</v>
      </c>
      <c r="AL333" t="s">
        <v>5613</v>
      </c>
      <c r="AN333" t="s">
        <v>2510</v>
      </c>
      <c r="AP333" t="s">
        <v>2511</v>
      </c>
      <c r="AR333" s="31">
        <v>46031</v>
      </c>
      <c r="AX333">
        <v>1</v>
      </c>
    </row>
    <row r="334" spans="1:50" x14ac:dyDescent="0.3">
      <c r="A334" t="s">
        <v>44</v>
      </c>
      <c r="B334">
        <v>732</v>
      </c>
      <c r="D334">
        <v>2981</v>
      </c>
      <c r="E334" t="s">
        <v>5614</v>
      </c>
      <c r="G334" t="s">
        <v>5615</v>
      </c>
      <c r="J334" t="s">
        <v>5616</v>
      </c>
      <c r="K334" t="s">
        <v>2508</v>
      </c>
      <c r="M334" t="s">
        <v>1532</v>
      </c>
      <c r="V334" t="s">
        <v>1419</v>
      </c>
      <c r="W334" t="s">
        <v>780</v>
      </c>
      <c r="X334" t="s">
        <v>807</v>
      </c>
      <c r="Z334" s="31">
        <v>46081</v>
      </c>
      <c r="AA334">
        <v>1600</v>
      </c>
      <c r="AB334">
        <v>34428</v>
      </c>
      <c r="AC334">
        <v>134</v>
      </c>
      <c r="AD334" t="s">
        <v>44</v>
      </c>
      <c r="AE334" s="31">
        <v>46002</v>
      </c>
      <c r="AF334" s="61">
        <v>0.43273148148148149</v>
      </c>
      <c r="AH334" t="s">
        <v>795</v>
      </c>
      <c r="AI334" s="31">
        <v>46136</v>
      </c>
      <c r="AJ334" s="61">
        <v>0.39952546296296299</v>
      </c>
      <c r="AK334" t="s">
        <v>5338</v>
      </c>
      <c r="AL334" t="s">
        <v>5610</v>
      </c>
      <c r="AN334" t="s">
        <v>2504</v>
      </c>
      <c r="AO334" t="s">
        <v>44</v>
      </c>
      <c r="AP334" t="s">
        <v>2505</v>
      </c>
      <c r="AQ334" t="s">
        <v>2504</v>
      </c>
      <c r="AR334" s="31">
        <v>46136</v>
      </c>
      <c r="AS334">
        <v>50</v>
      </c>
      <c r="AX334">
        <v>1</v>
      </c>
    </row>
    <row r="335" spans="1:50" x14ac:dyDescent="0.3">
      <c r="A335" t="s">
        <v>44</v>
      </c>
      <c r="B335">
        <v>733</v>
      </c>
      <c r="D335">
        <v>2982</v>
      </c>
      <c r="F335" t="s">
        <v>2514</v>
      </c>
      <c r="G335" t="s">
        <v>2515</v>
      </c>
      <c r="H335">
        <v>96280292000809</v>
      </c>
      <c r="J335" t="s">
        <v>2514</v>
      </c>
      <c r="K335" t="s">
        <v>5617</v>
      </c>
      <c r="M335" t="s">
        <v>2517</v>
      </c>
      <c r="Q335" t="s">
        <v>2518</v>
      </c>
      <c r="R335" t="s">
        <v>932</v>
      </c>
      <c r="S335" t="s">
        <v>805</v>
      </c>
      <c r="V335" t="s">
        <v>2407</v>
      </c>
      <c r="W335" t="s">
        <v>780</v>
      </c>
      <c r="X335" t="s">
        <v>816</v>
      </c>
      <c r="Z335" s="31">
        <v>46081</v>
      </c>
      <c r="AA335">
        <v>580005</v>
      </c>
      <c r="AB335">
        <v>7230</v>
      </c>
      <c r="AC335">
        <v>62</v>
      </c>
      <c r="AD335" t="s">
        <v>44</v>
      </c>
      <c r="AE335" s="31">
        <v>46002</v>
      </c>
      <c r="AF335" s="61">
        <v>0.47339120370370369</v>
      </c>
      <c r="AH335" t="s">
        <v>818</v>
      </c>
      <c r="AI335" s="31">
        <v>46064</v>
      </c>
      <c r="AJ335" s="61">
        <v>0.74250000000000005</v>
      </c>
      <c r="AN335" t="s">
        <v>2519</v>
      </c>
      <c r="AO335" t="s">
        <v>44</v>
      </c>
      <c r="AP335" t="s">
        <v>2520</v>
      </c>
      <c r="AR335" s="31">
        <v>46038</v>
      </c>
      <c r="AS335">
        <v>90</v>
      </c>
      <c r="AX335">
        <v>1</v>
      </c>
    </row>
    <row r="336" spans="1:50" x14ac:dyDescent="0.3">
      <c r="A336" t="s">
        <v>44</v>
      </c>
      <c r="B336">
        <v>734</v>
      </c>
      <c r="D336">
        <v>2985</v>
      </c>
      <c r="E336" t="s">
        <v>5618</v>
      </c>
      <c r="G336" t="s">
        <v>5619</v>
      </c>
      <c r="J336" t="s">
        <v>5620</v>
      </c>
      <c r="K336" t="s">
        <v>2524</v>
      </c>
      <c r="M336" t="s">
        <v>2517</v>
      </c>
      <c r="V336" t="s">
        <v>1419</v>
      </c>
      <c r="W336" t="s">
        <v>780</v>
      </c>
      <c r="X336" t="s">
        <v>807</v>
      </c>
      <c r="Z336" s="31">
        <v>46038</v>
      </c>
      <c r="AA336">
        <v>0</v>
      </c>
      <c r="AB336">
        <v>19642</v>
      </c>
      <c r="AC336">
        <v>47</v>
      </c>
      <c r="AD336" t="s">
        <v>44</v>
      </c>
      <c r="AE336" s="31">
        <v>46002</v>
      </c>
      <c r="AF336" s="61">
        <v>0.47990740740740739</v>
      </c>
      <c r="AH336" t="s">
        <v>795</v>
      </c>
      <c r="AI336" s="31">
        <v>46049</v>
      </c>
      <c r="AJ336" s="61">
        <v>0.6889467592592593</v>
      </c>
      <c r="AK336" t="s">
        <v>808</v>
      </c>
      <c r="AL336" t="s">
        <v>5618</v>
      </c>
      <c r="AN336" t="s">
        <v>2519</v>
      </c>
      <c r="AP336" t="s">
        <v>2520</v>
      </c>
      <c r="AR336" s="31">
        <v>46049</v>
      </c>
      <c r="AX336">
        <v>1</v>
      </c>
    </row>
    <row r="337" spans="1:50" x14ac:dyDescent="0.3">
      <c r="A337" t="s">
        <v>44</v>
      </c>
      <c r="B337">
        <v>735</v>
      </c>
      <c r="D337">
        <v>2986</v>
      </c>
      <c r="E337" t="s">
        <v>5621</v>
      </c>
      <c r="G337" t="s">
        <v>5622</v>
      </c>
      <c r="J337" t="s">
        <v>5623</v>
      </c>
      <c r="K337" t="s">
        <v>2524</v>
      </c>
      <c r="M337" t="s">
        <v>2517</v>
      </c>
      <c r="V337" t="s">
        <v>1581</v>
      </c>
      <c r="W337" t="s">
        <v>780</v>
      </c>
      <c r="X337" t="s">
        <v>816</v>
      </c>
      <c r="Z337" s="31">
        <v>46038</v>
      </c>
      <c r="AA337">
        <v>1600</v>
      </c>
      <c r="AB337">
        <v>524246</v>
      </c>
      <c r="AC337">
        <v>134</v>
      </c>
      <c r="AD337" t="s">
        <v>44</v>
      </c>
      <c r="AE337" s="31">
        <v>46002</v>
      </c>
      <c r="AF337" s="61">
        <v>0.4813425925925926</v>
      </c>
      <c r="AH337" t="s">
        <v>795</v>
      </c>
      <c r="AI337" s="31">
        <v>46136</v>
      </c>
      <c r="AJ337" s="61">
        <v>0.37793981481481481</v>
      </c>
      <c r="AK337" t="s">
        <v>858</v>
      </c>
      <c r="AL337" t="s">
        <v>5621</v>
      </c>
      <c r="AN337" t="s">
        <v>2519</v>
      </c>
      <c r="AO337" t="s">
        <v>44</v>
      </c>
      <c r="AP337" t="s">
        <v>2520</v>
      </c>
      <c r="AR337" s="31">
        <v>46136</v>
      </c>
      <c r="AS337">
        <v>80</v>
      </c>
      <c r="AX337">
        <v>1</v>
      </c>
    </row>
    <row r="338" spans="1:50" x14ac:dyDescent="0.3">
      <c r="A338" t="s">
        <v>44</v>
      </c>
      <c r="B338">
        <v>736</v>
      </c>
      <c r="D338">
        <v>2988</v>
      </c>
      <c r="G338" t="s">
        <v>5624</v>
      </c>
      <c r="J338" t="s">
        <v>5625</v>
      </c>
      <c r="K338" t="s">
        <v>1042</v>
      </c>
      <c r="M338" t="s">
        <v>1043</v>
      </c>
      <c r="V338" t="s">
        <v>1718</v>
      </c>
      <c r="W338" t="s">
        <v>780</v>
      </c>
      <c r="X338" t="s">
        <v>807</v>
      </c>
      <c r="Z338" s="31">
        <v>46008</v>
      </c>
      <c r="AA338">
        <v>26200</v>
      </c>
      <c r="AB338">
        <v>3400</v>
      </c>
      <c r="AC338">
        <v>50</v>
      </c>
      <c r="AD338" t="s">
        <v>44</v>
      </c>
      <c r="AE338" s="31">
        <v>46002</v>
      </c>
      <c r="AF338" s="61">
        <v>0.6433564814814815</v>
      </c>
      <c r="AH338" t="s">
        <v>795</v>
      </c>
      <c r="AI338" s="31">
        <v>46052</v>
      </c>
      <c r="AJ338" s="61">
        <v>0.65020833333333339</v>
      </c>
      <c r="AK338" t="s">
        <v>5338</v>
      </c>
      <c r="AL338" t="s">
        <v>5352</v>
      </c>
      <c r="AN338" t="s">
        <v>2529</v>
      </c>
      <c r="AP338" t="s">
        <v>2529</v>
      </c>
      <c r="AQ338" t="s">
        <v>2511</v>
      </c>
      <c r="AR338" s="31">
        <v>46031</v>
      </c>
      <c r="AX338">
        <v>1</v>
      </c>
    </row>
    <row r="339" spans="1:50" x14ac:dyDescent="0.3">
      <c r="A339" t="s">
        <v>44</v>
      </c>
      <c r="B339">
        <v>737</v>
      </c>
      <c r="D339">
        <v>2989</v>
      </c>
      <c r="G339" t="s">
        <v>5626</v>
      </c>
      <c r="J339" t="s">
        <v>5627</v>
      </c>
      <c r="K339" t="s">
        <v>1549</v>
      </c>
      <c r="M339" t="s">
        <v>1111</v>
      </c>
      <c r="V339" t="s">
        <v>1718</v>
      </c>
      <c r="W339" t="s">
        <v>780</v>
      </c>
      <c r="X339" t="s">
        <v>807</v>
      </c>
      <c r="Z339" s="31">
        <v>46008</v>
      </c>
      <c r="AA339">
        <v>22824</v>
      </c>
      <c r="AB339">
        <v>68904</v>
      </c>
      <c r="AC339">
        <v>1</v>
      </c>
      <c r="AD339" t="s">
        <v>44</v>
      </c>
      <c r="AE339" s="31">
        <v>46002</v>
      </c>
      <c r="AF339" s="61">
        <v>0.66396990740740736</v>
      </c>
      <c r="AH339" t="s">
        <v>795</v>
      </c>
      <c r="AI339" s="31">
        <v>46003</v>
      </c>
      <c r="AJ339" s="61">
        <v>0.69563657407407409</v>
      </c>
      <c r="AK339" t="s">
        <v>5338</v>
      </c>
      <c r="AL339" t="s">
        <v>2532</v>
      </c>
      <c r="AN339" t="s">
        <v>2519</v>
      </c>
      <c r="AP339" t="s">
        <v>2519</v>
      </c>
      <c r="AR339" s="31">
        <v>46003</v>
      </c>
      <c r="AX339">
        <v>1</v>
      </c>
    </row>
    <row r="340" spans="1:50" x14ac:dyDescent="0.3">
      <c r="A340" t="s">
        <v>44</v>
      </c>
      <c r="B340">
        <v>739</v>
      </c>
      <c r="D340">
        <v>2991</v>
      </c>
      <c r="G340" t="s">
        <v>2533</v>
      </c>
      <c r="J340" t="s">
        <v>2534</v>
      </c>
      <c r="K340" t="s">
        <v>2535</v>
      </c>
      <c r="M340" t="s">
        <v>1111</v>
      </c>
      <c r="V340" t="s">
        <v>1718</v>
      </c>
      <c r="W340" t="s">
        <v>780</v>
      </c>
      <c r="X340" t="s">
        <v>793</v>
      </c>
      <c r="Z340" s="31">
        <v>46022</v>
      </c>
      <c r="AA340">
        <v>3392</v>
      </c>
      <c r="AB340">
        <v>3564</v>
      </c>
      <c r="AC340">
        <v>76</v>
      </c>
      <c r="AD340" t="s">
        <v>44</v>
      </c>
      <c r="AE340" s="31">
        <v>46003</v>
      </c>
      <c r="AF340" s="61">
        <v>0.51504629629629628</v>
      </c>
      <c r="AH340" t="s">
        <v>795</v>
      </c>
      <c r="AI340" s="31">
        <v>46079</v>
      </c>
      <c r="AJ340" s="61">
        <v>0.39003472222222219</v>
      </c>
      <c r="AK340" t="s">
        <v>5338</v>
      </c>
      <c r="AL340" t="s">
        <v>5339</v>
      </c>
      <c r="AN340" t="s">
        <v>2326</v>
      </c>
      <c r="AO340" t="s">
        <v>44</v>
      </c>
      <c r="AP340" t="s">
        <v>2326</v>
      </c>
      <c r="AR340" s="31">
        <v>46003</v>
      </c>
      <c r="AS340">
        <v>30</v>
      </c>
      <c r="AX340">
        <v>1</v>
      </c>
    </row>
    <row r="341" spans="1:50" x14ac:dyDescent="0.3">
      <c r="A341" t="s">
        <v>22</v>
      </c>
      <c r="B341">
        <v>740</v>
      </c>
      <c r="D341">
        <v>2994</v>
      </c>
      <c r="E341" t="s">
        <v>4713</v>
      </c>
      <c r="G341" t="s">
        <v>408</v>
      </c>
      <c r="J341" t="s">
        <v>2538</v>
      </c>
      <c r="K341" t="s">
        <v>2539</v>
      </c>
      <c r="M341" t="s">
        <v>2540</v>
      </c>
      <c r="S341" t="s">
        <v>2541</v>
      </c>
      <c r="V341" t="s">
        <v>5628</v>
      </c>
      <c r="W341" t="s">
        <v>780</v>
      </c>
      <c r="X341" t="s">
        <v>807</v>
      </c>
      <c r="Z341" s="31">
        <v>46112</v>
      </c>
      <c r="AA341">
        <v>115520</v>
      </c>
      <c r="AB341">
        <v>65721</v>
      </c>
      <c r="AC341">
        <v>94</v>
      </c>
      <c r="AD341" t="s">
        <v>22</v>
      </c>
      <c r="AE341" s="31">
        <v>46007</v>
      </c>
      <c r="AF341" s="61">
        <v>0.50936342592592587</v>
      </c>
      <c r="AH341" t="s">
        <v>795</v>
      </c>
      <c r="AI341" s="31">
        <v>46101</v>
      </c>
      <c r="AJ341" s="61">
        <v>0.70766203703703701</v>
      </c>
      <c r="AK341" t="s">
        <v>5347</v>
      </c>
      <c r="AN341" t="s">
        <v>4714</v>
      </c>
      <c r="AO341" t="s">
        <v>22</v>
      </c>
      <c r="AP341" t="s">
        <v>4714</v>
      </c>
      <c r="AR341" s="31">
        <v>46101</v>
      </c>
      <c r="AS341">
        <v>30</v>
      </c>
      <c r="AU341" t="s">
        <v>4715</v>
      </c>
      <c r="AX341">
        <v>1</v>
      </c>
    </row>
    <row r="342" spans="1:50" x14ac:dyDescent="0.3">
      <c r="A342" t="s">
        <v>44</v>
      </c>
      <c r="B342">
        <v>741</v>
      </c>
      <c r="D342">
        <v>2995</v>
      </c>
      <c r="E342" t="s">
        <v>5629</v>
      </c>
      <c r="G342" t="s">
        <v>2544</v>
      </c>
      <c r="J342" t="s">
        <v>2545</v>
      </c>
      <c r="K342" t="s">
        <v>2546</v>
      </c>
      <c r="M342" t="s">
        <v>2547</v>
      </c>
      <c r="Q342" t="s">
        <v>2548</v>
      </c>
      <c r="S342" t="s">
        <v>814</v>
      </c>
      <c r="V342" t="s">
        <v>5598</v>
      </c>
      <c r="W342" t="s">
        <v>780</v>
      </c>
      <c r="X342" t="s">
        <v>807</v>
      </c>
      <c r="Z342" s="31">
        <v>46053</v>
      </c>
      <c r="AA342">
        <v>44000</v>
      </c>
      <c r="AB342">
        <v>110248</v>
      </c>
      <c r="AC342">
        <v>31</v>
      </c>
      <c r="AD342" t="s">
        <v>44</v>
      </c>
      <c r="AE342" s="31">
        <v>46007</v>
      </c>
      <c r="AF342" s="61">
        <v>0.72878472222222224</v>
      </c>
      <c r="AH342" t="s">
        <v>795</v>
      </c>
      <c r="AI342" s="31">
        <v>46038</v>
      </c>
      <c r="AJ342" s="61">
        <v>0.66372685185185187</v>
      </c>
      <c r="AK342" t="s">
        <v>934</v>
      </c>
      <c r="AL342" t="s">
        <v>5630</v>
      </c>
      <c r="AN342" t="s">
        <v>2550</v>
      </c>
      <c r="AP342" t="s">
        <v>2510</v>
      </c>
      <c r="AQ342" t="s">
        <v>2551</v>
      </c>
      <c r="AR342" s="31">
        <v>46038</v>
      </c>
      <c r="AX342">
        <v>1</v>
      </c>
    </row>
    <row r="343" spans="1:50" x14ac:dyDescent="0.3">
      <c r="A343" t="s">
        <v>44</v>
      </c>
      <c r="B343">
        <v>742</v>
      </c>
      <c r="D343">
        <v>2996</v>
      </c>
      <c r="E343" t="s">
        <v>5629</v>
      </c>
      <c r="G343" t="s">
        <v>2552</v>
      </c>
      <c r="J343" t="s">
        <v>2553</v>
      </c>
      <c r="K343" t="s">
        <v>2554</v>
      </c>
      <c r="M343" t="s">
        <v>2547</v>
      </c>
      <c r="V343" t="s">
        <v>1718</v>
      </c>
      <c r="W343" t="s">
        <v>780</v>
      </c>
      <c r="X343" t="s">
        <v>807</v>
      </c>
      <c r="Z343" s="31">
        <v>46053</v>
      </c>
      <c r="AA343">
        <v>8000</v>
      </c>
      <c r="AB343">
        <v>186599</v>
      </c>
      <c r="AC343">
        <v>31</v>
      </c>
      <c r="AD343" t="s">
        <v>44</v>
      </c>
      <c r="AE343" s="31">
        <v>46007</v>
      </c>
      <c r="AF343" s="61">
        <v>0.7303587962962963</v>
      </c>
      <c r="AH343" t="s">
        <v>795</v>
      </c>
      <c r="AI343" s="31">
        <v>46038</v>
      </c>
      <c r="AJ343" s="61">
        <v>0.66439814814814813</v>
      </c>
      <c r="AK343" t="s">
        <v>934</v>
      </c>
      <c r="AL343" t="s">
        <v>5630</v>
      </c>
      <c r="AN343" t="s">
        <v>2550</v>
      </c>
      <c r="AP343" t="s">
        <v>2510</v>
      </c>
      <c r="AQ343" t="s">
        <v>2551</v>
      </c>
      <c r="AR343" s="31">
        <v>46038</v>
      </c>
      <c r="AX343">
        <v>1</v>
      </c>
    </row>
    <row r="344" spans="1:50" x14ac:dyDescent="0.3">
      <c r="A344" t="s">
        <v>44</v>
      </c>
      <c r="B344">
        <v>746</v>
      </c>
      <c r="D344">
        <v>3004</v>
      </c>
      <c r="G344" t="s">
        <v>2555</v>
      </c>
      <c r="J344" t="s">
        <v>2556</v>
      </c>
      <c r="K344" t="s">
        <v>2557</v>
      </c>
      <c r="M344" t="s">
        <v>2558</v>
      </c>
      <c r="S344" t="s">
        <v>2541</v>
      </c>
      <c r="V344" t="s">
        <v>5631</v>
      </c>
      <c r="W344" t="s">
        <v>780</v>
      </c>
      <c r="X344" t="s">
        <v>781</v>
      </c>
      <c r="Z344" s="31"/>
      <c r="AC344">
        <v>135</v>
      </c>
      <c r="AD344" t="s">
        <v>44</v>
      </c>
      <c r="AE344" s="31">
        <v>46013</v>
      </c>
      <c r="AF344" s="61">
        <v>0.35472222222222222</v>
      </c>
      <c r="AH344" t="s">
        <v>795</v>
      </c>
      <c r="AI344" s="31">
        <v>46148</v>
      </c>
      <c r="AJ344" s="61">
        <v>0.68866898148148148</v>
      </c>
      <c r="AK344" t="s">
        <v>5392</v>
      </c>
      <c r="AL344" t="s">
        <v>5632</v>
      </c>
      <c r="AR344" s="31"/>
      <c r="AX344">
        <v>1</v>
      </c>
    </row>
    <row r="345" spans="1:50" x14ac:dyDescent="0.3">
      <c r="A345" t="s">
        <v>44</v>
      </c>
      <c r="B345">
        <v>747</v>
      </c>
      <c r="D345">
        <v>3003</v>
      </c>
      <c r="G345" t="s">
        <v>2560</v>
      </c>
      <c r="J345" t="s">
        <v>2561</v>
      </c>
      <c r="K345" t="s">
        <v>2562</v>
      </c>
      <c r="M345" t="s">
        <v>2563</v>
      </c>
      <c r="S345" t="s">
        <v>2541</v>
      </c>
      <c r="V345" t="s">
        <v>5631</v>
      </c>
      <c r="W345" t="s">
        <v>780</v>
      </c>
      <c r="X345" t="s">
        <v>781</v>
      </c>
      <c r="Z345" s="31"/>
      <c r="AC345">
        <v>138</v>
      </c>
      <c r="AD345" t="s">
        <v>44</v>
      </c>
      <c r="AE345" s="31">
        <v>46013</v>
      </c>
      <c r="AF345" s="61">
        <v>0.35800925925925919</v>
      </c>
      <c r="AH345" t="s">
        <v>795</v>
      </c>
      <c r="AI345" s="31">
        <v>46151</v>
      </c>
      <c r="AJ345" s="61">
        <v>0.33648148148148149</v>
      </c>
      <c r="AK345" t="s">
        <v>5377</v>
      </c>
      <c r="AR345" s="31"/>
      <c r="AX345">
        <v>1</v>
      </c>
    </row>
    <row r="346" spans="1:50" x14ac:dyDescent="0.3">
      <c r="A346" t="s">
        <v>44</v>
      </c>
      <c r="B346">
        <v>748</v>
      </c>
      <c r="D346">
        <v>3011</v>
      </c>
      <c r="E346" t="s">
        <v>4716</v>
      </c>
      <c r="G346" t="s">
        <v>2566</v>
      </c>
      <c r="H346">
        <v>9260618000165</v>
      </c>
      <c r="J346" t="s">
        <v>2567</v>
      </c>
      <c r="K346" t="s">
        <v>2568</v>
      </c>
      <c r="M346" t="s">
        <v>2569</v>
      </c>
      <c r="S346" t="s">
        <v>2541</v>
      </c>
      <c r="V346" t="s">
        <v>5628</v>
      </c>
      <c r="W346" t="s">
        <v>780</v>
      </c>
      <c r="X346" t="s">
        <v>857</v>
      </c>
      <c r="Z346" s="31">
        <v>46053</v>
      </c>
      <c r="AC346">
        <v>62</v>
      </c>
      <c r="AD346" t="s">
        <v>44</v>
      </c>
      <c r="AE346" s="31">
        <v>46021</v>
      </c>
      <c r="AF346" s="61">
        <v>0.46439814814814823</v>
      </c>
      <c r="AH346" t="s">
        <v>795</v>
      </c>
      <c r="AI346" s="31">
        <v>46083</v>
      </c>
      <c r="AJ346" s="61">
        <v>0.47996527777777781</v>
      </c>
      <c r="AK346" t="s">
        <v>858</v>
      </c>
      <c r="AL346" t="s">
        <v>4717</v>
      </c>
      <c r="AO346" t="s">
        <v>44</v>
      </c>
      <c r="AP346" t="s">
        <v>2505</v>
      </c>
      <c r="AR346" s="31">
        <v>46083</v>
      </c>
      <c r="AS346">
        <v>30</v>
      </c>
      <c r="AX346">
        <v>1</v>
      </c>
    </row>
    <row r="347" spans="1:50" x14ac:dyDescent="0.3">
      <c r="A347" t="s">
        <v>44</v>
      </c>
      <c r="B347">
        <v>749</v>
      </c>
      <c r="D347">
        <v>3006</v>
      </c>
      <c r="E347" t="s">
        <v>5633</v>
      </c>
      <c r="G347" t="s">
        <v>381</v>
      </c>
      <c r="H347">
        <v>34667612000154</v>
      </c>
      <c r="J347" t="s">
        <v>2571</v>
      </c>
      <c r="K347" t="s">
        <v>2572</v>
      </c>
      <c r="M347" t="s">
        <v>2573</v>
      </c>
      <c r="Q347" t="s">
        <v>2574</v>
      </c>
      <c r="R347" t="s">
        <v>1699</v>
      </c>
      <c r="S347" t="s">
        <v>2541</v>
      </c>
      <c r="V347" t="s">
        <v>5628</v>
      </c>
      <c r="W347" t="s">
        <v>780</v>
      </c>
      <c r="X347" t="s">
        <v>793</v>
      </c>
      <c r="Z347" s="31">
        <v>46081</v>
      </c>
      <c r="AA347">
        <v>1117015</v>
      </c>
      <c r="AB347">
        <v>468739</v>
      </c>
      <c r="AC347">
        <v>50</v>
      </c>
      <c r="AD347" t="s">
        <v>44</v>
      </c>
      <c r="AE347" s="31">
        <v>46021</v>
      </c>
      <c r="AF347" s="61">
        <v>0.47844907407407411</v>
      </c>
      <c r="AH347" t="s">
        <v>795</v>
      </c>
      <c r="AI347" s="31">
        <v>46071</v>
      </c>
      <c r="AJ347" s="61">
        <v>0.36982638888888891</v>
      </c>
      <c r="AK347" t="s">
        <v>934</v>
      </c>
      <c r="AL347" t="s">
        <v>5634</v>
      </c>
      <c r="AN347" t="s">
        <v>382</v>
      </c>
      <c r="AO347" t="s">
        <v>44</v>
      </c>
      <c r="AP347" t="s">
        <v>2576</v>
      </c>
      <c r="AQ347" t="s">
        <v>382</v>
      </c>
      <c r="AR347" s="31">
        <v>46071</v>
      </c>
      <c r="AS347">
        <v>30</v>
      </c>
      <c r="AX347">
        <v>1</v>
      </c>
    </row>
    <row r="348" spans="1:50" x14ac:dyDescent="0.3">
      <c r="A348" t="s">
        <v>31</v>
      </c>
      <c r="B348">
        <v>750</v>
      </c>
      <c r="D348">
        <v>3016</v>
      </c>
      <c r="E348" t="s">
        <v>2577</v>
      </c>
      <c r="G348" t="s">
        <v>2578</v>
      </c>
      <c r="H348">
        <v>1574467000108</v>
      </c>
      <c r="J348" t="s">
        <v>2579</v>
      </c>
      <c r="K348" t="s">
        <v>2580</v>
      </c>
      <c r="M348" t="s">
        <v>2581</v>
      </c>
      <c r="S348" t="s">
        <v>2541</v>
      </c>
      <c r="V348" t="s">
        <v>5635</v>
      </c>
      <c r="W348" t="s">
        <v>780</v>
      </c>
      <c r="X348" t="s">
        <v>807</v>
      </c>
      <c r="Z348" s="31">
        <v>46112</v>
      </c>
      <c r="AA348">
        <v>12996348</v>
      </c>
      <c r="AB348">
        <v>860884</v>
      </c>
      <c r="AC348">
        <v>43</v>
      </c>
      <c r="AD348" t="s">
        <v>31</v>
      </c>
      <c r="AE348" s="31">
        <v>46027</v>
      </c>
      <c r="AF348" s="61">
        <v>0.49306712962962962</v>
      </c>
      <c r="AH348" t="s">
        <v>795</v>
      </c>
      <c r="AI348" s="31">
        <v>46070</v>
      </c>
      <c r="AJ348" s="61">
        <v>0.68046296296296294</v>
      </c>
      <c r="AK348" t="s">
        <v>5347</v>
      </c>
      <c r="AO348" t="s">
        <v>31</v>
      </c>
      <c r="AP348" t="s">
        <v>2505</v>
      </c>
      <c r="AQ348" t="s">
        <v>382</v>
      </c>
      <c r="AR348" s="31">
        <v>46058</v>
      </c>
      <c r="AS348">
        <v>50</v>
      </c>
      <c r="AX348">
        <v>1</v>
      </c>
    </row>
    <row r="349" spans="1:50" x14ac:dyDescent="0.3">
      <c r="A349" t="s">
        <v>31</v>
      </c>
      <c r="B349">
        <v>754</v>
      </c>
      <c r="D349">
        <v>3017</v>
      </c>
      <c r="E349" t="s">
        <v>2583</v>
      </c>
      <c r="F349" t="s">
        <v>2584</v>
      </c>
      <c r="G349" t="s">
        <v>2585</v>
      </c>
      <c r="H349">
        <v>61516270000144</v>
      </c>
      <c r="J349" t="s">
        <v>2586</v>
      </c>
      <c r="K349" t="s">
        <v>2587</v>
      </c>
      <c r="M349" t="s">
        <v>2588</v>
      </c>
      <c r="Q349" t="s">
        <v>2589</v>
      </c>
      <c r="R349" t="s">
        <v>790</v>
      </c>
      <c r="S349" t="s">
        <v>2541</v>
      </c>
      <c r="V349" t="s">
        <v>5628</v>
      </c>
      <c r="W349" t="s">
        <v>780</v>
      </c>
      <c r="X349" t="s">
        <v>793</v>
      </c>
      <c r="Z349" s="31">
        <v>46142</v>
      </c>
      <c r="AC349">
        <v>13</v>
      </c>
      <c r="AD349" t="s">
        <v>31</v>
      </c>
      <c r="AE349" s="31">
        <v>46029</v>
      </c>
      <c r="AF349" s="61">
        <v>0.42782407407407408</v>
      </c>
      <c r="AH349" t="s">
        <v>795</v>
      </c>
      <c r="AI349" s="31">
        <v>46042</v>
      </c>
      <c r="AJ349" s="61">
        <v>0.71923611111111108</v>
      </c>
      <c r="AK349" t="s">
        <v>858</v>
      </c>
      <c r="AN349" t="s">
        <v>2590</v>
      </c>
      <c r="AO349" t="s">
        <v>31</v>
      </c>
      <c r="AP349" t="s">
        <v>2591</v>
      </c>
      <c r="AR349" s="31">
        <v>46041</v>
      </c>
      <c r="AX349">
        <v>1</v>
      </c>
    </row>
    <row r="350" spans="1:50" x14ac:dyDescent="0.3">
      <c r="A350" t="s">
        <v>22</v>
      </c>
      <c r="B350">
        <v>757</v>
      </c>
      <c r="D350">
        <v>3046</v>
      </c>
      <c r="E350" t="s">
        <v>2592</v>
      </c>
      <c r="G350" t="s">
        <v>2593</v>
      </c>
      <c r="J350" t="s">
        <v>2594</v>
      </c>
      <c r="K350" t="s">
        <v>2595</v>
      </c>
      <c r="M350" t="s">
        <v>2596</v>
      </c>
      <c r="S350" t="s">
        <v>2541</v>
      </c>
      <c r="V350" t="s">
        <v>5628</v>
      </c>
      <c r="W350" t="s">
        <v>780</v>
      </c>
      <c r="X350" t="s">
        <v>897</v>
      </c>
      <c r="Z350" s="31">
        <v>46034</v>
      </c>
      <c r="AC350">
        <v>15</v>
      </c>
      <c r="AD350" t="s">
        <v>22</v>
      </c>
      <c r="AE350" s="31">
        <v>46030</v>
      </c>
      <c r="AF350" s="61">
        <v>0.66454861111111108</v>
      </c>
      <c r="AH350" t="s">
        <v>795</v>
      </c>
      <c r="AI350" s="31">
        <v>46045</v>
      </c>
      <c r="AJ350" s="61">
        <v>0.74555555555555553</v>
      </c>
      <c r="AK350" t="s">
        <v>5353</v>
      </c>
      <c r="AL350" t="s">
        <v>2597</v>
      </c>
      <c r="AO350" t="s">
        <v>22</v>
      </c>
      <c r="AR350" s="31">
        <v>46034</v>
      </c>
      <c r="AX350">
        <v>1</v>
      </c>
    </row>
    <row r="351" spans="1:50" x14ac:dyDescent="0.3">
      <c r="A351" t="s">
        <v>22</v>
      </c>
      <c r="B351">
        <v>758</v>
      </c>
      <c r="D351">
        <v>3048</v>
      </c>
      <c r="E351" t="s">
        <v>4718</v>
      </c>
      <c r="G351" t="s">
        <v>2599</v>
      </c>
      <c r="J351" t="s">
        <v>2600</v>
      </c>
      <c r="K351" t="s">
        <v>2601</v>
      </c>
      <c r="M351" t="s">
        <v>2602</v>
      </c>
      <c r="V351" t="s">
        <v>1419</v>
      </c>
      <c r="W351" t="s">
        <v>780</v>
      </c>
      <c r="X351" t="s">
        <v>807</v>
      </c>
      <c r="Z351" s="31">
        <v>46079</v>
      </c>
      <c r="AA351">
        <v>0</v>
      </c>
      <c r="AB351">
        <v>66</v>
      </c>
      <c r="AC351">
        <v>49</v>
      </c>
      <c r="AD351" t="s">
        <v>22</v>
      </c>
      <c r="AE351" s="31">
        <v>46030</v>
      </c>
      <c r="AF351" s="61">
        <v>0.7044907407407407</v>
      </c>
      <c r="AH351" t="s">
        <v>795</v>
      </c>
      <c r="AI351" s="31">
        <v>46079</v>
      </c>
      <c r="AJ351" s="61">
        <v>0.92770833333333336</v>
      </c>
      <c r="AK351" t="s">
        <v>934</v>
      </c>
      <c r="AN351" t="s">
        <v>2603</v>
      </c>
      <c r="AO351" t="s">
        <v>22</v>
      </c>
      <c r="AP351" t="s">
        <v>2603</v>
      </c>
      <c r="AR351" s="31">
        <v>46079</v>
      </c>
      <c r="AS351">
        <v>50</v>
      </c>
      <c r="AT351" t="s">
        <v>2604</v>
      </c>
      <c r="AU351" t="s">
        <v>2605</v>
      </c>
      <c r="AV351" t="s">
        <v>2606</v>
      </c>
      <c r="AW351" t="s">
        <v>2607</v>
      </c>
      <c r="AX351">
        <v>1</v>
      </c>
    </row>
    <row r="352" spans="1:50" x14ac:dyDescent="0.3">
      <c r="A352" t="s">
        <v>22</v>
      </c>
      <c r="B352">
        <v>759</v>
      </c>
      <c r="D352">
        <v>3049</v>
      </c>
      <c r="E352" t="s">
        <v>2608</v>
      </c>
      <c r="G352" t="s">
        <v>2609</v>
      </c>
      <c r="H352">
        <v>10345472000130</v>
      </c>
      <c r="J352" t="s">
        <v>2610</v>
      </c>
      <c r="K352" t="s">
        <v>2611</v>
      </c>
      <c r="M352" t="s">
        <v>2612</v>
      </c>
      <c r="V352" t="s">
        <v>1704</v>
      </c>
      <c r="W352" t="s">
        <v>780</v>
      </c>
      <c r="X352" t="s">
        <v>816</v>
      </c>
      <c r="Z352" s="31">
        <v>46053</v>
      </c>
      <c r="AA352">
        <v>1505387</v>
      </c>
      <c r="AB352">
        <v>27562</v>
      </c>
      <c r="AC352">
        <v>4</v>
      </c>
      <c r="AD352" t="s">
        <v>22</v>
      </c>
      <c r="AE352" s="31">
        <v>46030</v>
      </c>
      <c r="AF352" s="61">
        <v>0.71855324074074078</v>
      </c>
      <c r="AH352" t="s">
        <v>818</v>
      </c>
      <c r="AI352" s="31">
        <v>46034</v>
      </c>
      <c r="AJ352" s="61">
        <v>0.6088541666666667</v>
      </c>
      <c r="AN352" t="s">
        <v>2603</v>
      </c>
      <c r="AO352" t="s">
        <v>22</v>
      </c>
      <c r="AP352" t="s">
        <v>2603</v>
      </c>
      <c r="AR352" s="31"/>
      <c r="AX352">
        <v>1</v>
      </c>
    </row>
    <row r="353" spans="1:50" x14ac:dyDescent="0.3">
      <c r="A353" t="s">
        <v>22</v>
      </c>
      <c r="B353">
        <v>760</v>
      </c>
      <c r="D353">
        <v>3050</v>
      </c>
      <c r="E353" t="s">
        <v>5636</v>
      </c>
      <c r="G353" t="s">
        <v>2614</v>
      </c>
      <c r="H353">
        <v>3204281000192</v>
      </c>
      <c r="J353" t="s">
        <v>2615</v>
      </c>
      <c r="K353" t="s">
        <v>2616</v>
      </c>
      <c r="M353" t="s">
        <v>2617</v>
      </c>
      <c r="Q353" t="s">
        <v>2618</v>
      </c>
      <c r="R353" t="s">
        <v>790</v>
      </c>
      <c r="V353" t="s">
        <v>1704</v>
      </c>
      <c r="W353" t="s">
        <v>780</v>
      </c>
      <c r="X353" t="s">
        <v>816</v>
      </c>
      <c r="Z353" s="31">
        <v>46112</v>
      </c>
      <c r="AA353">
        <v>58000</v>
      </c>
      <c r="AB353">
        <v>0</v>
      </c>
      <c r="AC353">
        <v>132</v>
      </c>
      <c r="AD353" t="s">
        <v>22</v>
      </c>
      <c r="AE353" s="31">
        <v>46030</v>
      </c>
      <c r="AF353" s="61">
        <v>0.72366898148148151</v>
      </c>
      <c r="AH353" t="s">
        <v>782</v>
      </c>
      <c r="AI353" s="31"/>
      <c r="AJ353" s="61"/>
      <c r="AN353" t="s">
        <v>2619</v>
      </c>
      <c r="AO353" t="s">
        <v>22</v>
      </c>
      <c r="AP353" t="s">
        <v>2619</v>
      </c>
      <c r="AR353" s="31">
        <v>46101</v>
      </c>
      <c r="AS353">
        <v>90</v>
      </c>
      <c r="AT353" t="s">
        <v>2620</v>
      </c>
      <c r="AU353" t="s">
        <v>318</v>
      </c>
      <c r="AV353" t="s">
        <v>4720</v>
      </c>
      <c r="AW353" t="s">
        <v>2606</v>
      </c>
      <c r="AX353">
        <v>1</v>
      </c>
    </row>
    <row r="354" spans="1:50" x14ac:dyDescent="0.3">
      <c r="A354" t="s">
        <v>22</v>
      </c>
      <c r="B354">
        <v>761</v>
      </c>
      <c r="D354">
        <v>3053</v>
      </c>
      <c r="E354" t="s">
        <v>2622</v>
      </c>
      <c r="G354" t="s">
        <v>2623</v>
      </c>
      <c r="H354">
        <v>12585697000199</v>
      </c>
      <c r="J354" t="s">
        <v>2624</v>
      </c>
      <c r="K354" t="s">
        <v>2625</v>
      </c>
      <c r="M354" t="s">
        <v>2626</v>
      </c>
      <c r="Q354" t="s">
        <v>1837</v>
      </c>
      <c r="R354" t="s">
        <v>790</v>
      </c>
      <c r="W354" t="s">
        <v>780</v>
      </c>
      <c r="X354" t="s">
        <v>807</v>
      </c>
      <c r="Z354" s="31">
        <v>46053</v>
      </c>
      <c r="AA354">
        <v>8100</v>
      </c>
      <c r="AB354">
        <v>1080</v>
      </c>
      <c r="AC354">
        <v>4</v>
      </c>
      <c r="AD354" t="s">
        <v>22</v>
      </c>
      <c r="AE354" s="31">
        <v>46030</v>
      </c>
      <c r="AF354" s="61">
        <v>0.72824074074074074</v>
      </c>
      <c r="AH354" t="s">
        <v>795</v>
      </c>
      <c r="AI354" s="31">
        <v>46034</v>
      </c>
      <c r="AJ354" s="61">
        <v>0.60534722222222226</v>
      </c>
      <c r="AK354" t="s">
        <v>858</v>
      </c>
      <c r="AN354" t="s">
        <v>2603</v>
      </c>
      <c r="AO354" t="s">
        <v>22</v>
      </c>
      <c r="AP354" t="s">
        <v>2603</v>
      </c>
      <c r="AR354" s="31">
        <v>46031</v>
      </c>
      <c r="AX354">
        <v>1</v>
      </c>
    </row>
    <row r="355" spans="1:50" x14ac:dyDescent="0.3">
      <c r="A355" t="s">
        <v>22</v>
      </c>
      <c r="B355">
        <v>762</v>
      </c>
      <c r="D355">
        <v>3040</v>
      </c>
      <c r="E355" t="s">
        <v>2627</v>
      </c>
      <c r="G355" t="s">
        <v>2628</v>
      </c>
      <c r="J355" t="s">
        <v>2629</v>
      </c>
      <c r="K355" t="s">
        <v>2630</v>
      </c>
      <c r="M355" t="s">
        <v>2631</v>
      </c>
      <c r="S355" t="s">
        <v>2541</v>
      </c>
      <c r="V355" t="s">
        <v>5637</v>
      </c>
      <c r="W355" t="s">
        <v>780</v>
      </c>
      <c r="X355" t="s">
        <v>897</v>
      </c>
      <c r="Z355" s="31">
        <v>46045</v>
      </c>
      <c r="AC355">
        <v>15</v>
      </c>
      <c r="AD355" t="s">
        <v>22</v>
      </c>
      <c r="AE355" s="31">
        <v>46030</v>
      </c>
      <c r="AF355" s="61">
        <v>0.7323263888888889</v>
      </c>
      <c r="AH355" t="s">
        <v>795</v>
      </c>
      <c r="AI355" s="31">
        <v>46045</v>
      </c>
      <c r="AJ355" s="61">
        <v>0.74736111111111114</v>
      </c>
      <c r="AK355" t="s">
        <v>5392</v>
      </c>
      <c r="AO355" t="s">
        <v>22</v>
      </c>
      <c r="AR355" s="31">
        <v>46045</v>
      </c>
      <c r="AX355">
        <v>1</v>
      </c>
    </row>
    <row r="356" spans="1:50" x14ac:dyDescent="0.3">
      <c r="A356" t="s">
        <v>44</v>
      </c>
      <c r="B356">
        <v>763</v>
      </c>
      <c r="D356">
        <v>3058</v>
      </c>
      <c r="E356" t="s">
        <v>5638</v>
      </c>
      <c r="G356" t="s">
        <v>2634</v>
      </c>
      <c r="H356">
        <v>55042933000133</v>
      </c>
      <c r="J356" t="s">
        <v>291</v>
      </c>
      <c r="K356" t="s">
        <v>2635</v>
      </c>
      <c r="M356" t="s">
        <v>2636</v>
      </c>
      <c r="Q356" t="s">
        <v>2637</v>
      </c>
      <c r="R356" t="s">
        <v>1105</v>
      </c>
      <c r="S356" t="s">
        <v>2541</v>
      </c>
      <c r="V356" t="s">
        <v>5628</v>
      </c>
      <c r="W356" t="s">
        <v>780</v>
      </c>
      <c r="X356" t="s">
        <v>857</v>
      </c>
      <c r="Z356" s="31">
        <v>46053</v>
      </c>
      <c r="AA356">
        <v>61904</v>
      </c>
      <c r="AB356">
        <v>13156</v>
      </c>
      <c r="AC356">
        <v>20</v>
      </c>
      <c r="AD356" t="s">
        <v>44</v>
      </c>
      <c r="AE356" s="31">
        <v>46031</v>
      </c>
      <c r="AF356" s="61">
        <v>0.46917824074074072</v>
      </c>
      <c r="AH356" t="s">
        <v>795</v>
      </c>
      <c r="AI356" s="31">
        <v>46051</v>
      </c>
      <c r="AJ356" s="61">
        <v>0.60484953703703703</v>
      </c>
      <c r="AK356" t="s">
        <v>5338</v>
      </c>
      <c r="AL356" t="s">
        <v>5639</v>
      </c>
      <c r="AN356" t="s">
        <v>2591</v>
      </c>
      <c r="AP356" t="s">
        <v>2639</v>
      </c>
      <c r="AR356" s="31">
        <v>46051</v>
      </c>
      <c r="AX356">
        <v>1</v>
      </c>
    </row>
    <row r="357" spans="1:50" x14ac:dyDescent="0.3">
      <c r="A357" t="s">
        <v>31</v>
      </c>
      <c r="B357">
        <v>764</v>
      </c>
      <c r="D357">
        <v>3007</v>
      </c>
      <c r="E357" t="s">
        <v>2640</v>
      </c>
      <c r="G357" t="s">
        <v>2641</v>
      </c>
      <c r="H357">
        <v>51776465000170</v>
      </c>
      <c r="J357" t="s">
        <v>2642</v>
      </c>
      <c r="K357" t="s">
        <v>2643</v>
      </c>
      <c r="M357" t="s">
        <v>2644</v>
      </c>
      <c r="S357" t="s">
        <v>2541</v>
      </c>
      <c r="V357" t="s">
        <v>5628</v>
      </c>
      <c r="W357" t="s">
        <v>780</v>
      </c>
      <c r="X357" t="s">
        <v>793</v>
      </c>
      <c r="Z357" s="31">
        <v>46112</v>
      </c>
      <c r="AC357">
        <v>120</v>
      </c>
      <c r="AD357" t="s">
        <v>31</v>
      </c>
      <c r="AE357" s="31">
        <v>46031</v>
      </c>
      <c r="AF357" s="61">
        <v>0.48917824074074068</v>
      </c>
      <c r="AH357" t="s">
        <v>795</v>
      </c>
      <c r="AI357" s="31">
        <v>46151</v>
      </c>
      <c r="AJ357" s="61">
        <v>0.35598379629629628</v>
      </c>
      <c r="AK357" t="s">
        <v>858</v>
      </c>
      <c r="AO357" t="s">
        <v>31</v>
      </c>
      <c r="AP357" t="s">
        <v>2645</v>
      </c>
      <c r="AR357" s="31">
        <v>46050</v>
      </c>
      <c r="AX357">
        <v>1</v>
      </c>
    </row>
    <row r="358" spans="1:50" x14ac:dyDescent="0.3">
      <c r="A358" t="s">
        <v>22</v>
      </c>
      <c r="B358">
        <v>766</v>
      </c>
      <c r="D358">
        <v>3063</v>
      </c>
      <c r="E358" t="s">
        <v>2646</v>
      </c>
      <c r="G358" t="s">
        <v>2647</v>
      </c>
      <c r="J358" t="s">
        <v>4086</v>
      </c>
      <c r="K358" t="s">
        <v>2649</v>
      </c>
      <c r="M358" t="s">
        <v>1111</v>
      </c>
      <c r="V358" t="s">
        <v>2407</v>
      </c>
      <c r="W358" t="s">
        <v>780</v>
      </c>
      <c r="X358" t="s">
        <v>816</v>
      </c>
      <c r="Z358" s="31">
        <v>46037</v>
      </c>
      <c r="AA358">
        <v>56100</v>
      </c>
      <c r="AB358">
        <v>67334</v>
      </c>
      <c r="AC358">
        <v>14</v>
      </c>
      <c r="AD358" t="s">
        <v>22</v>
      </c>
      <c r="AE358" s="31">
        <v>46031</v>
      </c>
      <c r="AF358" s="61">
        <v>0.64468749999999997</v>
      </c>
      <c r="AH358" t="s">
        <v>818</v>
      </c>
      <c r="AI358" s="31">
        <v>46045</v>
      </c>
      <c r="AJ358" s="61">
        <v>0.46248842592592587</v>
      </c>
      <c r="AN358" t="s">
        <v>2603</v>
      </c>
      <c r="AO358" t="s">
        <v>22</v>
      </c>
      <c r="AP358" t="s">
        <v>2650</v>
      </c>
      <c r="AR358" s="31">
        <v>46037</v>
      </c>
      <c r="AX358">
        <v>1</v>
      </c>
    </row>
    <row r="359" spans="1:50" x14ac:dyDescent="0.3">
      <c r="A359" t="s">
        <v>22</v>
      </c>
      <c r="B359">
        <v>767</v>
      </c>
      <c r="D359">
        <v>3064</v>
      </c>
      <c r="E359" t="s">
        <v>4721</v>
      </c>
      <c r="G359" t="s">
        <v>2652</v>
      </c>
      <c r="J359" t="s">
        <v>2653</v>
      </c>
      <c r="K359" t="s">
        <v>2654</v>
      </c>
      <c r="M359" t="s">
        <v>2655</v>
      </c>
      <c r="V359" t="s">
        <v>2656</v>
      </c>
      <c r="W359" t="s">
        <v>780</v>
      </c>
      <c r="X359" t="s">
        <v>807</v>
      </c>
      <c r="Z359" s="31">
        <v>46053</v>
      </c>
      <c r="AA359">
        <v>16000</v>
      </c>
      <c r="AB359">
        <v>18330</v>
      </c>
      <c r="AC359">
        <v>49</v>
      </c>
      <c r="AD359" t="s">
        <v>22</v>
      </c>
      <c r="AE359" s="31">
        <v>46031</v>
      </c>
      <c r="AF359" s="61">
        <v>0.65190972222222221</v>
      </c>
      <c r="AH359" t="s">
        <v>795</v>
      </c>
      <c r="AI359" s="31">
        <v>46080</v>
      </c>
      <c r="AJ359" s="61">
        <v>0.89033564814814814</v>
      </c>
      <c r="AK359" t="s">
        <v>5347</v>
      </c>
      <c r="AN359" t="s">
        <v>2650</v>
      </c>
      <c r="AO359" t="s">
        <v>22</v>
      </c>
      <c r="AP359" t="s">
        <v>2619</v>
      </c>
      <c r="AR359" s="31">
        <v>46041</v>
      </c>
      <c r="AS359">
        <v>30</v>
      </c>
      <c r="AT359" t="s">
        <v>1012</v>
      </c>
      <c r="AU359" t="s">
        <v>63</v>
      </c>
      <c r="AV359" t="s">
        <v>1971</v>
      </c>
      <c r="AW359" t="s">
        <v>2657</v>
      </c>
      <c r="AX359">
        <v>1</v>
      </c>
    </row>
    <row r="360" spans="1:50" x14ac:dyDescent="0.3">
      <c r="A360" t="s">
        <v>31</v>
      </c>
      <c r="B360">
        <v>768</v>
      </c>
      <c r="D360">
        <v>2107</v>
      </c>
      <c r="E360" t="s">
        <v>2658</v>
      </c>
      <c r="F360" t="s">
        <v>2659</v>
      </c>
      <c r="G360" t="s">
        <v>2660</v>
      </c>
      <c r="H360">
        <v>10469551000152</v>
      </c>
      <c r="J360" t="s">
        <v>5640</v>
      </c>
      <c r="K360" t="s">
        <v>2662</v>
      </c>
      <c r="M360" t="s">
        <v>2663</v>
      </c>
      <c r="Q360" t="s">
        <v>2664</v>
      </c>
      <c r="R360" t="s">
        <v>932</v>
      </c>
      <c r="S360" t="s">
        <v>805</v>
      </c>
      <c r="V360" t="s">
        <v>5641</v>
      </c>
      <c r="W360" t="s">
        <v>780</v>
      </c>
      <c r="X360" t="s">
        <v>897</v>
      </c>
      <c r="Z360" s="31">
        <v>46142</v>
      </c>
      <c r="AC360">
        <v>11</v>
      </c>
      <c r="AD360" t="s">
        <v>31</v>
      </c>
      <c r="AE360" s="31">
        <v>46031</v>
      </c>
      <c r="AF360" s="61">
        <v>0.70384259259259263</v>
      </c>
      <c r="AH360" t="s">
        <v>795</v>
      </c>
      <c r="AI360" s="31">
        <v>46042</v>
      </c>
      <c r="AJ360" s="61">
        <v>0.71552083333333338</v>
      </c>
      <c r="AK360" t="s">
        <v>5353</v>
      </c>
      <c r="AR360" s="31">
        <v>46035</v>
      </c>
      <c r="AX360">
        <v>1</v>
      </c>
    </row>
    <row r="361" spans="1:50" x14ac:dyDescent="0.3">
      <c r="A361" t="s">
        <v>22</v>
      </c>
      <c r="B361">
        <v>769</v>
      </c>
      <c r="D361">
        <v>2997</v>
      </c>
      <c r="E361" t="s">
        <v>2666</v>
      </c>
      <c r="G361" t="s">
        <v>2667</v>
      </c>
      <c r="J361" t="s">
        <v>2668</v>
      </c>
      <c r="K361" t="s">
        <v>2669</v>
      </c>
      <c r="M361" t="s">
        <v>2670</v>
      </c>
      <c r="S361" t="s">
        <v>2541</v>
      </c>
      <c r="V361" t="s">
        <v>5628</v>
      </c>
      <c r="W361" t="s">
        <v>780</v>
      </c>
      <c r="X361" t="s">
        <v>897</v>
      </c>
      <c r="Z361" s="31">
        <v>46053</v>
      </c>
      <c r="AC361">
        <v>1</v>
      </c>
      <c r="AD361" t="s">
        <v>22</v>
      </c>
      <c r="AE361" s="31">
        <v>46034</v>
      </c>
      <c r="AF361" s="61">
        <v>0.72917824074074078</v>
      </c>
      <c r="AH361" t="s">
        <v>795</v>
      </c>
      <c r="AI361" s="31">
        <v>46035</v>
      </c>
      <c r="AJ361" s="61">
        <v>0.7297569444444445</v>
      </c>
      <c r="AK361" t="s">
        <v>858</v>
      </c>
      <c r="AO361" t="s">
        <v>22</v>
      </c>
      <c r="AR361" s="31"/>
      <c r="AX361">
        <v>1</v>
      </c>
    </row>
    <row r="362" spans="1:50" x14ac:dyDescent="0.3">
      <c r="A362" t="s">
        <v>22</v>
      </c>
      <c r="B362">
        <v>770</v>
      </c>
      <c r="D362">
        <v>3005</v>
      </c>
      <c r="E362" t="s">
        <v>4722</v>
      </c>
      <c r="G362" t="s">
        <v>2672</v>
      </c>
      <c r="H362">
        <v>18190972000151</v>
      </c>
      <c r="J362" t="s">
        <v>2673</v>
      </c>
      <c r="K362" t="s">
        <v>2674</v>
      </c>
      <c r="M362" t="s">
        <v>2675</v>
      </c>
      <c r="S362" t="s">
        <v>2541</v>
      </c>
      <c r="V362" t="s">
        <v>5628</v>
      </c>
      <c r="W362" t="s">
        <v>780</v>
      </c>
      <c r="X362" t="s">
        <v>897</v>
      </c>
      <c r="Z362" s="31">
        <v>46053</v>
      </c>
      <c r="AC362">
        <v>38</v>
      </c>
      <c r="AD362" t="s">
        <v>22</v>
      </c>
      <c r="AE362" s="31">
        <v>46034</v>
      </c>
      <c r="AF362" s="61">
        <v>0.73178240740740741</v>
      </c>
      <c r="AH362" t="s">
        <v>795</v>
      </c>
      <c r="AI362" s="31">
        <v>46072</v>
      </c>
      <c r="AJ362" s="61">
        <v>0.74324074074074076</v>
      </c>
      <c r="AK362" t="s">
        <v>5353</v>
      </c>
      <c r="AO362" t="s">
        <v>22</v>
      </c>
      <c r="AR362" s="31">
        <v>46045</v>
      </c>
      <c r="AS362">
        <v>30</v>
      </c>
      <c r="AX362">
        <v>1</v>
      </c>
    </row>
    <row r="363" spans="1:50" x14ac:dyDescent="0.3">
      <c r="A363" t="s">
        <v>22</v>
      </c>
      <c r="B363">
        <v>771</v>
      </c>
      <c r="D363">
        <v>3001</v>
      </c>
      <c r="E363" t="s">
        <v>4723</v>
      </c>
      <c r="G363" t="s">
        <v>394</v>
      </c>
      <c r="J363" t="s">
        <v>2677</v>
      </c>
      <c r="K363" t="s">
        <v>2678</v>
      </c>
      <c r="M363" t="s">
        <v>2679</v>
      </c>
      <c r="S363" t="s">
        <v>2541</v>
      </c>
      <c r="V363" t="s">
        <v>5628</v>
      </c>
      <c r="W363" t="s">
        <v>780</v>
      </c>
      <c r="X363" t="s">
        <v>807</v>
      </c>
      <c r="Z363" s="31">
        <v>46112</v>
      </c>
      <c r="AA363">
        <v>6840289</v>
      </c>
      <c r="AB363">
        <v>44907</v>
      </c>
      <c r="AC363">
        <v>126</v>
      </c>
      <c r="AD363" t="s">
        <v>22</v>
      </c>
      <c r="AE363" s="31">
        <v>46034</v>
      </c>
      <c r="AF363" s="61">
        <v>0.7350578703703704</v>
      </c>
      <c r="AH363" t="s">
        <v>795</v>
      </c>
      <c r="AI363" s="31">
        <v>46160</v>
      </c>
      <c r="AJ363" s="61">
        <v>0.70289351851851856</v>
      </c>
      <c r="AK363" t="s">
        <v>5642</v>
      </c>
      <c r="AN363" t="s">
        <v>395</v>
      </c>
      <c r="AO363" t="s">
        <v>22</v>
      </c>
      <c r="AP363" t="s">
        <v>395</v>
      </c>
      <c r="AR363" s="31">
        <v>46132</v>
      </c>
      <c r="AS363">
        <v>30</v>
      </c>
      <c r="AU363" t="s">
        <v>321</v>
      </c>
      <c r="AX363">
        <v>1</v>
      </c>
    </row>
    <row r="364" spans="1:50" x14ac:dyDescent="0.3">
      <c r="A364" t="s">
        <v>22</v>
      </c>
      <c r="B364">
        <v>772</v>
      </c>
      <c r="D364">
        <v>3008</v>
      </c>
      <c r="E364" t="s">
        <v>2680</v>
      </c>
      <c r="G364" t="s">
        <v>2681</v>
      </c>
      <c r="J364" t="s">
        <v>4177</v>
      </c>
      <c r="K364" t="s">
        <v>2683</v>
      </c>
      <c r="M364" t="s">
        <v>2684</v>
      </c>
      <c r="Q364" t="s">
        <v>2685</v>
      </c>
      <c r="S364" t="s">
        <v>814</v>
      </c>
      <c r="V364" t="s">
        <v>1718</v>
      </c>
      <c r="W364" t="s">
        <v>780</v>
      </c>
      <c r="X364" t="s">
        <v>897</v>
      </c>
      <c r="Z364" s="31">
        <v>46053</v>
      </c>
      <c r="AC364">
        <v>0</v>
      </c>
      <c r="AD364" t="s">
        <v>22</v>
      </c>
      <c r="AE364" s="31">
        <v>46034</v>
      </c>
      <c r="AF364" s="61">
        <v>0.73835648148148147</v>
      </c>
      <c r="AH364" t="s">
        <v>795</v>
      </c>
      <c r="AI364" s="31">
        <v>46034</v>
      </c>
      <c r="AJ364" s="61">
        <v>0.93637731481481479</v>
      </c>
      <c r="AK364" t="s">
        <v>5392</v>
      </c>
      <c r="AO364" t="s">
        <v>22</v>
      </c>
      <c r="AR364" s="31"/>
      <c r="AX364">
        <v>1</v>
      </c>
    </row>
    <row r="365" spans="1:50" x14ac:dyDescent="0.3">
      <c r="A365" t="s">
        <v>22</v>
      </c>
      <c r="B365">
        <v>773</v>
      </c>
      <c r="D365">
        <v>3000</v>
      </c>
      <c r="E365" t="s">
        <v>2686</v>
      </c>
      <c r="G365" t="s">
        <v>5643</v>
      </c>
      <c r="J365" t="s">
        <v>1288</v>
      </c>
      <c r="K365" t="s">
        <v>2689</v>
      </c>
      <c r="M365" t="s">
        <v>2690</v>
      </c>
      <c r="Q365" t="s">
        <v>2398</v>
      </c>
      <c r="S365" t="s">
        <v>814</v>
      </c>
      <c r="V365" t="s">
        <v>5644</v>
      </c>
      <c r="W365" t="s">
        <v>1191</v>
      </c>
      <c r="X365" t="s">
        <v>2692</v>
      </c>
      <c r="Z365" s="31">
        <v>46053</v>
      </c>
      <c r="AC365">
        <v>128</v>
      </c>
      <c r="AD365" t="s">
        <v>22</v>
      </c>
      <c r="AE365" s="31">
        <v>46034</v>
      </c>
      <c r="AF365" s="61">
        <v>0.74041666666666661</v>
      </c>
      <c r="AH365" t="s">
        <v>782</v>
      </c>
      <c r="AI365" s="31"/>
      <c r="AJ365" s="61"/>
      <c r="AO365" t="s">
        <v>22</v>
      </c>
      <c r="AR365" s="31">
        <v>46045</v>
      </c>
      <c r="AS365">
        <v>30</v>
      </c>
      <c r="AX365">
        <v>1</v>
      </c>
    </row>
    <row r="366" spans="1:50" x14ac:dyDescent="0.3">
      <c r="A366" t="s">
        <v>44</v>
      </c>
      <c r="B366">
        <v>774</v>
      </c>
      <c r="D366">
        <v>3067</v>
      </c>
      <c r="E366" t="s">
        <v>5645</v>
      </c>
      <c r="G366" t="s">
        <v>2694</v>
      </c>
      <c r="J366" t="s">
        <v>2695</v>
      </c>
      <c r="K366" t="s">
        <v>2696</v>
      </c>
      <c r="M366" t="s">
        <v>2697</v>
      </c>
      <c r="S366" t="s">
        <v>2541</v>
      </c>
      <c r="V366" t="s">
        <v>5637</v>
      </c>
      <c r="W366" t="s">
        <v>780</v>
      </c>
      <c r="X366" t="s">
        <v>897</v>
      </c>
      <c r="Z366" s="31">
        <v>46053</v>
      </c>
      <c r="AC366">
        <v>26</v>
      </c>
      <c r="AD366" t="s">
        <v>22</v>
      </c>
      <c r="AE366" s="31">
        <v>46034</v>
      </c>
      <c r="AF366" s="61">
        <v>0.91182870370370372</v>
      </c>
      <c r="AH366" t="s">
        <v>795</v>
      </c>
      <c r="AI366" s="31">
        <v>46060</v>
      </c>
      <c r="AJ366" s="61">
        <v>0.32128472222222221</v>
      </c>
      <c r="AK366" t="s">
        <v>5392</v>
      </c>
      <c r="AO366" t="s">
        <v>44</v>
      </c>
      <c r="AR366" s="31">
        <v>46042</v>
      </c>
      <c r="AX366">
        <v>1</v>
      </c>
    </row>
    <row r="367" spans="1:50" x14ac:dyDescent="0.3">
      <c r="A367" t="s">
        <v>44</v>
      </c>
      <c r="B367">
        <v>775</v>
      </c>
      <c r="D367">
        <v>3069</v>
      </c>
      <c r="E367" t="s">
        <v>2698</v>
      </c>
      <c r="G367" t="s">
        <v>2699</v>
      </c>
      <c r="J367" t="s">
        <v>2700</v>
      </c>
      <c r="K367" t="s">
        <v>2701</v>
      </c>
      <c r="M367" t="s">
        <v>2702</v>
      </c>
      <c r="S367" t="s">
        <v>2541</v>
      </c>
      <c r="V367" t="s">
        <v>5637</v>
      </c>
      <c r="W367" t="s">
        <v>780</v>
      </c>
      <c r="X367" t="s">
        <v>897</v>
      </c>
      <c r="Z367" s="31">
        <v>46053</v>
      </c>
      <c r="AC367">
        <v>26</v>
      </c>
      <c r="AD367" t="s">
        <v>22</v>
      </c>
      <c r="AE367" s="31">
        <v>46034</v>
      </c>
      <c r="AF367" s="61">
        <v>0.91238425925925926</v>
      </c>
      <c r="AH367" t="s">
        <v>795</v>
      </c>
      <c r="AI367" s="31">
        <v>46060</v>
      </c>
      <c r="AJ367" s="61">
        <v>0.32656249999999998</v>
      </c>
      <c r="AK367" t="s">
        <v>5392</v>
      </c>
      <c r="AO367" t="s">
        <v>44</v>
      </c>
      <c r="AR367" s="31">
        <v>46038</v>
      </c>
      <c r="AX367">
        <v>1</v>
      </c>
    </row>
    <row r="368" spans="1:50" x14ac:dyDescent="0.3">
      <c r="A368" t="s">
        <v>31</v>
      </c>
      <c r="B368">
        <v>776</v>
      </c>
      <c r="D368">
        <v>3041</v>
      </c>
      <c r="E368" t="s">
        <v>2703</v>
      </c>
      <c r="G368" t="s">
        <v>2704</v>
      </c>
      <c r="J368" t="s">
        <v>334</v>
      </c>
      <c r="K368" t="s">
        <v>2705</v>
      </c>
      <c r="M368" t="s">
        <v>2706</v>
      </c>
      <c r="S368" t="s">
        <v>2541</v>
      </c>
      <c r="V368" t="s">
        <v>5637</v>
      </c>
      <c r="W368" t="s">
        <v>780</v>
      </c>
      <c r="X368" t="s">
        <v>897</v>
      </c>
      <c r="Z368" s="31">
        <v>46053</v>
      </c>
      <c r="AC368">
        <v>105</v>
      </c>
      <c r="AD368" t="s">
        <v>22</v>
      </c>
      <c r="AE368" s="31">
        <v>46034</v>
      </c>
      <c r="AF368" s="61">
        <v>0.91520833333333329</v>
      </c>
      <c r="AH368" t="s">
        <v>795</v>
      </c>
      <c r="AI368" s="31">
        <v>46139</v>
      </c>
      <c r="AJ368" s="61">
        <v>0.66706018518518517</v>
      </c>
      <c r="AK368" t="s">
        <v>5392</v>
      </c>
      <c r="AO368" t="s">
        <v>44</v>
      </c>
      <c r="AR368" s="31">
        <v>46125</v>
      </c>
      <c r="AS368">
        <v>30</v>
      </c>
      <c r="AX368">
        <v>1</v>
      </c>
    </row>
    <row r="369" spans="1:50" x14ac:dyDescent="0.3">
      <c r="A369" t="s">
        <v>31</v>
      </c>
      <c r="B369">
        <v>777</v>
      </c>
      <c r="D369">
        <v>3047</v>
      </c>
      <c r="E369" t="s">
        <v>2707</v>
      </c>
      <c r="G369" t="s">
        <v>2708</v>
      </c>
      <c r="J369" t="s">
        <v>335</v>
      </c>
      <c r="K369" t="s">
        <v>2709</v>
      </c>
      <c r="M369" t="s">
        <v>2710</v>
      </c>
      <c r="S369" t="s">
        <v>2541</v>
      </c>
      <c r="V369" t="s">
        <v>5637</v>
      </c>
      <c r="W369" t="s">
        <v>780</v>
      </c>
      <c r="X369" t="s">
        <v>897</v>
      </c>
      <c r="Z369" s="31">
        <v>46053</v>
      </c>
      <c r="AC369">
        <v>26</v>
      </c>
      <c r="AD369" t="s">
        <v>22</v>
      </c>
      <c r="AE369" s="31">
        <v>46034</v>
      </c>
      <c r="AF369" s="61">
        <v>0.91591435185185188</v>
      </c>
      <c r="AH369" t="s">
        <v>795</v>
      </c>
      <c r="AI369" s="31">
        <v>46060</v>
      </c>
      <c r="AJ369" s="61">
        <v>0.32482638888888887</v>
      </c>
      <c r="AK369" t="s">
        <v>5392</v>
      </c>
      <c r="AO369" t="s">
        <v>31</v>
      </c>
      <c r="AR369" s="31">
        <v>46038</v>
      </c>
      <c r="AX369">
        <v>1</v>
      </c>
    </row>
    <row r="370" spans="1:50" x14ac:dyDescent="0.3">
      <c r="A370" t="s">
        <v>31</v>
      </c>
      <c r="B370">
        <v>778</v>
      </c>
      <c r="D370">
        <v>3059</v>
      </c>
      <c r="E370" t="s">
        <v>2711</v>
      </c>
      <c r="G370" t="s">
        <v>2712</v>
      </c>
      <c r="H370">
        <v>30250062000112</v>
      </c>
      <c r="J370" t="s">
        <v>2713</v>
      </c>
      <c r="K370" t="s">
        <v>2714</v>
      </c>
      <c r="M370" t="s">
        <v>2715</v>
      </c>
      <c r="Q370" t="s">
        <v>847</v>
      </c>
      <c r="R370" t="s">
        <v>848</v>
      </c>
      <c r="S370" t="s">
        <v>2541</v>
      </c>
      <c r="V370" t="s">
        <v>5637</v>
      </c>
      <c r="W370" t="s">
        <v>780</v>
      </c>
      <c r="X370" t="s">
        <v>897</v>
      </c>
      <c r="Z370" s="31">
        <v>46053</v>
      </c>
      <c r="AC370">
        <v>2</v>
      </c>
      <c r="AD370" t="s">
        <v>22</v>
      </c>
      <c r="AE370" s="31">
        <v>46034</v>
      </c>
      <c r="AF370" s="61">
        <v>0.91721064814814812</v>
      </c>
      <c r="AH370" t="s">
        <v>795</v>
      </c>
      <c r="AI370" s="31">
        <v>46036</v>
      </c>
      <c r="AJ370" s="61">
        <v>0.49593749999999998</v>
      </c>
      <c r="AK370" t="s">
        <v>5392</v>
      </c>
      <c r="AO370" t="s">
        <v>31</v>
      </c>
      <c r="AR370" s="31">
        <v>46035</v>
      </c>
      <c r="AX370">
        <v>1</v>
      </c>
    </row>
    <row r="371" spans="1:50" x14ac:dyDescent="0.3">
      <c r="A371" t="s">
        <v>31</v>
      </c>
      <c r="B371">
        <v>779</v>
      </c>
      <c r="D371">
        <v>3066</v>
      </c>
      <c r="E371" t="s">
        <v>2716</v>
      </c>
      <c r="G371" t="s">
        <v>2717</v>
      </c>
      <c r="H371">
        <v>22422233000115</v>
      </c>
      <c r="J371" t="s">
        <v>337</v>
      </c>
      <c r="K371" t="s">
        <v>2718</v>
      </c>
      <c r="M371" t="s">
        <v>2719</v>
      </c>
      <c r="Q371" t="s">
        <v>2720</v>
      </c>
      <c r="R371" t="s">
        <v>1699</v>
      </c>
      <c r="S371" t="s">
        <v>2541</v>
      </c>
      <c r="V371" t="s">
        <v>5637</v>
      </c>
      <c r="W371" t="s">
        <v>780</v>
      </c>
      <c r="X371" t="s">
        <v>897</v>
      </c>
      <c r="Z371" s="31">
        <v>46053</v>
      </c>
      <c r="AC371">
        <v>4</v>
      </c>
      <c r="AD371" t="s">
        <v>22</v>
      </c>
      <c r="AE371" s="31">
        <v>46034</v>
      </c>
      <c r="AF371" s="61">
        <v>0.91776620370370365</v>
      </c>
      <c r="AH371" t="s">
        <v>795</v>
      </c>
      <c r="AI371" s="31">
        <v>46038</v>
      </c>
      <c r="AJ371" s="61">
        <v>0.39912037037037029</v>
      </c>
      <c r="AK371" t="s">
        <v>5392</v>
      </c>
      <c r="AO371" t="s">
        <v>31</v>
      </c>
      <c r="AR371" s="31">
        <v>46038</v>
      </c>
      <c r="AX371">
        <v>1</v>
      </c>
    </row>
    <row r="372" spans="1:50" x14ac:dyDescent="0.3">
      <c r="A372" t="s">
        <v>22</v>
      </c>
      <c r="B372">
        <v>780</v>
      </c>
      <c r="D372">
        <v>3068</v>
      </c>
      <c r="E372" t="s">
        <v>2721</v>
      </c>
      <c r="G372" t="s">
        <v>2722</v>
      </c>
      <c r="J372" t="s">
        <v>2723</v>
      </c>
      <c r="K372" t="s">
        <v>2724</v>
      </c>
      <c r="M372" t="s">
        <v>2725</v>
      </c>
      <c r="S372" t="s">
        <v>2541</v>
      </c>
      <c r="V372" t="s">
        <v>5637</v>
      </c>
      <c r="W372" t="s">
        <v>780</v>
      </c>
      <c r="X372" t="s">
        <v>897</v>
      </c>
      <c r="Z372" s="31">
        <v>46053</v>
      </c>
      <c r="AC372">
        <v>26</v>
      </c>
      <c r="AD372" t="s">
        <v>22</v>
      </c>
      <c r="AE372" s="31">
        <v>46034</v>
      </c>
      <c r="AF372" s="61">
        <v>0.9183796296296296</v>
      </c>
      <c r="AH372" t="s">
        <v>795</v>
      </c>
      <c r="AI372" s="31">
        <v>46060</v>
      </c>
      <c r="AJ372" s="61">
        <v>0.31077546296296299</v>
      </c>
      <c r="AK372" t="s">
        <v>5392</v>
      </c>
      <c r="AL372" t="s">
        <v>2726</v>
      </c>
      <c r="AO372" t="s">
        <v>22</v>
      </c>
      <c r="AR372" s="31">
        <v>46045</v>
      </c>
      <c r="AS372">
        <v>30</v>
      </c>
      <c r="AX372">
        <v>1</v>
      </c>
    </row>
    <row r="373" spans="1:50" x14ac:dyDescent="0.3">
      <c r="A373" t="s">
        <v>31</v>
      </c>
      <c r="B373">
        <v>781</v>
      </c>
      <c r="D373">
        <v>3070</v>
      </c>
      <c r="E373" t="s">
        <v>5646</v>
      </c>
      <c r="G373" t="s">
        <v>2728</v>
      </c>
      <c r="H373">
        <v>29495831000163</v>
      </c>
      <c r="J373" t="s">
        <v>338</v>
      </c>
      <c r="K373" t="s">
        <v>2729</v>
      </c>
      <c r="M373" t="s">
        <v>2730</v>
      </c>
      <c r="Q373" t="s">
        <v>2731</v>
      </c>
      <c r="R373" t="s">
        <v>1105</v>
      </c>
      <c r="S373" t="s">
        <v>2541</v>
      </c>
      <c r="V373" t="s">
        <v>5637</v>
      </c>
      <c r="W373" t="s">
        <v>780</v>
      </c>
      <c r="X373" t="s">
        <v>897</v>
      </c>
      <c r="Z373" s="31">
        <v>46053</v>
      </c>
      <c r="AC373">
        <v>101</v>
      </c>
      <c r="AD373" t="s">
        <v>22</v>
      </c>
      <c r="AE373" s="31">
        <v>46034</v>
      </c>
      <c r="AF373" s="61">
        <v>0.91886574074074079</v>
      </c>
      <c r="AH373" t="s">
        <v>795</v>
      </c>
      <c r="AI373" s="31">
        <v>46135</v>
      </c>
      <c r="AJ373" s="61">
        <v>0.3878240740740741</v>
      </c>
      <c r="AK373" t="s">
        <v>5392</v>
      </c>
      <c r="AO373" t="s">
        <v>31</v>
      </c>
      <c r="AR373" s="31">
        <v>46135</v>
      </c>
      <c r="AX373">
        <v>1</v>
      </c>
    </row>
    <row r="374" spans="1:50" x14ac:dyDescent="0.3">
      <c r="A374" t="s">
        <v>31</v>
      </c>
      <c r="B374">
        <v>782</v>
      </c>
      <c r="D374">
        <v>3009</v>
      </c>
      <c r="G374" t="s">
        <v>2732</v>
      </c>
      <c r="H374">
        <v>10942276000142</v>
      </c>
      <c r="J374" t="s">
        <v>2733</v>
      </c>
      <c r="K374" t="s">
        <v>2734</v>
      </c>
      <c r="M374" t="s">
        <v>2735</v>
      </c>
      <c r="S374" t="s">
        <v>2541</v>
      </c>
      <c r="V374" t="s">
        <v>5631</v>
      </c>
      <c r="W374" t="s">
        <v>780</v>
      </c>
      <c r="X374" t="s">
        <v>781</v>
      </c>
      <c r="Z374" s="31"/>
      <c r="AC374">
        <v>0</v>
      </c>
      <c r="AD374" t="s">
        <v>22</v>
      </c>
      <c r="AE374" s="31">
        <v>46034</v>
      </c>
      <c r="AF374" s="61">
        <v>0.94203703703703701</v>
      </c>
      <c r="AH374" t="s">
        <v>795</v>
      </c>
      <c r="AI374" s="31">
        <v>46034</v>
      </c>
      <c r="AJ374" s="61">
        <v>0.94229166666666664</v>
      </c>
      <c r="AK374" t="s">
        <v>5392</v>
      </c>
      <c r="AO374" t="s">
        <v>31</v>
      </c>
      <c r="AR374" s="31"/>
      <c r="AX374">
        <v>1</v>
      </c>
    </row>
    <row r="375" spans="1:50" x14ac:dyDescent="0.3">
      <c r="A375" t="s">
        <v>22</v>
      </c>
      <c r="B375">
        <v>783</v>
      </c>
      <c r="D375">
        <v>3010</v>
      </c>
      <c r="G375" t="s">
        <v>2736</v>
      </c>
      <c r="J375" t="s">
        <v>2737</v>
      </c>
      <c r="K375" t="s">
        <v>2738</v>
      </c>
      <c r="M375" t="s">
        <v>2739</v>
      </c>
      <c r="S375" t="s">
        <v>2541</v>
      </c>
      <c r="V375" t="s">
        <v>5631</v>
      </c>
      <c r="W375" t="s">
        <v>780</v>
      </c>
      <c r="X375" t="s">
        <v>781</v>
      </c>
      <c r="Z375" s="31"/>
      <c r="AC375">
        <v>0</v>
      </c>
      <c r="AD375" t="s">
        <v>22</v>
      </c>
      <c r="AE375" s="31">
        <v>46034</v>
      </c>
      <c r="AF375" s="61">
        <v>0.94284722222222217</v>
      </c>
      <c r="AH375" t="s">
        <v>795</v>
      </c>
      <c r="AI375" s="31">
        <v>46034</v>
      </c>
      <c r="AJ375" s="61">
        <v>0.94303240740740746</v>
      </c>
      <c r="AK375" t="s">
        <v>5392</v>
      </c>
      <c r="AO375" t="s">
        <v>31</v>
      </c>
      <c r="AR375" s="31"/>
      <c r="AX375">
        <v>1</v>
      </c>
    </row>
    <row r="376" spans="1:50" x14ac:dyDescent="0.3">
      <c r="A376" t="s">
        <v>22</v>
      </c>
      <c r="B376">
        <v>784</v>
      </c>
      <c r="D376">
        <v>3015</v>
      </c>
      <c r="G376" t="s">
        <v>2740</v>
      </c>
      <c r="J376" t="s">
        <v>2741</v>
      </c>
      <c r="K376" t="s">
        <v>2742</v>
      </c>
      <c r="M376" t="s">
        <v>2743</v>
      </c>
      <c r="S376" t="s">
        <v>2541</v>
      </c>
      <c r="V376" t="s">
        <v>5631</v>
      </c>
      <c r="W376" t="s">
        <v>780</v>
      </c>
      <c r="X376" t="s">
        <v>781</v>
      </c>
      <c r="Z376" s="31"/>
      <c r="AC376">
        <v>0</v>
      </c>
      <c r="AD376" t="s">
        <v>22</v>
      </c>
      <c r="AE376" s="31">
        <v>46034</v>
      </c>
      <c r="AF376" s="61">
        <v>0.94368055555555552</v>
      </c>
      <c r="AH376" t="s">
        <v>795</v>
      </c>
      <c r="AI376" s="31">
        <v>46034</v>
      </c>
      <c r="AJ376" s="61">
        <v>0.94380787037037039</v>
      </c>
      <c r="AK376" t="s">
        <v>5392</v>
      </c>
      <c r="AO376" t="s">
        <v>44</v>
      </c>
      <c r="AR376" s="31"/>
      <c r="AX376">
        <v>1</v>
      </c>
    </row>
    <row r="377" spans="1:50" x14ac:dyDescent="0.3">
      <c r="A377" t="s">
        <v>22</v>
      </c>
      <c r="B377">
        <v>785</v>
      </c>
      <c r="D377">
        <v>2669</v>
      </c>
      <c r="G377" t="s">
        <v>2744</v>
      </c>
      <c r="J377" t="s">
        <v>2745</v>
      </c>
      <c r="K377" t="s">
        <v>2746</v>
      </c>
      <c r="M377" t="s">
        <v>2747</v>
      </c>
      <c r="Q377" t="s">
        <v>2748</v>
      </c>
      <c r="S377" t="s">
        <v>814</v>
      </c>
      <c r="V377" t="s">
        <v>5647</v>
      </c>
      <c r="W377" t="s">
        <v>780</v>
      </c>
      <c r="X377" t="s">
        <v>781</v>
      </c>
      <c r="Z377" s="31"/>
      <c r="AC377">
        <v>0</v>
      </c>
      <c r="AD377" t="s">
        <v>22</v>
      </c>
      <c r="AE377" s="31">
        <v>46034</v>
      </c>
      <c r="AF377" s="61">
        <v>0.94418981481481479</v>
      </c>
      <c r="AH377" t="s">
        <v>795</v>
      </c>
      <c r="AI377" s="31">
        <v>46034</v>
      </c>
      <c r="AJ377" s="61">
        <v>0.9443287037037037</v>
      </c>
      <c r="AK377" t="s">
        <v>5392</v>
      </c>
      <c r="AO377" t="s">
        <v>44</v>
      </c>
      <c r="AR377" s="31"/>
      <c r="AX377">
        <v>1</v>
      </c>
    </row>
    <row r="378" spans="1:50" x14ac:dyDescent="0.3">
      <c r="A378" t="s">
        <v>22</v>
      </c>
      <c r="B378">
        <v>786</v>
      </c>
      <c r="D378">
        <v>3045</v>
      </c>
      <c r="G378" t="s">
        <v>2750</v>
      </c>
      <c r="J378" t="s">
        <v>2751</v>
      </c>
      <c r="K378" t="s">
        <v>2752</v>
      </c>
      <c r="M378" t="s">
        <v>2753</v>
      </c>
      <c r="S378" t="s">
        <v>2541</v>
      </c>
      <c r="V378" t="s">
        <v>5631</v>
      </c>
      <c r="W378" t="s">
        <v>780</v>
      </c>
      <c r="X378" t="s">
        <v>781</v>
      </c>
      <c r="Z378" s="31"/>
      <c r="AC378">
        <v>0</v>
      </c>
      <c r="AD378" t="s">
        <v>22</v>
      </c>
      <c r="AE378" s="31">
        <v>46034</v>
      </c>
      <c r="AF378" s="61">
        <v>0.94474537037037032</v>
      </c>
      <c r="AH378" t="s">
        <v>795</v>
      </c>
      <c r="AI378" s="31">
        <v>46034</v>
      </c>
      <c r="AJ378" s="61">
        <v>0.94488425925925923</v>
      </c>
      <c r="AK378" t="s">
        <v>5392</v>
      </c>
      <c r="AO378" t="s">
        <v>44</v>
      </c>
      <c r="AR378" s="31"/>
      <c r="AX378">
        <v>1</v>
      </c>
    </row>
    <row r="379" spans="1:50" x14ac:dyDescent="0.3">
      <c r="A379" t="s">
        <v>44</v>
      </c>
      <c r="B379">
        <v>787</v>
      </c>
      <c r="D379">
        <v>3057</v>
      </c>
      <c r="G379" t="s">
        <v>2754</v>
      </c>
      <c r="H379">
        <v>10269690000132</v>
      </c>
      <c r="J379" t="s">
        <v>2755</v>
      </c>
      <c r="K379" t="s">
        <v>2756</v>
      </c>
      <c r="M379" t="s">
        <v>2757</v>
      </c>
      <c r="S379" t="s">
        <v>2541</v>
      </c>
      <c r="V379" t="s">
        <v>5631</v>
      </c>
      <c r="W379" t="s">
        <v>780</v>
      </c>
      <c r="X379" t="s">
        <v>781</v>
      </c>
      <c r="Z379" s="31"/>
      <c r="AC379">
        <v>117</v>
      </c>
      <c r="AD379" t="s">
        <v>22</v>
      </c>
      <c r="AE379" s="31">
        <v>46034</v>
      </c>
      <c r="AF379" s="61">
        <v>0.94528935185185181</v>
      </c>
      <c r="AH379" t="s">
        <v>795</v>
      </c>
      <c r="AI379" s="31">
        <v>46151</v>
      </c>
      <c r="AJ379" s="61">
        <v>0.33931712962962962</v>
      </c>
      <c r="AK379" t="s">
        <v>5377</v>
      </c>
      <c r="AO379" t="s">
        <v>44</v>
      </c>
      <c r="AR379" s="31"/>
      <c r="AX379">
        <v>1</v>
      </c>
    </row>
    <row r="380" spans="1:50" x14ac:dyDescent="0.3">
      <c r="A380" t="s">
        <v>31</v>
      </c>
      <c r="B380">
        <v>788</v>
      </c>
      <c r="D380">
        <v>3083</v>
      </c>
      <c r="E380" t="s">
        <v>4724</v>
      </c>
      <c r="F380" t="s">
        <v>2760</v>
      </c>
      <c r="G380" t="s">
        <v>2761</v>
      </c>
      <c r="H380">
        <v>14078994000254</v>
      </c>
      <c r="J380" t="s">
        <v>2760</v>
      </c>
      <c r="K380" t="s">
        <v>5648</v>
      </c>
      <c r="M380" t="s">
        <v>2763</v>
      </c>
      <c r="Q380" t="s">
        <v>2117</v>
      </c>
      <c r="R380" t="s">
        <v>1105</v>
      </c>
      <c r="S380" t="s">
        <v>805</v>
      </c>
      <c r="V380" t="s">
        <v>2764</v>
      </c>
      <c r="W380" t="s">
        <v>780</v>
      </c>
      <c r="X380" t="s">
        <v>807</v>
      </c>
      <c r="Z380" s="31">
        <v>46142</v>
      </c>
      <c r="AA380">
        <v>16800</v>
      </c>
      <c r="AB380">
        <v>73717</v>
      </c>
      <c r="AC380">
        <v>120</v>
      </c>
      <c r="AD380" t="s">
        <v>31</v>
      </c>
      <c r="AE380" s="31">
        <v>46035</v>
      </c>
      <c r="AF380" s="61">
        <v>0.67313657407407412</v>
      </c>
      <c r="AH380" t="s">
        <v>795</v>
      </c>
      <c r="AI380" s="31">
        <v>46155</v>
      </c>
      <c r="AJ380" s="61">
        <v>0.45253472222222219</v>
      </c>
      <c r="AK380" t="s">
        <v>858</v>
      </c>
      <c r="AN380" t="s">
        <v>2590</v>
      </c>
      <c r="AO380" t="s">
        <v>31</v>
      </c>
      <c r="AP380" t="s">
        <v>2590</v>
      </c>
      <c r="AQ380" t="s">
        <v>4706</v>
      </c>
      <c r="AR380" s="31">
        <v>46155</v>
      </c>
      <c r="AS380">
        <v>50</v>
      </c>
      <c r="AU380" t="s">
        <v>63</v>
      </c>
      <c r="AX380">
        <v>1</v>
      </c>
    </row>
    <row r="381" spans="1:50" x14ac:dyDescent="0.3">
      <c r="A381" t="s">
        <v>22</v>
      </c>
      <c r="B381">
        <v>789</v>
      </c>
      <c r="D381">
        <v>3084</v>
      </c>
      <c r="E381" t="s">
        <v>4725</v>
      </c>
      <c r="G381" t="s">
        <v>2766</v>
      </c>
      <c r="H381">
        <v>31507103000176</v>
      </c>
      <c r="J381" t="s">
        <v>2767</v>
      </c>
      <c r="K381" t="s">
        <v>2768</v>
      </c>
      <c r="M381" t="s">
        <v>2769</v>
      </c>
      <c r="V381" t="s">
        <v>1419</v>
      </c>
      <c r="W381" t="s">
        <v>780</v>
      </c>
      <c r="X381" t="s">
        <v>807</v>
      </c>
      <c r="Z381" s="31">
        <v>46112</v>
      </c>
      <c r="AA381">
        <v>13100</v>
      </c>
      <c r="AB381">
        <v>1700</v>
      </c>
      <c r="AC381">
        <v>87</v>
      </c>
      <c r="AD381" t="s">
        <v>22</v>
      </c>
      <c r="AE381" s="31">
        <v>46035</v>
      </c>
      <c r="AF381" s="61">
        <v>0.67557870370370365</v>
      </c>
      <c r="AH381" t="s">
        <v>795</v>
      </c>
      <c r="AI381" s="31">
        <v>46122</v>
      </c>
      <c r="AJ381" s="61">
        <v>0.71947916666666667</v>
      </c>
      <c r="AK381" t="s">
        <v>5419</v>
      </c>
      <c r="AN381" t="s">
        <v>2770</v>
      </c>
      <c r="AO381" t="s">
        <v>22</v>
      </c>
      <c r="AP381" t="s">
        <v>2770</v>
      </c>
      <c r="AR381" s="31">
        <v>46101</v>
      </c>
      <c r="AS381">
        <v>50</v>
      </c>
      <c r="AT381" t="s">
        <v>1012</v>
      </c>
      <c r="AU381" t="s">
        <v>69</v>
      </c>
      <c r="AV381" t="s">
        <v>2490</v>
      </c>
      <c r="AW381" t="s">
        <v>2491</v>
      </c>
      <c r="AX381">
        <v>1</v>
      </c>
    </row>
    <row r="382" spans="1:50" x14ac:dyDescent="0.3">
      <c r="A382" t="s">
        <v>44</v>
      </c>
      <c r="B382">
        <v>790</v>
      </c>
      <c r="D382">
        <v>3071</v>
      </c>
      <c r="E382" t="s">
        <v>5649</v>
      </c>
      <c r="G382" t="s">
        <v>2772</v>
      </c>
      <c r="J382" t="s">
        <v>2773</v>
      </c>
      <c r="K382" t="s">
        <v>2774</v>
      </c>
      <c r="M382" t="s">
        <v>2775</v>
      </c>
      <c r="S382" t="s">
        <v>2541</v>
      </c>
      <c r="V382" t="s">
        <v>5631</v>
      </c>
      <c r="W382" t="s">
        <v>780</v>
      </c>
      <c r="X382" t="s">
        <v>897</v>
      </c>
      <c r="Z382" s="31">
        <v>46053</v>
      </c>
      <c r="AC382">
        <v>23</v>
      </c>
      <c r="AD382" t="s">
        <v>22</v>
      </c>
      <c r="AE382" s="31">
        <v>46035</v>
      </c>
      <c r="AF382" s="61">
        <v>0.70442129629629635</v>
      </c>
      <c r="AH382" t="s">
        <v>795</v>
      </c>
      <c r="AI382" s="31">
        <v>46058</v>
      </c>
      <c r="AJ382" s="61">
        <v>0.59414351851851854</v>
      </c>
      <c r="AK382" t="s">
        <v>5392</v>
      </c>
      <c r="AO382" t="s">
        <v>44</v>
      </c>
      <c r="AR382" s="31">
        <v>46038</v>
      </c>
      <c r="AX382">
        <v>1</v>
      </c>
    </row>
    <row r="383" spans="1:50" x14ac:dyDescent="0.3">
      <c r="A383" t="s">
        <v>31</v>
      </c>
      <c r="B383">
        <v>792</v>
      </c>
      <c r="D383">
        <v>3072</v>
      </c>
      <c r="E383" t="s">
        <v>2776</v>
      </c>
      <c r="G383" t="s">
        <v>2777</v>
      </c>
      <c r="H383">
        <v>6037707000230</v>
      </c>
      <c r="J383" t="s">
        <v>2778</v>
      </c>
      <c r="K383" t="s">
        <v>2779</v>
      </c>
      <c r="M383" t="s">
        <v>2780</v>
      </c>
      <c r="S383" t="s">
        <v>2541</v>
      </c>
      <c r="V383" t="s">
        <v>5631</v>
      </c>
      <c r="W383" t="s">
        <v>780</v>
      </c>
      <c r="X383" t="s">
        <v>897</v>
      </c>
      <c r="Z383" s="31">
        <v>46053</v>
      </c>
      <c r="AC383">
        <v>31</v>
      </c>
      <c r="AD383" t="s">
        <v>22</v>
      </c>
      <c r="AE383" s="31">
        <v>46035</v>
      </c>
      <c r="AF383" s="61">
        <v>0.70565972222222217</v>
      </c>
      <c r="AH383" t="s">
        <v>795</v>
      </c>
      <c r="AI383" s="31">
        <v>46066</v>
      </c>
      <c r="AJ383" s="61">
        <v>0.49041666666666672</v>
      </c>
      <c r="AK383" t="s">
        <v>5392</v>
      </c>
      <c r="AO383" t="s">
        <v>31</v>
      </c>
      <c r="AR383" s="31">
        <v>46065</v>
      </c>
      <c r="AS383">
        <v>30</v>
      </c>
      <c r="AX383">
        <v>1</v>
      </c>
    </row>
    <row r="384" spans="1:50" x14ac:dyDescent="0.3">
      <c r="A384" t="s">
        <v>22</v>
      </c>
      <c r="B384">
        <v>793</v>
      </c>
      <c r="D384">
        <v>3082</v>
      </c>
      <c r="E384" t="s">
        <v>4726</v>
      </c>
      <c r="G384" t="s">
        <v>2782</v>
      </c>
      <c r="J384" t="s">
        <v>2783</v>
      </c>
      <c r="K384" t="s">
        <v>2784</v>
      </c>
      <c r="M384" t="s">
        <v>2785</v>
      </c>
      <c r="Q384" t="s">
        <v>923</v>
      </c>
      <c r="S384" t="s">
        <v>814</v>
      </c>
      <c r="V384" t="s">
        <v>5598</v>
      </c>
      <c r="W384" t="s">
        <v>780</v>
      </c>
      <c r="X384" t="s">
        <v>897</v>
      </c>
      <c r="Z384" s="31">
        <v>46053</v>
      </c>
      <c r="AC384">
        <v>37</v>
      </c>
      <c r="AD384" t="s">
        <v>22</v>
      </c>
      <c r="AE384" s="31">
        <v>46035</v>
      </c>
      <c r="AF384" s="61">
        <v>0.7079050925925926</v>
      </c>
      <c r="AH384" t="s">
        <v>795</v>
      </c>
      <c r="AI384" s="31">
        <v>46072</v>
      </c>
      <c r="AJ384" s="61">
        <v>0.74432870370370374</v>
      </c>
      <c r="AK384" t="s">
        <v>5392</v>
      </c>
      <c r="AO384" t="s">
        <v>22</v>
      </c>
      <c r="AR384" s="31">
        <v>46045</v>
      </c>
      <c r="AS384">
        <v>30</v>
      </c>
      <c r="AX384">
        <v>1</v>
      </c>
    </row>
    <row r="385" spans="1:50" x14ac:dyDescent="0.3">
      <c r="A385" t="s">
        <v>31</v>
      </c>
      <c r="B385">
        <v>794</v>
      </c>
      <c r="D385">
        <v>3086</v>
      </c>
      <c r="E385" t="s">
        <v>2786</v>
      </c>
      <c r="G385" t="s">
        <v>2787</v>
      </c>
      <c r="J385" t="s">
        <v>2788</v>
      </c>
      <c r="K385" t="s">
        <v>2789</v>
      </c>
      <c r="M385" t="s">
        <v>2790</v>
      </c>
      <c r="S385" t="s">
        <v>2541</v>
      </c>
      <c r="V385" t="s">
        <v>5650</v>
      </c>
      <c r="W385" t="s">
        <v>780</v>
      </c>
      <c r="X385" t="s">
        <v>793</v>
      </c>
      <c r="Z385" s="31">
        <v>46053</v>
      </c>
      <c r="AA385">
        <v>6168744</v>
      </c>
      <c r="AB385">
        <v>149828</v>
      </c>
      <c r="AC385">
        <v>13</v>
      </c>
      <c r="AD385" t="s">
        <v>22</v>
      </c>
      <c r="AE385" s="31">
        <v>46035</v>
      </c>
      <c r="AF385" s="61">
        <v>0.73750000000000004</v>
      </c>
      <c r="AH385" t="s">
        <v>795</v>
      </c>
      <c r="AI385" s="31">
        <v>46048</v>
      </c>
      <c r="AJ385" s="61">
        <v>0.39319444444444451</v>
      </c>
      <c r="AK385" t="s">
        <v>5347</v>
      </c>
      <c r="AN385" t="s">
        <v>2792</v>
      </c>
      <c r="AO385" t="s">
        <v>31</v>
      </c>
      <c r="AP385" t="s">
        <v>2645</v>
      </c>
      <c r="AR385" s="31">
        <v>46048</v>
      </c>
      <c r="AX385">
        <v>1</v>
      </c>
    </row>
    <row r="386" spans="1:50" x14ac:dyDescent="0.3">
      <c r="A386" t="s">
        <v>22</v>
      </c>
      <c r="B386">
        <v>795</v>
      </c>
      <c r="D386">
        <v>3088</v>
      </c>
      <c r="E386" t="s">
        <v>4727</v>
      </c>
      <c r="G386" t="s">
        <v>2793</v>
      </c>
      <c r="H386">
        <v>3674537000125</v>
      </c>
      <c r="J386" t="s">
        <v>2794</v>
      </c>
      <c r="K386" t="s">
        <v>2795</v>
      </c>
      <c r="M386" t="s">
        <v>2796</v>
      </c>
      <c r="V386" t="s">
        <v>1419</v>
      </c>
      <c r="W386" t="s">
        <v>780</v>
      </c>
      <c r="X386" t="s">
        <v>807</v>
      </c>
      <c r="Z386" s="31">
        <v>46112</v>
      </c>
      <c r="AA386">
        <v>1600</v>
      </c>
      <c r="AB386">
        <v>384454</v>
      </c>
      <c r="AC386">
        <v>87</v>
      </c>
      <c r="AD386" t="s">
        <v>22</v>
      </c>
      <c r="AE386" s="31">
        <v>46035</v>
      </c>
      <c r="AF386" s="61">
        <v>0.9553356481481482</v>
      </c>
      <c r="AH386" t="s">
        <v>795</v>
      </c>
      <c r="AI386" s="31">
        <v>46122</v>
      </c>
      <c r="AJ386" s="61">
        <v>0.66369212962962965</v>
      </c>
      <c r="AK386" t="s">
        <v>5338</v>
      </c>
      <c r="AO386" t="s">
        <v>22</v>
      </c>
      <c r="AR386" s="31">
        <v>46101</v>
      </c>
      <c r="AS386">
        <v>30</v>
      </c>
      <c r="AT386" t="s">
        <v>2797</v>
      </c>
      <c r="AU386" t="s">
        <v>53</v>
      </c>
      <c r="AV386" t="s">
        <v>2798</v>
      </c>
      <c r="AW386" t="s">
        <v>2799</v>
      </c>
      <c r="AX386">
        <v>1</v>
      </c>
    </row>
    <row r="387" spans="1:50" x14ac:dyDescent="0.3">
      <c r="A387" t="s">
        <v>22</v>
      </c>
      <c r="B387">
        <v>796</v>
      </c>
      <c r="D387">
        <v>3087</v>
      </c>
      <c r="E387" t="s">
        <v>2800</v>
      </c>
      <c r="G387" t="s">
        <v>2801</v>
      </c>
      <c r="J387" t="s">
        <v>2802</v>
      </c>
      <c r="K387" t="s">
        <v>2803</v>
      </c>
      <c r="M387" t="s">
        <v>2804</v>
      </c>
      <c r="S387" t="s">
        <v>2541</v>
      </c>
      <c r="V387" t="s">
        <v>5650</v>
      </c>
      <c r="W387" t="s">
        <v>780</v>
      </c>
      <c r="X387" t="s">
        <v>897</v>
      </c>
      <c r="Z387" s="31">
        <v>46053</v>
      </c>
      <c r="AC387">
        <v>24</v>
      </c>
      <c r="AD387" t="s">
        <v>22</v>
      </c>
      <c r="AE387" s="31">
        <v>46036</v>
      </c>
      <c r="AF387" s="61">
        <v>0.42770833333333341</v>
      </c>
      <c r="AH387" t="s">
        <v>795</v>
      </c>
      <c r="AI387" s="31">
        <v>46060</v>
      </c>
      <c r="AJ387" s="61">
        <v>0.31616898148148148</v>
      </c>
      <c r="AK387" t="s">
        <v>5392</v>
      </c>
      <c r="AL387" t="s">
        <v>2805</v>
      </c>
      <c r="AO387" t="s">
        <v>22</v>
      </c>
      <c r="AR387" s="31">
        <v>46060</v>
      </c>
      <c r="AS387">
        <v>30</v>
      </c>
      <c r="AX387">
        <v>1</v>
      </c>
    </row>
    <row r="388" spans="1:50" x14ac:dyDescent="0.3">
      <c r="A388" t="s">
        <v>22</v>
      </c>
      <c r="B388">
        <v>799</v>
      </c>
      <c r="D388">
        <v>3091</v>
      </c>
      <c r="E388" t="s">
        <v>2806</v>
      </c>
      <c r="G388" t="s">
        <v>2807</v>
      </c>
      <c r="J388" t="s">
        <v>4086</v>
      </c>
      <c r="K388" t="s">
        <v>2649</v>
      </c>
      <c r="M388" t="s">
        <v>1111</v>
      </c>
      <c r="V388" t="s">
        <v>2407</v>
      </c>
      <c r="W388" t="s">
        <v>780</v>
      </c>
      <c r="X388" t="s">
        <v>816</v>
      </c>
      <c r="Z388" s="31">
        <v>46037</v>
      </c>
      <c r="AA388">
        <v>1600</v>
      </c>
      <c r="AB388">
        <v>252471</v>
      </c>
      <c r="AC388">
        <v>9</v>
      </c>
      <c r="AD388" t="s">
        <v>22</v>
      </c>
      <c r="AE388" s="31">
        <v>46036</v>
      </c>
      <c r="AF388" s="61">
        <v>0.78824074074074069</v>
      </c>
      <c r="AH388" t="s">
        <v>818</v>
      </c>
      <c r="AI388" s="31">
        <v>46045</v>
      </c>
      <c r="AJ388" s="61">
        <v>0.46164351851851848</v>
      </c>
      <c r="AM388" t="s">
        <v>2808</v>
      </c>
      <c r="AN388" t="s">
        <v>2808</v>
      </c>
      <c r="AO388" t="s">
        <v>22</v>
      </c>
      <c r="AP388" t="s">
        <v>2808</v>
      </c>
      <c r="AR388" s="31">
        <v>46037</v>
      </c>
      <c r="AX388">
        <v>1</v>
      </c>
    </row>
    <row r="389" spans="1:50" x14ac:dyDescent="0.3">
      <c r="A389" t="s">
        <v>31</v>
      </c>
      <c r="B389">
        <v>800</v>
      </c>
      <c r="D389">
        <v>3092</v>
      </c>
      <c r="G389" t="s">
        <v>2809</v>
      </c>
      <c r="H389">
        <v>9205460000120</v>
      </c>
      <c r="J389" t="s">
        <v>2810</v>
      </c>
      <c r="K389" t="s">
        <v>2811</v>
      </c>
      <c r="M389" t="s">
        <v>1111</v>
      </c>
      <c r="Q389" t="s">
        <v>2812</v>
      </c>
      <c r="R389" t="s">
        <v>1067</v>
      </c>
      <c r="S389" t="s">
        <v>2541</v>
      </c>
      <c r="V389" t="s">
        <v>5631</v>
      </c>
      <c r="W389" t="s">
        <v>780</v>
      </c>
      <c r="X389" t="s">
        <v>781</v>
      </c>
      <c r="Z389" s="31">
        <v>46053</v>
      </c>
      <c r="AC389">
        <v>7</v>
      </c>
      <c r="AD389" t="s">
        <v>22</v>
      </c>
      <c r="AE389" s="31">
        <v>46038</v>
      </c>
      <c r="AF389" s="61">
        <v>0.39675925925925931</v>
      </c>
      <c r="AH389" t="s">
        <v>795</v>
      </c>
      <c r="AI389" s="31">
        <v>46045</v>
      </c>
      <c r="AJ389" s="61">
        <v>0.71688657407407408</v>
      </c>
      <c r="AK389" t="s">
        <v>5392</v>
      </c>
      <c r="AO389" t="s">
        <v>31</v>
      </c>
      <c r="AR389" s="31">
        <v>46045</v>
      </c>
      <c r="AX389">
        <v>1</v>
      </c>
    </row>
    <row r="390" spans="1:50" x14ac:dyDescent="0.3">
      <c r="A390" t="s">
        <v>44</v>
      </c>
      <c r="B390">
        <v>803</v>
      </c>
      <c r="D390">
        <v>3094</v>
      </c>
      <c r="E390" t="s">
        <v>5651</v>
      </c>
      <c r="G390" t="s">
        <v>2814</v>
      </c>
      <c r="J390" t="s">
        <v>2815</v>
      </c>
      <c r="K390" t="s">
        <v>2816</v>
      </c>
      <c r="M390" t="s">
        <v>2817</v>
      </c>
      <c r="S390" t="s">
        <v>2541</v>
      </c>
      <c r="V390" t="s">
        <v>5631</v>
      </c>
      <c r="W390" t="s">
        <v>780</v>
      </c>
      <c r="X390" t="s">
        <v>897</v>
      </c>
      <c r="Z390" s="31">
        <v>46053</v>
      </c>
      <c r="AC390">
        <v>113</v>
      </c>
      <c r="AD390" t="s">
        <v>22</v>
      </c>
      <c r="AE390" s="31">
        <v>46038</v>
      </c>
      <c r="AF390" s="61">
        <v>0.67024305555555552</v>
      </c>
      <c r="AH390" t="s">
        <v>795</v>
      </c>
      <c r="AI390" s="31">
        <v>46151</v>
      </c>
      <c r="AJ390" s="61">
        <v>0.3187962962962963</v>
      </c>
      <c r="AK390" t="s">
        <v>5392</v>
      </c>
      <c r="AO390" t="s">
        <v>44</v>
      </c>
      <c r="AR390" s="31">
        <v>46042</v>
      </c>
      <c r="AX390">
        <v>1</v>
      </c>
    </row>
    <row r="391" spans="1:50" x14ac:dyDescent="0.3">
      <c r="A391" t="s">
        <v>31</v>
      </c>
      <c r="B391">
        <v>804</v>
      </c>
      <c r="D391">
        <v>3099</v>
      </c>
      <c r="G391" t="s">
        <v>2819</v>
      </c>
      <c r="H391">
        <v>33036815000180</v>
      </c>
      <c r="J391" t="s">
        <v>2820</v>
      </c>
      <c r="K391" t="s">
        <v>2821</v>
      </c>
      <c r="M391" t="s">
        <v>2822</v>
      </c>
      <c r="S391" t="s">
        <v>2541</v>
      </c>
      <c r="V391" t="s">
        <v>5631</v>
      </c>
      <c r="W391" t="s">
        <v>780</v>
      </c>
      <c r="X391" t="s">
        <v>781</v>
      </c>
      <c r="Z391" s="31">
        <v>46053</v>
      </c>
      <c r="AC391">
        <v>5</v>
      </c>
      <c r="AD391" t="s">
        <v>22</v>
      </c>
      <c r="AE391" s="31">
        <v>46038</v>
      </c>
      <c r="AF391" s="61">
        <v>0.67128472222222224</v>
      </c>
      <c r="AH391" t="s">
        <v>795</v>
      </c>
      <c r="AI391" s="31">
        <v>46043</v>
      </c>
      <c r="AJ391" s="61">
        <v>0.48775462962962962</v>
      </c>
      <c r="AK391" t="s">
        <v>5392</v>
      </c>
      <c r="AO391" t="s">
        <v>31</v>
      </c>
      <c r="AR391" s="31">
        <v>46043</v>
      </c>
      <c r="AX391">
        <v>1</v>
      </c>
    </row>
    <row r="392" spans="1:50" x14ac:dyDescent="0.3">
      <c r="A392" t="s">
        <v>44</v>
      </c>
      <c r="B392">
        <v>805</v>
      </c>
      <c r="D392">
        <v>3093</v>
      </c>
      <c r="E392" t="s">
        <v>4728</v>
      </c>
      <c r="G392" t="s">
        <v>2824</v>
      </c>
      <c r="H392">
        <v>53629067000156</v>
      </c>
      <c r="J392" t="s">
        <v>3010</v>
      </c>
      <c r="K392" t="s">
        <v>2826</v>
      </c>
      <c r="M392" t="s">
        <v>2827</v>
      </c>
      <c r="Q392" t="s">
        <v>2828</v>
      </c>
      <c r="R392" t="s">
        <v>1699</v>
      </c>
      <c r="S392" t="s">
        <v>814</v>
      </c>
      <c r="V392" t="s">
        <v>1186</v>
      </c>
      <c r="W392" t="s">
        <v>780</v>
      </c>
      <c r="X392" t="s">
        <v>793</v>
      </c>
      <c r="Z392" s="31">
        <v>46053</v>
      </c>
      <c r="AA392">
        <v>72080</v>
      </c>
      <c r="AB392">
        <v>18676</v>
      </c>
      <c r="AC392">
        <v>52</v>
      </c>
      <c r="AD392" t="s">
        <v>22</v>
      </c>
      <c r="AE392" s="31">
        <v>46038</v>
      </c>
      <c r="AF392" s="61">
        <v>0.67234953703703704</v>
      </c>
      <c r="AH392" t="s">
        <v>795</v>
      </c>
      <c r="AI392" s="31">
        <v>46090</v>
      </c>
      <c r="AJ392" s="61">
        <v>0.46006944444444442</v>
      </c>
      <c r="AK392" t="s">
        <v>5338</v>
      </c>
      <c r="AL392" t="s">
        <v>4729</v>
      </c>
      <c r="AN392" t="s">
        <v>2829</v>
      </c>
      <c r="AO392" t="s">
        <v>44</v>
      </c>
      <c r="AP392" t="s">
        <v>2829</v>
      </c>
      <c r="AR392" s="31">
        <v>46062</v>
      </c>
      <c r="AX392">
        <v>1</v>
      </c>
    </row>
    <row r="393" spans="1:50" x14ac:dyDescent="0.3">
      <c r="A393" t="s">
        <v>31</v>
      </c>
      <c r="B393">
        <v>818</v>
      </c>
      <c r="D393">
        <v>3101</v>
      </c>
      <c r="E393" t="s">
        <v>2830</v>
      </c>
      <c r="G393" t="s">
        <v>2831</v>
      </c>
      <c r="J393" t="s">
        <v>2832</v>
      </c>
      <c r="K393" t="s">
        <v>2833</v>
      </c>
      <c r="M393" t="s">
        <v>2834</v>
      </c>
      <c r="S393" t="s">
        <v>2541</v>
      </c>
      <c r="V393" t="s">
        <v>5650</v>
      </c>
      <c r="W393" t="s">
        <v>780</v>
      </c>
      <c r="X393" t="s">
        <v>857</v>
      </c>
      <c r="Z393" s="31">
        <v>46112</v>
      </c>
      <c r="AC393">
        <v>9</v>
      </c>
      <c r="AD393" t="s">
        <v>22</v>
      </c>
      <c r="AE393" s="31">
        <v>46041</v>
      </c>
      <c r="AF393" s="61">
        <v>0.4798263888888889</v>
      </c>
      <c r="AH393" t="s">
        <v>795</v>
      </c>
      <c r="AI393" s="31">
        <v>46050</v>
      </c>
      <c r="AJ393" s="61">
        <v>0.68680555555555556</v>
      </c>
      <c r="AK393" t="s">
        <v>858</v>
      </c>
      <c r="AO393" t="s">
        <v>31</v>
      </c>
      <c r="AR393" s="31">
        <v>46050</v>
      </c>
      <c r="AX393">
        <v>1</v>
      </c>
    </row>
    <row r="394" spans="1:50" x14ac:dyDescent="0.3">
      <c r="A394" t="s">
        <v>44</v>
      </c>
      <c r="B394">
        <v>819</v>
      </c>
      <c r="D394">
        <v>3102</v>
      </c>
      <c r="E394" t="s">
        <v>5652</v>
      </c>
      <c r="G394" t="s">
        <v>2836</v>
      </c>
      <c r="H394">
        <v>49827202000109</v>
      </c>
      <c r="J394" t="s">
        <v>5653</v>
      </c>
      <c r="K394" t="s">
        <v>2838</v>
      </c>
      <c r="M394" t="s">
        <v>2839</v>
      </c>
      <c r="Q394" t="s">
        <v>2840</v>
      </c>
      <c r="R394" t="s">
        <v>2841</v>
      </c>
      <c r="S394" t="s">
        <v>814</v>
      </c>
      <c r="V394" t="s">
        <v>2842</v>
      </c>
      <c r="W394" t="s">
        <v>780</v>
      </c>
      <c r="X394" t="s">
        <v>857</v>
      </c>
      <c r="Z394" s="31">
        <v>46053</v>
      </c>
      <c r="AA394">
        <v>72080</v>
      </c>
      <c r="AB394">
        <v>881079</v>
      </c>
      <c r="AC394">
        <v>17</v>
      </c>
      <c r="AD394" t="s">
        <v>22</v>
      </c>
      <c r="AE394" s="31">
        <v>46041</v>
      </c>
      <c r="AF394" s="61">
        <v>0.4817939814814815</v>
      </c>
      <c r="AH394" t="s">
        <v>795</v>
      </c>
      <c r="AI394" s="31">
        <v>46058</v>
      </c>
      <c r="AJ394" s="61">
        <v>0.59219907407407413</v>
      </c>
      <c r="AK394" t="s">
        <v>5347</v>
      </c>
      <c r="AL394" t="s">
        <v>2843</v>
      </c>
      <c r="AN394" t="s">
        <v>2829</v>
      </c>
      <c r="AO394" t="s">
        <v>44</v>
      </c>
      <c r="AP394" t="s">
        <v>2590</v>
      </c>
      <c r="AR394" s="31">
        <v>46048</v>
      </c>
      <c r="AX394">
        <v>1</v>
      </c>
    </row>
    <row r="395" spans="1:50" x14ac:dyDescent="0.3">
      <c r="A395" t="s">
        <v>31</v>
      </c>
      <c r="B395">
        <v>820</v>
      </c>
      <c r="D395">
        <v>3103</v>
      </c>
      <c r="G395" t="s">
        <v>2844</v>
      </c>
      <c r="J395" t="s">
        <v>2845</v>
      </c>
      <c r="K395" t="s">
        <v>2846</v>
      </c>
      <c r="M395" t="s">
        <v>2847</v>
      </c>
      <c r="S395" t="s">
        <v>2541</v>
      </c>
      <c r="V395" t="s">
        <v>5631</v>
      </c>
      <c r="W395" t="s">
        <v>780</v>
      </c>
      <c r="X395" t="s">
        <v>781</v>
      </c>
      <c r="Z395" s="31">
        <v>46053</v>
      </c>
      <c r="AC395">
        <v>19</v>
      </c>
      <c r="AD395" t="s">
        <v>22</v>
      </c>
      <c r="AE395" s="31">
        <v>46041</v>
      </c>
      <c r="AF395" s="61">
        <v>0.48258101851851848</v>
      </c>
      <c r="AH395" t="s">
        <v>795</v>
      </c>
      <c r="AI395" s="31">
        <v>46060</v>
      </c>
      <c r="AJ395" s="61">
        <v>0.32299768518518518</v>
      </c>
      <c r="AK395" t="s">
        <v>5392</v>
      </c>
      <c r="AO395" t="s">
        <v>31</v>
      </c>
      <c r="AR395" s="31">
        <v>46049</v>
      </c>
      <c r="AX395">
        <v>1</v>
      </c>
    </row>
    <row r="396" spans="1:50" x14ac:dyDescent="0.3">
      <c r="A396" t="s">
        <v>22</v>
      </c>
      <c r="B396">
        <v>821</v>
      </c>
      <c r="D396">
        <v>3119</v>
      </c>
      <c r="E396" t="s">
        <v>2848</v>
      </c>
      <c r="G396" t="s">
        <v>2849</v>
      </c>
      <c r="H396">
        <v>7658378000126</v>
      </c>
      <c r="J396" t="s">
        <v>2850</v>
      </c>
      <c r="K396" t="s">
        <v>2851</v>
      </c>
      <c r="M396" t="s">
        <v>2852</v>
      </c>
      <c r="Q396" t="s">
        <v>2853</v>
      </c>
      <c r="S396" t="s">
        <v>814</v>
      </c>
      <c r="V396" t="s">
        <v>5598</v>
      </c>
      <c r="W396" t="s">
        <v>780</v>
      </c>
      <c r="X396" t="s">
        <v>857</v>
      </c>
      <c r="Z396" s="31">
        <v>46053</v>
      </c>
      <c r="AC396">
        <v>24</v>
      </c>
      <c r="AD396" t="s">
        <v>22</v>
      </c>
      <c r="AE396" s="31">
        <v>46042</v>
      </c>
      <c r="AF396" s="61">
        <v>0.36244212962962957</v>
      </c>
      <c r="AH396" t="s">
        <v>795</v>
      </c>
      <c r="AI396" s="31">
        <v>46066</v>
      </c>
      <c r="AJ396" s="61">
        <v>0.73247685185185185</v>
      </c>
      <c r="AK396" t="s">
        <v>5338</v>
      </c>
      <c r="AN396" t="s">
        <v>405</v>
      </c>
      <c r="AO396" t="s">
        <v>22</v>
      </c>
      <c r="AP396" t="s">
        <v>405</v>
      </c>
      <c r="AR396" s="31">
        <v>46045</v>
      </c>
      <c r="AS396">
        <v>30</v>
      </c>
      <c r="AU396" t="s">
        <v>2854</v>
      </c>
      <c r="AX396">
        <v>1</v>
      </c>
    </row>
    <row r="397" spans="1:50" x14ac:dyDescent="0.3">
      <c r="A397" t="s">
        <v>31</v>
      </c>
      <c r="B397">
        <v>823</v>
      </c>
      <c r="D397">
        <v>3118</v>
      </c>
      <c r="E397" t="s">
        <v>4730</v>
      </c>
      <c r="G397" t="s">
        <v>385</v>
      </c>
      <c r="H397">
        <v>44530589000105</v>
      </c>
      <c r="J397" t="s">
        <v>2856</v>
      </c>
      <c r="K397" t="s">
        <v>2857</v>
      </c>
      <c r="M397" t="s">
        <v>2858</v>
      </c>
      <c r="Q397" t="s">
        <v>993</v>
      </c>
      <c r="R397" t="s">
        <v>932</v>
      </c>
      <c r="S397" t="s">
        <v>814</v>
      </c>
      <c r="V397" t="s">
        <v>2859</v>
      </c>
      <c r="W397" t="s">
        <v>780</v>
      </c>
      <c r="X397" t="s">
        <v>807</v>
      </c>
      <c r="Z397" s="31">
        <v>46173</v>
      </c>
      <c r="AA397">
        <v>579843</v>
      </c>
      <c r="AB397">
        <v>28845</v>
      </c>
      <c r="AC397">
        <v>69</v>
      </c>
      <c r="AD397" t="s">
        <v>22</v>
      </c>
      <c r="AE397" s="31">
        <v>46042</v>
      </c>
      <c r="AF397" s="61">
        <v>0.36586805555555563</v>
      </c>
      <c r="AH397" t="s">
        <v>795</v>
      </c>
      <c r="AI397" s="31">
        <v>46111</v>
      </c>
      <c r="AJ397" s="61">
        <v>0.65819444444444442</v>
      </c>
      <c r="AK397" t="s">
        <v>5338</v>
      </c>
      <c r="AN397" t="s">
        <v>4731</v>
      </c>
      <c r="AO397" t="s">
        <v>31</v>
      </c>
      <c r="AP397" t="s">
        <v>4732</v>
      </c>
      <c r="AQ397" t="s">
        <v>4733</v>
      </c>
      <c r="AR397" s="31">
        <v>46111</v>
      </c>
      <c r="AS397">
        <v>30</v>
      </c>
      <c r="AU397" t="s">
        <v>321</v>
      </c>
      <c r="AX397">
        <v>1</v>
      </c>
    </row>
    <row r="398" spans="1:50" x14ac:dyDescent="0.3">
      <c r="A398" t="s">
        <v>31</v>
      </c>
      <c r="B398">
        <v>847</v>
      </c>
      <c r="D398">
        <v>3129</v>
      </c>
      <c r="E398" t="s">
        <v>2860</v>
      </c>
      <c r="G398" t="s">
        <v>2861</v>
      </c>
      <c r="J398" t="s">
        <v>2862</v>
      </c>
      <c r="K398" t="s">
        <v>2863</v>
      </c>
      <c r="M398" t="s">
        <v>2864</v>
      </c>
      <c r="S398" t="s">
        <v>2541</v>
      </c>
      <c r="V398" t="s">
        <v>5631</v>
      </c>
      <c r="W398" t="s">
        <v>780</v>
      </c>
      <c r="X398" t="s">
        <v>781</v>
      </c>
      <c r="Z398" s="31">
        <v>46053</v>
      </c>
      <c r="AC398">
        <v>0</v>
      </c>
      <c r="AD398" t="s">
        <v>22</v>
      </c>
      <c r="AE398" s="31">
        <v>46043</v>
      </c>
      <c r="AF398" s="61">
        <v>0.45225694444444442</v>
      </c>
      <c r="AH398" t="s">
        <v>795</v>
      </c>
      <c r="AI398" s="31">
        <v>46043</v>
      </c>
      <c r="AJ398" s="61">
        <v>0.46807870370370369</v>
      </c>
      <c r="AK398" t="s">
        <v>5392</v>
      </c>
      <c r="AO398" t="s">
        <v>31</v>
      </c>
      <c r="AR398" s="31"/>
      <c r="AX398">
        <v>1</v>
      </c>
    </row>
    <row r="399" spans="1:50" x14ac:dyDescent="0.3">
      <c r="A399" t="s">
        <v>44</v>
      </c>
      <c r="B399">
        <v>848</v>
      </c>
      <c r="D399">
        <v>3148</v>
      </c>
      <c r="E399" t="s">
        <v>5654</v>
      </c>
      <c r="G399" t="s">
        <v>2866</v>
      </c>
      <c r="J399" t="s">
        <v>2867</v>
      </c>
      <c r="K399" t="s">
        <v>2868</v>
      </c>
      <c r="M399" t="s">
        <v>2869</v>
      </c>
      <c r="S399" t="s">
        <v>2541</v>
      </c>
      <c r="V399" t="s">
        <v>5631</v>
      </c>
      <c r="W399" t="s">
        <v>780</v>
      </c>
      <c r="X399" t="s">
        <v>781</v>
      </c>
      <c r="Z399" s="31">
        <v>46053</v>
      </c>
      <c r="AC399">
        <v>108</v>
      </c>
      <c r="AD399" t="s">
        <v>22</v>
      </c>
      <c r="AE399" s="31">
        <v>46043</v>
      </c>
      <c r="AF399" s="61">
        <v>0.45456018518518521</v>
      </c>
      <c r="AH399" t="s">
        <v>795</v>
      </c>
      <c r="AI399" s="31">
        <v>46151</v>
      </c>
      <c r="AJ399" s="61">
        <v>0.36686342592592591</v>
      </c>
      <c r="AK399" t="s">
        <v>5377</v>
      </c>
      <c r="AO399" t="s">
        <v>44</v>
      </c>
      <c r="AR399" s="31">
        <v>46045</v>
      </c>
      <c r="AX399">
        <v>1</v>
      </c>
    </row>
    <row r="400" spans="1:50" x14ac:dyDescent="0.3">
      <c r="A400" t="s">
        <v>31</v>
      </c>
      <c r="B400">
        <v>849</v>
      </c>
      <c r="D400">
        <v>3149</v>
      </c>
      <c r="G400" t="s">
        <v>2871</v>
      </c>
      <c r="H400">
        <v>27343071000143</v>
      </c>
      <c r="J400" t="s">
        <v>2872</v>
      </c>
      <c r="K400" t="s">
        <v>2873</v>
      </c>
      <c r="M400" t="s">
        <v>2874</v>
      </c>
      <c r="S400" t="s">
        <v>2541</v>
      </c>
      <c r="V400" t="s">
        <v>5631</v>
      </c>
      <c r="W400" t="s">
        <v>780</v>
      </c>
      <c r="X400" t="s">
        <v>781</v>
      </c>
      <c r="Z400" s="31">
        <v>46053</v>
      </c>
      <c r="AC400">
        <v>17</v>
      </c>
      <c r="AD400" t="s">
        <v>22</v>
      </c>
      <c r="AE400" s="31">
        <v>46043</v>
      </c>
      <c r="AF400" s="61">
        <v>0.51600694444444439</v>
      </c>
      <c r="AH400" t="s">
        <v>795</v>
      </c>
      <c r="AI400" s="31">
        <v>46060</v>
      </c>
      <c r="AJ400" s="61">
        <v>0.32187500000000002</v>
      </c>
      <c r="AK400" t="s">
        <v>5392</v>
      </c>
      <c r="AO400" t="s">
        <v>31</v>
      </c>
      <c r="AR400" s="31"/>
      <c r="AX400">
        <v>1</v>
      </c>
    </row>
    <row r="401" spans="1:50" x14ac:dyDescent="0.3">
      <c r="A401" t="s">
        <v>31</v>
      </c>
      <c r="B401">
        <v>850</v>
      </c>
      <c r="D401">
        <v>3150</v>
      </c>
      <c r="G401" t="s">
        <v>2871</v>
      </c>
      <c r="H401">
        <v>27343071000143</v>
      </c>
      <c r="J401" t="s">
        <v>2875</v>
      </c>
      <c r="K401" t="s">
        <v>2876</v>
      </c>
      <c r="M401" t="s">
        <v>2877</v>
      </c>
      <c r="Q401" t="s">
        <v>923</v>
      </c>
      <c r="S401" t="s">
        <v>814</v>
      </c>
      <c r="V401" t="s">
        <v>5655</v>
      </c>
      <c r="W401" t="s">
        <v>780</v>
      </c>
      <c r="X401" t="s">
        <v>897</v>
      </c>
      <c r="Z401" s="31">
        <v>46053</v>
      </c>
      <c r="AC401">
        <v>1</v>
      </c>
      <c r="AD401" t="s">
        <v>22</v>
      </c>
      <c r="AE401" s="31">
        <v>46043</v>
      </c>
      <c r="AF401" s="61">
        <v>0.5166898148148148</v>
      </c>
      <c r="AH401" t="s">
        <v>795</v>
      </c>
      <c r="AI401" s="31">
        <v>46044</v>
      </c>
      <c r="AJ401" s="61">
        <v>0.41939814814814808</v>
      </c>
      <c r="AK401" t="s">
        <v>5347</v>
      </c>
      <c r="AO401" t="s">
        <v>31</v>
      </c>
      <c r="AR401" s="31"/>
      <c r="AX401">
        <v>1</v>
      </c>
    </row>
    <row r="402" spans="1:50" x14ac:dyDescent="0.3">
      <c r="A402" t="s">
        <v>44</v>
      </c>
      <c r="B402">
        <v>851</v>
      </c>
      <c r="D402">
        <v>3151</v>
      </c>
      <c r="E402" t="s">
        <v>5656</v>
      </c>
      <c r="G402" t="s">
        <v>2880</v>
      </c>
      <c r="J402" t="s">
        <v>2881</v>
      </c>
      <c r="K402" t="s">
        <v>2882</v>
      </c>
      <c r="M402" t="s">
        <v>2883</v>
      </c>
      <c r="S402" t="s">
        <v>2541</v>
      </c>
      <c r="V402" t="s">
        <v>5650</v>
      </c>
      <c r="W402" t="s">
        <v>780</v>
      </c>
      <c r="X402" t="s">
        <v>897</v>
      </c>
      <c r="Z402" s="31">
        <v>46053</v>
      </c>
      <c r="AC402">
        <v>117</v>
      </c>
      <c r="AD402" t="s">
        <v>22</v>
      </c>
      <c r="AE402" s="31">
        <v>46043</v>
      </c>
      <c r="AF402" s="61">
        <v>0.52098379629629632</v>
      </c>
      <c r="AH402" t="s">
        <v>795</v>
      </c>
      <c r="AI402" s="31">
        <v>46160</v>
      </c>
      <c r="AJ402" s="61">
        <v>0.61366898148148152</v>
      </c>
      <c r="AK402" t="s">
        <v>5657</v>
      </c>
      <c r="AL402" t="s">
        <v>5658</v>
      </c>
      <c r="AO402" t="s">
        <v>44</v>
      </c>
      <c r="AR402" s="31">
        <v>46160</v>
      </c>
      <c r="AX402">
        <v>1</v>
      </c>
    </row>
    <row r="403" spans="1:50" x14ac:dyDescent="0.3">
      <c r="A403" t="s">
        <v>31</v>
      </c>
      <c r="B403">
        <v>853</v>
      </c>
      <c r="D403">
        <v>3154</v>
      </c>
      <c r="E403" t="s">
        <v>2884</v>
      </c>
      <c r="G403" t="s">
        <v>2885</v>
      </c>
      <c r="H403">
        <v>8439142000161</v>
      </c>
      <c r="J403" t="s">
        <v>2886</v>
      </c>
      <c r="K403" t="s">
        <v>2887</v>
      </c>
      <c r="M403" t="s">
        <v>2888</v>
      </c>
      <c r="S403" t="s">
        <v>2541</v>
      </c>
      <c r="V403" t="s">
        <v>5650</v>
      </c>
      <c r="W403" t="s">
        <v>780</v>
      </c>
      <c r="X403" t="s">
        <v>793</v>
      </c>
      <c r="Z403" s="31">
        <v>46112</v>
      </c>
      <c r="AA403">
        <v>58800</v>
      </c>
      <c r="AB403">
        <v>873144</v>
      </c>
      <c r="AC403">
        <v>8</v>
      </c>
      <c r="AD403" t="s">
        <v>22</v>
      </c>
      <c r="AE403" s="31">
        <v>46043</v>
      </c>
      <c r="AF403" s="61">
        <v>0.91557870370370376</v>
      </c>
      <c r="AH403" t="s">
        <v>795</v>
      </c>
      <c r="AI403" s="31">
        <v>46051</v>
      </c>
      <c r="AJ403" s="61">
        <v>0.67262731481481486</v>
      </c>
      <c r="AK403" t="s">
        <v>5347</v>
      </c>
      <c r="AN403" t="s">
        <v>2889</v>
      </c>
      <c r="AO403" t="s">
        <v>31</v>
      </c>
      <c r="AP403" t="s">
        <v>2890</v>
      </c>
      <c r="AQ403" t="s">
        <v>2891</v>
      </c>
      <c r="AR403" s="31">
        <v>46050</v>
      </c>
      <c r="AX403">
        <v>1</v>
      </c>
    </row>
    <row r="404" spans="1:50" x14ac:dyDescent="0.3">
      <c r="A404" t="s">
        <v>31</v>
      </c>
      <c r="B404">
        <v>854</v>
      </c>
      <c r="D404">
        <v>3155</v>
      </c>
      <c r="G404" t="s">
        <v>2892</v>
      </c>
      <c r="J404" t="s">
        <v>2893</v>
      </c>
      <c r="K404" t="s">
        <v>2894</v>
      </c>
      <c r="M404" t="s">
        <v>2895</v>
      </c>
      <c r="S404" t="s">
        <v>2541</v>
      </c>
      <c r="V404" t="s">
        <v>5631</v>
      </c>
      <c r="W404" t="s">
        <v>780</v>
      </c>
      <c r="X404" t="s">
        <v>781</v>
      </c>
      <c r="Z404" s="31">
        <v>46044</v>
      </c>
      <c r="AC404">
        <v>0</v>
      </c>
      <c r="AD404" t="s">
        <v>22</v>
      </c>
      <c r="AE404" s="31">
        <v>46044</v>
      </c>
      <c r="AF404" s="61">
        <v>0.62604166666666672</v>
      </c>
      <c r="AH404" t="s">
        <v>795</v>
      </c>
      <c r="AI404" s="31">
        <v>46044</v>
      </c>
      <c r="AJ404" s="61">
        <v>0.65458333333333329</v>
      </c>
      <c r="AK404" t="s">
        <v>5392</v>
      </c>
      <c r="AO404" t="s">
        <v>31</v>
      </c>
      <c r="AR404" s="31"/>
      <c r="AX404">
        <v>1</v>
      </c>
    </row>
    <row r="405" spans="1:50" x14ac:dyDescent="0.3">
      <c r="A405" t="s">
        <v>44</v>
      </c>
      <c r="B405">
        <v>860</v>
      </c>
      <c r="D405">
        <v>3164</v>
      </c>
      <c r="E405" t="s">
        <v>2896</v>
      </c>
      <c r="G405" t="s">
        <v>2897</v>
      </c>
      <c r="H405">
        <v>1399482000167</v>
      </c>
      <c r="J405" t="s">
        <v>2898</v>
      </c>
      <c r="K405" t="s">
        <v>2899</v>
      </c>
      <c r="M405" t="s">
        <v>2900</v>
      </c>
      <c r="S405" t="s">
        <v>2541</v>
      </c>
      <c r="V405" t="s">
        <v>5650</v>
      </c>
      <c r="W405" t="s">
        <v>780</v>
      </c>
      <c r="X405" t="s">
        <v>897</v>
      </c>
      <c r="Z405" s="31">
        <v>46053</v>
      </c>
      <c r="AC405">
        <v>106</v>
      </c>
      <c r="AD405" t="s">
        <v>22</v>
      </c>
      <c r="AE405" s="31">
        <v>46045</v>
      </c>
      <c r="AF405" s="61">
        <v>0.4199074074074074</v>
      </c>
      <c r="AH405" t="s">
        <v>795</v>
      </c>
      <c r="AI405" s="31">
        <v>46151</v>
      </c>
      <c r="AJ405" s="61">
        <v>0.32263888888888892</v>
      </c>
      <c r="AK405" t="s">
        <v>5657</v>
      </c>
      <c r="AO405" t="s">
        <v>44</v>
      </c>
      <c r="AR405" s="31">
        <v>46051</v>
      </c>
      <c r="AX405">
        <v>1</v>
      </c>
    </row>
    <row r="406" spans="1:50" x14ac:dyDescent="0.3">
      <c r="A406" t="s">
        <v>31</v>
      </c>
      <c r="B406">
        <v>861</v>
      </c>
      <c r="D406">
        <v>3165</v>
      </c>
      <c r="E406" t="s">
        <v>5659</v>
      </c>
      <c r="G406" t="s">
        <v>2903</v>
      </c>
      <c r="J406" t="s">
        <v>2904</v>
      </c>
      <c r="K406" t="s">
        <v>2905</v>
      </c>
      <c r="M406" t="s">
        <v>2906</v>
      </c>
      <c r="S406" t="s">
        <v>2541</v>
      </c>
      <c r="V406" t="s">
        <v>5631</v>
      </c>
      <c r="W406" t="s">
        <v>780</v>
      </c>
      <c r="X406" t="s">
        <v>781</v>
      </c>
      <c r="Z406" s="31">
        <v>46053</v>
      </c>
      <c r="AC406">
        <v>21</v>
      </c>
      <c r="AD406" t="s">
        <v>22</v>
      </c>
      <c r="AE406" s="31">
        <v>46045</v>
      </c>
      <c r="AF406" s="61">
        <v>0.44262731481481482</v>
      </c>
      <c r="AH406" t="s">
        <v>795</v>
      </c>
      <c r="AI406" s="31">
        <v>46066</v>
      </c>
      <c r="AJ406" s="61">
        <v>0.7257986111111111</v>
      </c>
      <c r="AK406" t="s">
        <v>5392</v>
      </c>
      <c r="AO406" t="s">
        <v>31</v>
      </c>
      <c r="AR406" s="31">
        <v>46066</v>
      </c>
      <c r="AX406">
        <v>1</v>
      </c>
    </row>
    <row r="407" spans="1:50" x14ac:dyDescent="0.3">
      <c r="A407" t="s">
        <v>22</v>
      </c>
      <c r="B407">
        <v>862</v>
      </c>
      <c r="D407">
        <v>3166</v>
      </c>
      <c r="E407" t="s">
        <v>2907</v>
      </c>
      <c r="G407" t="s">
        <v>413</v>
      </c>
      <c r="H407">
        <v>82808122000173</v>
      </c>
      <c r="J407" t="s">
        <v>3075</v>
      </c>
      <c r="K407" t="s">
        <v>2909</v>
      </c>
      <c r="M407" t="s">
        <v>2910</v>
      </c>
      <c r="Q407" t="s">
        <v>2911</v>
      </c>
      <c r="R407" t="s">
        <v>932</v>
      </c>
      <c r="V407" t="s">
        <v>1419</v>
      </c>
      <c r="W407" t="s">
        <v>780</v>
      </c>
      <c r="X407" t="s">
        <v>807</v>
      </c>
      <c r="Z407" s="31">
        <v>46081</v>
      </c>
      <c r="AA407">
        <v>987029</v>
      </c>
      <c r="AB407">
        <v>1811884</v>
      </c>
      <c r="AC407">
        <v>34</v>
      </c>
      <c r="AD407" t="s">
        <v>22</v>
      </c>
      <c r="AE407" s="31">
        <v>46045</v>
      </c>
      <c r="AF407" s="61">
        <v>0.47480324074074082</v>
      </c>
      <c r="AH407" t="s">
        <v>818</v>
      </c>
      <c r="AI407" s="31">
        <v>46079</v>
      </c>
      <c r="AJ407" s="61">
        <v>0.91175925925925927</v>
      </c>
      <c r="AN407" t="s">
        <v>384</v>
      </c>
      <c r="AO407" t="s">
        <v>22</v>
      </c>
      <c r="AP407" t="s">
        <v>384</v>
      </c>
      <c r="AR407" s="31">
        <v>46080</v>
      </c>
      <c r="AS407">
        <v>50</v>
      </c>
      <c r="AT407" t="s">
        <v>2912</v>
      </c>
      <c r="AU407" t="s">
        <v>2913</v>
      </c>
      <c r="AV407" t="s">
        <v>2914</v>
      </c>
      <c r="AW407" t="s">
        <v>2915</v>
      </c>
      <c r="AX407">
        <v>1</v>
      </c>
    </row>
    <row r="408" spans="1:50" x14ac:dyDescent="0.3">
      <c r="A408" t="s">
        <v>22</v>
      </c>
      <c r="B408">
        <v>864</v>
      </c>
      <c r="D408">
        <v>3169</v>
      </c>
      <c r="E408" t="s">
        <v>4734</v>
      </c>
      <c r="G408" t="s">
        <v>2917</v>
      </c>
      <c r="J408" t="s">
        <v>704</v>
      </c>
      <c r="K408" t="s">
        <v>2132</v>
      </c>
      <c r="M408" t="s">
        <v>2918</v>
      </c>
      <c r="S408" t="s">
        <v>2919</v>
      </c>
      <c r="V408" t="s">
        <v>1718</v>
      </c>
      <c r="W408" t="s">
        <v>780</v>
      </c>
      <c r="X408" t="s">
        <v>816</v>
      </c>
      <c r="Z408" s="31">
        <v>46053</v>
      </c>
      <c r="AA408">
        <v>10000</v>
      </c>
      <c r="AB408">
        <v>2000</v>
      </c>
      <c r="AC408">
        <v>117</v>
      </c>
      <c r="AD408" t="s">
        <v>22</v>
      </c>
      <c r="AE408" s="31">
        <v>46045</v>
      </c>
      <c r="AF408" s="61">
        <v>0.68347222222222226</v>
      </c>
      <c r="AH408" t="s">
        <v>782</v>
      </c>
      <c r="AI408" s="31"/>
      <c r="AJ408" s="61"/>
      <c r="AN408" t="s">
        <v>2920</v>
      </c>
      <c r="AO408" t="s">
        <v>22</v>
      </c>
      <c r="AP408" t="s">
        <v>2920</v>
      </c>
      <c r="AR408" s="31">
        <v>46101</v>
      </c>
      <c r="AS408">
        <v>30</v>
      </c>
      <c r="AT408" t="s">
        <v>2921</v>
      </c>
      <c r="AU408" t="s">
        <v>2922</v>
      </c>
      <c r="AV408" t="s">
        <v>2923</v>
      </c>
      <c r="AW408" t="s">
        <v>2924</v>
      </c>
      <c r="AX408">
        <v>1</v>
      </c>
    </row>
    <row r="409" spans="1:50" x14ac:dyDescent="0.3">
      <c r="A409" t="s">
        <v>22</v>
      </c>
      <c r="B409">
        <v>865</v>
      </c>
      <c r="D409">
        <v>3170</v>
      </c>
      <c r="E409" t="s">
        <v>4735</v>
      </c>
      <c r="G409" t="s">
        <v>2926</v>
      </c>
      <c r="H409">
        <v>13303103000172</v>
      </c>
      <c r="J409" t="s">
        <v>2927</v>
      </c>
      <c r="K409" t="s">
        <v>2928</v>
      </c>
      <c r="M409" t="s">
        <v>2929</v>
      </c>
      <c r="Q409" t="s">
        <v>2930</v>
      </c>
      <c r="R409" t="s">
        <v>932</v>
      </c>
      <c r="S409" t="s">
        <v>1191</v>
      </c>
      <c r="V409" t="s">
        <v>1419</v>
      </c>
      <c r="W409" t="s">
        <v>780</v>
      </c>
      <c r="X409" t="s">
        <v>807</v>
      </c>
      <c r="Z409" s="31">
        <v>46112</v>
      </c>
      <c r="AA409">
        <v>59184</v>
      </c>
      <c r="AB409">
        <v>488139</v>
      </c>
      <c r="AC409">
        <v>77</v>
      </c>
      <c r="AD409" t="s">
        <v>22</v>
      </c>
      <c r="AE409" s="31">
        <v>46045</v>
      </c>
      <c r="AF409" s="61">
        <v>0.70285879629629633</v>
      </c>
      <c r="AH409" t="s">
        <v>795</v>
      </c>
      <c r="AI409" s="31">
        <v>46122</v>
      </c>
      <c r="AJ409" s="61">
        <v>0.72376157407407404</v>
      </c>
      <c r="AK409" t="s">
        <v>5338</v>
      </c>
      <c r="AN409" t="s">
        <v>2920</v>
      </c>
      <c r="AO409" t="s">
        <v>22</v>
      </c>
      <c r="AP409" t="s">
        <v>2920</v>
      </c>
      <c r="AR409" s="31">
        <v>46101</v>
      </c>
      <c r="AS409">
        <v>50</v>
      </c>
      <c r="AT409" t="s">
        <v>2931</v>
      </c>
      <c r="AU409" t="s">
        <v>2932</v>
      </c>
      <c r="AV409" t="s">
        <v>2933</v>
      </c>
      <c r="AW409" t="s">
        <v>2934</v>
      </c>
      <c r="AX409">
        <v>1</v>
      </c>
    </row>
    <row r="410" spans="1:50" x14ac:dyDescent="0.3">
      <c r="A410" t="s">
        <v>31</v>
      </c>
      <c r="B410">
        <v>866</v>
      </c>
      <c r="D410">
        <v>3177</v>
      </c>
      <c r="E410" t="s">
        <v>2935</v>
      </c>
      <c r="G410" t="s">
        <v>2936</v>
      </c>
      <c r="J410" t="s">
        <v>2937</v>
      </c>
      <c r="K410" t="s">
        <v>2938</v>
      </c>
      <c r="M410" t="s">
        <v>2939</v>
      </c>
      <c r="S410" t="s">
        <v>2541</v>
      </c>
      <c r="V410" t="s">
        <v>5650</v>
      </c>
      <c r="W410" t="s">
        <v>780</v>
      </c>
      <c r="X410" t="s">
        <v>781</v>
      </c>
      <c r="Z410" s="31">
        <v>46053</v>
      </c>
      <c r="AC410">
        <v>3</v>
      </c>
      <c r="AD410" t="s">
        <v>22</v>
      </c>
      <c r="AE410" s="31">
        <v>46048</v>
      </c>
      <c r="AF410" s="61">
        <v>0.55048611111111112</v>
      </c>
      <c r="AH410" t="s">
        <v>795</v>
      </c>
      <c r="AI410" s="31">
        <v>46051</v>
      </c>
      <c r="AJ410" s="61">
        <v>0.66991898148148143</v>
      </c>
      <c r="AK410" t="s">
        <v>934</v>
      </c>
      <c r="AO410" t="s">
        <v>31</v>
      </c>
      <c r="AR410" s="31">
        <v>46049</v>
      </c>
      <c r="AX410">
        <v>1</v>
      </c>
    </row>
    <row r="411" spans="1:50" x14ac:dyDescent="0.3">
      <c r="A411" t="s">
        <v>44</v>
      </c>
      <c r="B411">
        <v>867</v>
      </c>
      <c r="D411">
        <v>3176</v>
      </c>
      <c r="E411" t="s">
        <v>5660</v>
      </c>
      <c r="G411" t="s">
        <v>2941</v>
      </c>
      <c r="H411">
        <v>16743404000105</v>
      </c>
      <c r="J411" t="s">
        <v>2942</v>
      </c>
      <c r="K411" t="s">
        <v>2943</v>
      </c>
      <c r="M411" t="s">
        <v>2944</v>
      </c>
      <c r="Q411" t="s">
        <v>2945</v>
      </c>
      <c r="R411" t="s">
        <v>1105</v>
      </c>
      <c r="S411" t="s">
        <v>2541</v>
      </c>
      <c r="V411" t="s">
        <v>5628</v>
      </c>
      <c r="W411" t="s">
        <v>780</v>
      </c>
      <c r="X411" t="s">
        <v>793</v>
      </c>
      <c r="Z411" s="31">
        <v>46081</v>
      </c>
      <c r="AA411">
        <v>61904</v>
      </c>
      <c r="AB411">
        <v>10192</v>
      </c>
      <c r="AC411">
        <v>24</v>
      </c>
      <c r="AD411" t="s">
        <v>22</v>
      </c>
      <c r="AE411" s="31">
        <v>46048</v>
      </c>
      <c r="AF411" s="61">
        <v>0.55230324074074078</v>
      </c>
      <c r="AH411" t="s">
        <v>795</v>
      </c>
      <c r="AI411" s="31">
        <v>46072</v>
      </c>
      <c r="AJ411" s="61">
        <v>0.69184027777777779</v>
      </c>
      <c r="AK411" t="s">
        <v>934</v>
      </c>
      <c r="AL411" t="s">
        <v>5661</v>
      </c>
      <c r="AN411" t="s">
        <v>2889</v>
      </c>
      <c r="AO411" t="s">
        <v>44</v>
      </c>
      <c r="AP411" t="s">
        <v>2889</v>
      </c>
      <c r="AR411" s="31">
        <v>46072</v>
      </c>
      <c r="AS411">
        <v>30</v>
      </c>
      <c r="AX411">
        <v>1</v>
      </c>
    </row>
    <row r="412" spans="1:50" x14ac:dyDescent="0.3">
      <c r="A412" t="s">
        <v>31</v>
      </c>
      <c r="B412">
        <v>868</v>
      </c>
      <c r="D412">
        <v>3174</v>
      </c>
      <c r="E412" t="s">
        <v>5662</v>
      </c>
      <c r="G412" t="s">
        <v>2947</v>
      </c>
      <c r="J412" t="s">
        <v>2948</v>
      </c>
      <c r="K412" t="s">
        <v>2949</v>
      </c>
      <c r="M412" t="s">
        <v>2950</v>
      </c>
      <c r="S412" t="s">
        <v>2541</v>
      </c>
      <c r="V412" t="s">
        <v>5631</v>
      </c>
      <c r="W412" t="s">
        <v>780</v>
      </c>
      <c r="X412" t="s">
        <v>781</v>
      </c>
      <c r="Z412" s="31">
        <v>46053</v>
      </c>
      <c r="AC412">
        <v>0</v>
      </c>
      <c r="AD412" t="s">
        <v>22</v>
      </c>
      <c r="AE412" s="31">
        <v>46048</v>
      </c>
      <c r="AF412" s="61">
        <v>0.55403935185185182</v>
      </c>
      <c r="AH412" t="s">
        <v>795</v>
      </c>
      <c r="AI412" s="31">
        <v>46048</v>
      </c>
      <c r="AJ412" s="61">
        <v>0.60412037037037036</v>
      </c>
      <c r="AK412" t="s">
        <v>5392</v>
      </c>
      <c r="AO412" t="s">
        <v>31</v>
      </c>
      <c r="AR412" s="31"/>
      <c r="AX412">
        <v>1</v>
      </c>
    </row>
    <row r="413" spans="1:50" x14ac:dyDescent="0.3">
      <c r="A413" t="s">
        <v>44</v>
      </c>
      <c r="B413">
        <v>869</v>
      </c>
      <c r="D413">
        <v>3175</v>
      </c>
      <c r="E413" t="s">
        <v>2951</v>
      </c>
      <c r="G413" t="s">
        <v>2952</v>
      </c>
      <c r="J413" t="s">
        <v>2953</v>
      </c>
      <c r="K413" t="s">
        <v>2954</v>
      </c>
      <c r="M413" t="s">
        <v>2955</v>
      </c>
      <c r="S413" t="s">
        <v>2541</v>
      </c>
      <c r="V413" t="s">
        <v>5650</v>
      </c>
      <c r="W413" t="s">
        <v>780</v>
      </c>
      <c r="X413" t="s">
        <v>781</v>
      </c>
      <c r="Z413" s="31">
        <v>46053</v>
      </c>
      <c r="AC413">
        <v>103</v>
      </c>
      <c r="AD413" t="s">
        <v>22</v>
      </c>
      <c r="AE413" s="31">
        <v>46048</v>
      </c>
      <c r="AF413" s="61">
        <v>0.5553703703703704</v>
      </c>
      <c r="AH413" t="s">
        <v>795</v>
      </c>
      <c r="AI413" s="31">
        <v>46151</v>
      </c>
      <c r="AJ413" s="61">
        <v>0.34141203703703699</v>
      </c>
      <c r="AK413" t="s">
        <v>5657</v>
      </c>
      <c r="AO413" t="s">
        <v>44</v>
      </c>
      <c r="AR413" s="31">
        <v>46049</v>
      </c>
      <c r="AX413">
        <v>1</v>
      </c>
    </row>
    <row r="414" spans="1:50" x14ac:dyDescent="0.3">
      <c r="A414" t="s">
        <v>31</v>
      </c>
      <c r="B414">
        <v>870</v>
      </c>
      <c r="D414">
        <v>3173</v>
      </c>
      <c r="E414" t="s">
        <v>2956</v>
      </c>
      <c r="G414" t="s">
        <v>2957</v>
      </c>
      <c r="J414" t="s">
        <v>2958</v>
      </c>
      <c r="K414" t="s">
        <v>2959</v>
      </c>
      <c r="M414" t="s">
        <v>2960</v>
      </c>
      <c r="S414" t="s">
        <v>2541</v>
      </c>
      <c r="V414" t="s">
        <v>5628</v>
      </c>
      <c r="W414" t="s">
        <v>780</v>
      </c>
      <c r="X414" t="s">
        <v>897</v>
      </c>
      <c r="Z414" s="31">
        <v>46053</v>
      </c>
      <c r="AC414">
        <v>22</v>
      </c>
      <c r="AD414" t="s">
        <v>22</v>
      </c>
      <c r="AE414" s="31">
        <v>46048</v>
      </c>
      <c r="AF414" s="61">
        <v>0.55634259259259256</v>
      </c>
      <c r="AH414" t="s">
        <v>795</v>
      </c>
      <c r="AI414" s="31">
        <v>46070</v>
      </c>
      <c r="AJ414" s="61">
        <v>0.67465277777777777</v>
      </c>
      <c r="AK414" t="s">
        <v>5347</v>
      </c>
      <c r="AO414" t="s">
        <v>31</v>
      </c>
      <c r="AR414" s="31">
        <v>46070</v>
      </c>
      <c r="AS414">
        <v>30</v>
      </c>
      <c r="AX414">
        <v>1</v>
      </c>
    </row>
    <row r="415" spans="1:50" x14ac:dyDescent="0.3">
      <c r="A415" t="s">
        <v>22</v>
      </c>
      <c r="B415">
        <v>871</v>
      </c>
      <c r="D415">
        <v>3172</v>
      </c>
      <c r="E415" t="s">
        <v>4738</v>
      </c>
      <c r="G415" t="s">
        <v>2962</v>
      </c>
      <c r="H415">
        <v>19933187000104</v>
      </c>
      <c r="J415" t="s">
        <v>2963</v>
      </c>
      <c r="K415" t="s">
        <v>2964</v>
      </c>
      <c r="M415" t="s">
        <v>2965</v>
      </c>
      <c r="S415" t="s">
        <v>2541</v>
      </c>
      <c r="V415" t="s">
        <v>5628</v>
      </c>
      <c r="W415" t="s">
        <v>780</v>
      </c>
      <c r="X415" t="s">
        <v>897</v>
      </c>
      <c r="Z415" s="31">
        <v>46053</v>
      </c>
      <c r="AC415">
        <v>45</v>
      </c>
      <c r="AD415" t="s">
        <v>22</v>
      </c>
      <c r="AE415" s="31">
        <v>46048</v>
      </c>
      <c r="AF415" s="61">
        <v>0.55686342592592597</v>
      </c>
      <c r="AH415" t="s">
        <v>795</v>
      </c>
      <c r="AI415" s="31">
        <v>46093</v>
      </c>
      <c r="AJ415" s="61">
        <v>0.7288310185185185</v>
      </c>
      <c r="AK415" t="s">
        <v>5392</v>
      </c>
      <c r="AO415" t="s">
        <v>22</v>
      </c>
      <c r="AR415" s="31">
        <v>46093</v>
      </c>
      <c r="AS415">
        <v>30</v>
      </c>
      <c r="AX415">
        <v>1</v>
      </c>
    </row>
    <row r="416" spans="1:50" x14ac:dyDescent="0.3">
      <c r="A416" t="s">
        <v>22</v>
      </c>
      <c r="B416">
        <v>872</v>
      </c>
      <c r="D416">
        <v>3178</v>
      </c>
      <c r="E416" t="s">
        <v>4739</v>
      </c>
      <c r="G416" t="s">
        <v>422</v>
      </c>
      <c r="J416" t="s">
        <v>2967</v>
      </c>
      <c r="K416" t="s">
        <v>2968</v>
      </c>
      <c r="M416" t="s">
        <v>2969</v>
      </c>
      <c r="Q416" t="s">
        <v>923</v>
      </c>
      <c r="S416" t="s">
        <v>814</v>
      </c>
      <c r="V416" t="s">
        <v>5603</v>
      </c>
      <c r="W416" t="s">
        <v>780</v>
      </c>
      <c r="X416" t="s">
        <v>807</v>
      </c>
      <c r="Z416" s="31">
        <v>46081</v>
      </c>
      <c r="AA416">
        <v>701343</v>
      </c>
      <c r="AB416">
        <v>17345</v>
      </c>
      <c r="AC416">
        <v>32</v>
      </c>
      <c r="AD416" t="s">
        <v>22</v>
      </c>
      <c r="AE416" s="31">
        <v>46048</v>
      </c>
      <c r="AF416" s="61">
        <v>0.71504629629629635</v>
      </c>
      <c r="AH416" t="s">
        <v>795</v>
      </c>
      <c r="AI416" s="31">
        <v>46080</v>
      </c>
      <c r="AJ416" s="61">
        <v>0.88954861111111116</v>
      </c>
      <c r="AK416" t="s">
        <v>5338</v>
      </c>
      <c r="AN416" t="s">
        <v>423</v>
      </c>
      <c r="AO416" t="s">
        <v>22</v>
      </c>
      <c r="AP416" t="s">
        <v>423</v>
      </c>
      <c r="AR416" s="31">
        <v>46079</v>
      </c>
      <c r="AS416">
        <v>50</v>
      </c>
      <c r="AT416" t="s">
        <v>2971</v>
      </c>
      <c r="AU416" t="s">
        <v>2972</v>
      </c>
      <c r="AV416" t="s">
        <v>2973</v>
      </c>
      <c r="AW416" t="s">
        <v>2974</v>
      </c>
      <c r="AX416">
        <v>1</v>
      </c>
    </row>
    <row r="417" spans="1:50" x14ac:dyDescent="0.3">
      <c r="A417" t="s">
        <v>44</v>
      </c>
      <c r="B417">
        <v>873</v>
      </c>
      <c r="D417">
        <v>3179</v>
      </c>
      <c r="E417" t="s">
        <v>2975</v>
      </c>
      <c r="G417" t="s">
        <v>2976</v>
      </c>
      <c r="J417" t="s">
        <v>2977</v>
      </c>
      <c r="K417" t="s">
        <v>2978</v>
      </c>
      <c r="M417" t="s">
        <v>2979</v>
      </c>
      <c r="S417" t="s">
        <v>2541</v>
      </c>
      <c r="V417" t="s">
        <v>5650</v>
      </c>
      <c r="W417" t="s">
        <v>780</v>
      </c>
      <c r="X417" t="s">
        <v>781</v>
      </c>
      <c r="Z417" s="31"/>
      <c r="AC417">
        <v>102</v>
      </c>
      <c r="AD417" t="s">
        <v>22</v>
      </c>
      <c r="AE417" s="31">
        <v>46049</v>
      </c>
      <c r="AF417" s="61">
        <v>0.36055555555555557</v>
      </c>
      <c r="AH417" t="s">
        <v>795</v>
      </c>
      <c r="AI417" s="31">
        <v>46151</v>
      </c>
      <c r="AJ417" s="61">
        <v>0.34244212962962961</v>
      </c>
      <c r="AK417" t="s">
        <v>5657</v>
      </c>
      <c r="AO417" t="s">
        <v>44</v>
      </c>
      <c r="AR417" s="31">
        <v>46051</v>
      </c>
      <c r="AX417">
        <v>1</v>
      </c>
    </row>
    <row r="418" spans="1:50" x14ac:dyDescent="0.3">
      <c r="A418" t="s">
        <v>31</v>
      </c>
      <c r="B418">
        <v>874</v>
      </c>
      <c r="D418">
        <v>3180</v>
      </c>
      <c r="G418" t="s">
        <v>2981</v>
      </c>
      <c r="J418" t="s">
        <v>2982</v>
      </c>
      <c r="K418" t="s">
        <v>2983</v>
      </c>
      <c r="M418" t="s">
        <v>2984</v>
      </c>
      <c r="S418" t="s">
        <v>2541</v>
      </c>
      <c r="V418" t="s">
        <v>5631</v>
      </c>
      <c r="W418" t="s">
        <v>780</v>
      </c>
      <c r="X418" t="s">
        <v>781</v>
      </c>
      <c r="Z418" s="31">
        <v>46053</v>
      </c>
      <c r="AC418">
        <v>2</v>
      </c>
      <c r="AD418" t="s">
        <v>22</v>
      </c>
      <c r="AE418" s="31">
        <v>46049</v>
      </c>
      <c r="AF418" s="61">
        <v>0.36130787037037038</v>
      </c>
      <c r="AH418" t="s">
        <v>795</v>
      </c>
      <c r="AI418" s="31">
        <v>46051</v>
      </c>
      <c r="AJ418" s="61">
        <v>0.66635416666666669</v>
      </c>
      <c r="AK418" t="s">
        <v>5392</v>
      </c>
      <c r="AO418" t="s">
        <v>31</v>
      </c>
      <c r="AR418" s="31"/>
      <c r="AX418">
        <v>1</v>
      </c>
    </row>
    <row r="419" spans="1:50" x14ac:dyDescent="0.3">
      <c r="A419" t="s">
        <v>44</v>
      </c>
      <c r="B419">
        <v>876</v>
      </c>
      <c r="D419">
        <v>3182</v>
      </c>
      <c r="F419" t="s">
        <v>2985</v>
      </c>
      <c r="G419" t="s">
        <v>2986</v>
      </c>
      <c r="H419">
        <v>5937946000100</v>
      </c>
      <c r="J419" t="s">
        <v>2985</v>
      </c>
      <c r="K419" t="s">
        <v>2987</v>
      </c>
      <c r="M419" t="s">
        <v>2988</v>
      </c>
      <c r="Q419" t="s">
        <v>2989</v>
      </c>
      <c r="R419" t="s">
        <v>932</v>
      </c>
      <c r="S419" t="s">
        <v>805</v>
      </c>
      <c r="V419" t="s">
        <v>1581</v>
      </c>
      <c r="W419" t="s">
        <v>780</v>
      </c>
      <c r="X419" t="s">
        <v>816</v>
      </c>
      <c r="Z419" s="31">
        <v>46081</v>
      </c>
      <c r="AA419">
        <v>16960</v>
      </c>
      <c r="AB419">
        <v>32775</v>
      </c>
      <c r="AC419">
        <v>16</v>
      </c>
      <c r="AD419" t="s">
        <v>44</v>
      </c>
      <c r="AE419" s="31">
        <v>46050</v>
      </c>
      <c r="AF419" s="61">
        <v>0.37962962962962971</v>
      </c>
      <c r="AH419" t="s">
        <v>818</v>
      </c>
      <c r="AI419" s="31">
        <v>46066</v>
      </c>
      <c r="AJ419" s="61">
        <v>0.51166666666666671</v>
      </c>
      <c r="AN419" t="s">
        <v>2990</v>
      </c>
      <c r="AO419" t="s">
        <v>44</v>
      </c>
      <c r="AP419" t="s">
        <v>2991</v>
      </c>
      <c r="AR419" s="31"/>
      <c r="AS419">
        <v>80</v>
      </c>
      <c r="AX419">
        <v>1</v>
      </c>
    </row>
    <row r="420" spans="1:50" x14ac:dyDescent="0.3">
      <c r="A420" t="s">
        <v>22</v>
      </c>
      <c r="B420">
        <v>877</v>
      </c>
      <c r="D420">
        <v>3187</v>
      </c>
      <c r="E420" t="s">
        <v>4740</v>
      </c>
      <c r="G420" t="s">
        <v>430</v>
      </c>
      <c r="J420" t="s">
        <v>2993</v>
      </c>
      <c r="K420" t="s">
        <v>2994</v>
      </c>
      <c r="M420" t="s">
        <v>1111</v>
      </c>
      <c r="S420" t="s">
        <v>2919</v>
      </c>
      <c r="V420" t="s">
        <v>1704</v>
      </c>
      <c r="W420" t="s">
        <v>780</v>
      </c>
      <c r="X420" t="s">
        <v>816</v>
      </c>
      <c r="Z420" s="31">
        <v>46112</v>
      </c>
      <c r="AA420">
        <v>12000</v>
      </c>
      <c r="AB420">
        <v>1700</v>
      </c>
      <c r="AC420">
        <v>110</v>
      </c>
      <c r="AD420" t="s">
        <v>22</v>
      </c>
      <c r="AE420" s="31">
        <v>46050</v>
      </c>
      <c r="AF420" s="61">
        <v>0.66311342592592593</v>
      </c>
      <c r="AH420" t="s">
        <v>795</v>
      </c>
      <c r="AI420" s="31">
        <v>46160</v>
      </c>
      <c r="AJ420" s="61">
        <v>0.71424768518518522</v>
      </c>
      <c r="AK420" t="s">
        <v>934</v>
      </c>
      <c r="AN420" t="s">
        <v>384</v>
      </c>
      <c r="AO420" t="s">
        <v>22</v>
      </c>
      <c r="AP420" t="s">
        <v>449</v>
      </c>
      <c r="AR420" s="31">
        <v>46101</v>
      </c>
      <c r="AS420">
        <v>80</v>
      </c>
      <c r="AT420" t="s">
        <v>2995</v>
      </c>
      <c r="AU420" t="s">
        <v>69</v>
      </c>
      <c r="AV420" t="s">
        <v>4741</v>
      </c>
      <c r="AW420" t="s">
        <v>4741</v>
      </c>
      <c r="AX420">
        <v>1</v>
      </c>
    </row>
    <row r="421" spans="1:50" x14ac:dyDescent="0.3">
      <c r="A421" t="s">
        <v>44</v>
      </c>
      <c r="B421">
        <v>879</v>
      </c>
      <c r="D421">
        <v>3192</v>
      </c>
      <c r="E421" t="s">
        <v>5663</v>
      </c>
      <c r="F421" t="s">
        <v>2997</v>
      </c>
      <c r="G421" t="s">
        <v>2998</v>
      </c>
      <c r="H421">
        <v>42371959000183</v>
      </c>
      <c r="J421" t="s">
        <v>2997</v>
      </c>
      <c r="K421" t="s">
        <v>2999</v>
      </c>
      <c r="M421" t="s">
        <v>3000</v>
      </c>
      <c r="Q421" t="s">
        <v>1596</v>
      </c>
      <c r="R421" t="s">
        <v>790</v>
      </c>
      <c r="S421" t="s">
        <v>805</v>
      </c>
      <c r="V421" t="s">
        <v>1718</v>
      </c>
      <c r="W421" t="s">
        <v>780</v>
      </c>
      <c r="X421" t="s">
        <v>793</v>
      </c>
      <c r="Z421" s="31">
        <v>46081</v>
      </c>
      <c r="AA421">
        <v>79958</v>
      </c>
      <c r="AB421">
        <v>45432</v>
      </c>
      <c r="AC421">
        <v>25</v>
      </c>
      <c r="AD421" t="s">
        <v>44</v>
      </c>
      <c r="AE421" s="31">
        <v>46051</v>
      </c>
      <c r="AF421" s="61">
        <v>0.41417824074074072</v>
      </c>
      <c r="AH421" t="s">
        <v>795</v>
      </c>
      <c r="AI421" s="31">
        <v>46076</v>
      </c>
      <c r="AJ421" s="61">
        <v>0.62991898148148151</v>
      </c>
      <c r="AK421" t="s">
        <v>934</v>
      </c>
      <c r="AL421" t="s">
        <v>5664</v>
      </c>
      <c r="AN421" t="s">
        <v>2889</v>
      </c>
      <c r="AO421" t="s">
        <v>44</v>
      </c>
      <c r="AP421" t="s">
        <v>2890</v>
      </c>
      <c r="AR421" s="31"/>
      <c r="AS421">
        <v>30</v>
      </c>
      <c r="AX421">
        <v>1</v>
      </c>
    </row>
    <row r="422" spans="1:50" x14ac:dyDescent="0.3">
      <c r="A422" t="s">
        <v>44</v>
      </c>
      <c r="B422">
        <v>882</v>
      </c>
      <c r="D422">
        <v>3199</v>
      </c>
      <c r="E422" t="s">
        <v>3001</v>
      </c>
      <c r="G422" t="s">
        <v>3002</v>
      </c>
      <c r="J422" t="s">
        <v>3003</v>
      </c>
      <c r="K422" t="s">
        <v>1471</v>
      </c>
      <c r="M422" t="s">
        <v>1111</v>
      </c>
      <c r="V422" t="s">
        <v>1419</v>
      </c>
      <c r="W422" t="s">
        <v>780</v>
      </c>
      <c r="X422" t="s">
        <v>807</v>
      </c>
      <c r="Z422" s="31">
        <v>46081</v>
      </c>
      <c r="AA422">
        <v>90000</v>
      </c>
      <c r="AB422">
        <v>921279</v>
      </c>
      <c r="AC422">
        <v>15</v>
      </c>
      <c r="AD422" t="s">
        <v>44</v>
      </c>
      <c r="AE422" s="31">
        <v>46051</v>
      </c>
      <c r="AF422" s="61">
        <v>0.67391203703703706</v>
      </c>
      <c r="AH422" t="s">
        <v>795</v>
      </c>
      <c r="AI422" s="31">
        <v>46066</v>
      </c>
      <c r="AJ422" s="61">
        <v>0.51680555555555552</v>
      </c>
      <c r="AK422" t="s">
        <v>858</v>
      </c>
      <c r="AL422" t="s">
        <v>3001</v>
      </c>
      <c r="AN422" t="s">
        <v>2576</v>
      </c>
      <c r="AO422" t="s">
        <v>44</v>
      </c>
      <c r="AP422" t="s">
        <v>2576</v>
      </c>
      <c r="AR422" s="31">
        <v>46066</v>
      </c>
      <c r="AS422">
        <v>50</v>
      </c>
      <c r="AX422">
        <v>1</v>
      </c>
    </row>
    <row r="423" spans="1:50" x14ac:dyDescent="0.3">
      <c r="A423" t="s">
        <v>44</v>
      </c>
      <c r="B423">
        <v>883</v>
      </c>
      <c r="D423">
        <v>3200</v>
      </c>
      <c r="E423" t="s">
        <v>3001</v>
      </c>
      <c r="G423" t="s">
        <v>1469</v>
      </c>
      <c r="J423" t="s">
        <v>3004</v>
      </c>
      <c r="K423" t="s">
        <v>1471</v>
      </c>
      <c r="M423" t="s">
        <v>1111</v>
      </c>
      <c r="V423" t="s">
        <v>1419</v>
      </c>
      <c r="W423" t="s">
        <v>780</v>
      </c>
      <c r="X423" t="s">
        <v>807</v>
      </c>
      <c r="Z423" s="31">
        <v>46081</v>
      </c>
      <c r="AA423">
        <v>1600</v>
      </c>
      <c r="AB423">
        <v>599515</v>
      </c>
      <c r="AC423">
        <v>15</v>
      </c>
      <c r="AD423" t="s">
        <v>44</v>
      </c>
      <c r="AE423" s="31">
        <v>46051</v>
      </c>
      <c r="AF423" s="61">
        <v>0.6811342592592593</v>
      </c>
      <c r="AH423" t="s">
        <v>795</v>
      </c>
      <c r="AI423" s="31">
        <v>46066</v>
      </c>
      <c r="AJ423" s="61">
        <v>0.51790509259259254</v>
      </c>
      <c r="AK423" t="s">
        <v>858</v>
      </c>
      <c r="AL423" t="s">
        <v>3001</v>
      </c>
      <c r="AN423" t="s">
        <v>2576</v>
      </c>
      <c r="AO423" t="s">
        <v>44</v>
      </c>
      <c r="AP423" t="s">
        <v>2576</v>
      </c>
      <c r="AR423" s="31">
        <v>46066</v>
      </c>
      <c r="AS423">
        <v>50</v>
      </c>
      <c r="AX423">
        <v>1</v>
      </c>
    </row>
    <row r="424" spans="1:50" x14ac:dyDescent="0.3">
      <c r="A424" t="s">
        <v>44</v>
      </c>
      <c r="B424">
        <v>884</v>
      </c>
      <c r="D424">
        <v>3202</v>
      </c>
      <c r="E424" t="s">
        <v>4743</v>
      </c>
      <c r="G424" t="s">
        <v>3005</v>
      </c>
      <c r="J424" t="s">
        <v>3004</v>
      </c>
      <c r="K424" t="s">
        <v>1471</v>
      </c>
      <c r="M424" t="s">
        <v>1111</v>
      </c>
      <c r="V424" t="s">
        <v>1419</v>
      </c>
      <c r="W424" t="s">
        <v>780</v>
      </c>
      <c r="X424" t="s">
        <v>816</v>
      </c>
      <c r="Z424" s="31">
        <v>46112</v>
      </c>
      <c r="AA424">
        <v>149248</v>
      </c>
      <c r="AB424">
        <v>29499</v>
      </c>
      <c r="AC424">
        <v>62</v>
      </c>
      <c r="AD424" t="s">
        <v>44</v>
      </c>
      <c r="AE424" s="31">
        <v>46051</v>
      </c>
      <c r="AF424" s="61">
        <v>0.69284722222222217</v>
      </c>
      <c r="AH424" t="s">
        <v>818</v>
      </c>
      <c r="AI424" s="31">
        <v>46113</v>
      </c>
      <c r="AJ424" s="61">
        <v>0.64675925925925926</v>
      </c>
      <c r="AN424" t="s">
        <v>2889</v>
      </c>
      <c r="AO424" t="s">
        <v>44</v>
      </c>
      <c r="AP424" t="s">
        <v>2576</v>
      </c>
      <c r="AQ424" t="s">
        <v>403</v>
      </c>
      <c r="AR424" s="31">
        <v>46062</v>
      </c>
      <c r="AS424">
        <v>50</v>
      </c>
      <c r="AX424">
        <v>1</v>
      </c>
    </row>
    <row r="425" spans="1:50" x14ac:dyDescent="0.3">
      <c r="A425" t="s">
        <v>44</v>
      </c>
      <c r="B425">
        <v>885</v>
      </c>
      <c r="D425">
        <v>3205</v>
      </c>
      <c r="E425" t="s">
        <v>5665</v>
      </c>
      <c r="G425" t="s">
        <v>3007</v>
      </c>
      <c r="H425">
        <v>4312818000109</v>
      </c>
      <c r="J425" t="s">
        <v>5666</v>
      </c>
      <c r="Q425" t="s">
        <v>1094</v>
      </c>
      <c r="R425" t="s">
        <v>790</v>
      </c>
      <c r="V425" t="s">
        <v>1718</v>
      </c>
      <c r="W425" t="s">
        <v>780</v>
      </c>
      <c r="X425" t="s">
        <v>807</v>
      </c>
      <c r="Z425" s="31">
        <v>46081</v>
      </c>
      <c r="AA425">
        <v>1600</v>
      </c>
      <c r="AB425">
        <v>384454</v>
      </c>
      <c r="AC425">
        <v>20</v>
      </c>
      <c r="AD425" t="s">
        <v>44</v>
      </c>
      <c r="AE425" s="31">
        <v>46052</v>
      </c>
      <c r="AF425" s="61">
        <v>0.61850694444444443</v>
      </c>
      <c r="AH425" t="s">
        <v>795</v>
      </c>
      <c r="AI425" s="31">
        <v>46072</v>
      </c>
      <c r="AJ425" s="61">
        <v>0.68957175925925929</v>
      </c>
      <c r="AK425" t="s">
        <v>858</v>
      </c>
      <c r="AL425" t="s">
        <v>5667</v>
      </c>
      <c r="AN425" t="s">
        <v>2829</v>
      </c>
      <c r="AO425" t="s">
        <v>44</v>
      </c>
      <c r="AR425" s="31">
        <v>46072</v>
      </c>
      <c r="AS425">
        <v>30</v>
      </c>
      <c r="AX425">
        <v>1</v>
      </c>
    </row>
    <row r="426" spans="1:50" x14ac:dyDescent="0.3">
      <c r="A426" t="s">
        <v>44</v>
      </c>
      <c r="B426">
        <v>886</v>
      </c>
      <c r="D426">
        <v>3207</v>
      </c>
      <c r="E426" t="s">
        <v>4729</v>
      </c>
      <c r="G426" t="s">
        <v>3009</v>
      </c>
      <c r="J426" t="s">
        <v>3010</v>
      </c>
      <c r="K426" t="s">
        <v>3011</v>
      </c>
      <c r="M426" t="s">
        <v>2827</v>
      </c>
      <c r="V426" t="s">
        <v>5650</v>
      </c>
      <c r="W426" t="s">
        <v>780</v>
      </c>
      <c r="X426" t="s">
        <v>793</v>
      </c>
      <c r="Z426" s="31"/>
      <c r="AA426">
        <v>1600</v>
      </c>
      <c r="AB426">
        <v>252471</v>
      </c>
      <c r="AC426">
        <v>38</v>
      </c>
      <c r="AD426" t="s">
        <v>44</v>
      </c>
      <c r="AE426" s="31">
        <v>46052</v>
      </c>
      <c r="AF426" s="61">
        <v>0.64193287037037039</v>
      </c>
      <c r="AH426" t="s">
        <v>795</v>
      </c>
      <c r="AI426" s="31">
        <v>46090</v>
      </c>
      <c r="AJ426" s="61">
        <v>0.46104166666666668</v>
      </c>
      <c r="AK426" t="s">
        <v>5338</v>
      </c>
      <c r="AL426" t="s">
        <v>4729</v>
      </c>
      <c r="AN426" t="s">
        <v>2829</v>
      </c>
      <c r="AR426" s="31">
        <v>46062</v>
      </c>
      <c r="AX426">
        <v>1</v>
      </c>
    </row>
    <row r="427" spans="1:50" x14ac:dyDescent="0.3">
      <c r="A427" t="s">
        <v>44</v>
      </c>
      <c r="B427">
        <v>887</v>
      </c>
      <c r="D427">
        <v>3208</v>
      </c>
      <c r="G427" t="s">
        <v>5668</v>
      </c>
      <c r="J427" t="s">
        <v>5669</v>
      </c>
      <c r="K427" t="s">
        <v>3014</v>
      </c>
      <c r="M427" t="s">
        <v>2839</v>
      </c>
      <c r="V427" t="s">
        <v>3015</v>
      </c>
      <c r="W427" t="s">
        <v>780</v>
      </c>
      <c r="X427" t="s">
        <v>857</v>
      </c>
      <c r="Z427" s="31"/>
      <c r="AA427">
        <v>1600</v>
      </c>
      <c r="AB427">
        <v>254271</v>
      </c>
      <c r="AC427">
        <v>6</v>
      </c>
      <c r="AD427" t="s">
        <v>44</v>
      </c>
      <c r="AE427" s="31">
        <v>46052</v>
      </c>
      <c r="AF427" s="61">
        <v>0.66526620370370371</v>
      </c>
      <c r="AH427" t="s">
        <v>795</v>
      </c>
      <c r="AI427" s="31">
        <v>46058</v>
      </c>
      <c r="AJ427" s="61">
        <v>0.59289351851851857</v>
      </c>
      <c r="AK427" t="s">
        <v>5347</v>
      </c>
      <c r="AL427" t="s">
        <v>2843</v>
      </c>
      <c r="AN427" t="s">
        <v>2829</v>
      </c>
      <c r="AP427" t="s">
        <v>2590</v>
      </c>
      <c r="AR427" s="31">
        <v>46048</v>
      </c>
      <c r="AX427">
        <v>1</v>
      </c>
    </row>
    <row r="428" spans="1:50" x14ac:dyDescent="0.3">
      <c r="A428" t="s">
        <v>44</v>
      </c>
      <c r="B428">
        <v>888</v>
      </c>
      <c r="D428">
        <v>3209</v>
      </c>
      <c r="G428" t="s">
        <v>5670</v>
      </c>
      <c r="J428" t="s">
        <v>5671</v>
      </c>
      <c r="K428" t="s">
        <v>3018</v>
      </c>
      <c r="M428" t="s">
        <v>2636</v>
      </c>
      <c r="V428" t="s">
        <v>5650</v>
      </c>
      <c r="W428" t="s">
        <v>780</v>
      </c>
      <c r="X428" t="s">
        <v>857</v>
      </c>
      <c r="Z428" s="31"/>
      <c r="AA428">
        <v>1600</v>
      </c>
      <c r="AB428">
        <v>252471</v>
      </c>
      <c r="AC428">
        <v>6</v>
      </c>
      <c r="AD428" t="s">
        <v>44</v>
      </c>
      <c r="AE428" s="31">
        <v>46052</v>
      </c>
      <c r="AF428" s="61">
        <v>0.67311342592592593</v>
      </c>
      <c r="AH428" t="s">
        <v>795</v>
      </c>
      <c r="AI428" s="31">
        <v>46058</v>
      </c>
      <c r="AJ428" s="61">
        <v>0.51517361111111115</v>
      </c>
      <c r="AK428" t="s">
        <v>934</v>
      </c>
      <c r="AL428" t="s">
        <v>5672</v>
      </c>
      <c r="AN428" t="s">
        <v>2591</v>
      </c>
      <c r="AP428" t="s">
        <v>2591</v>
      </c>
      <c r="AR428" s="31">
        <v>46051</v>
      </c>
      <c r="AX428">
        <v>1</v>
      </c>
    </row>
    <row r="429" spans="1:50" x14ac:dyDescent="0.3">
      <c r="A429" t="s">
        <v>44</v>
      </c>
      <c r="B429">
        <v>889</v>
      </c>
      <c r="D429">
        <v>3210</v>
      </c>
      <c r="E429" t="s">
        <v>5661</v>
      </c>
      <c r="G429" t="s">
        <v>3020</v>
      </c>
      <c r="J429" t="s">
        <v>3021</v>
      </c>
      <c r="K429" t="s">
        <v>2943</v>
      </c>
      <c r="M429" t="s">
        <v>2944</v>
      </c>
      <c r="V429" t="s">
        <v>5628</v>
      </c>
      <c r="W429" t="s">
        <v>780</v>
      </c>
      <c r="X429" t="s">
        <v>793</v>
      </c>
      <c r="Z429" s="31"/>
      <c r="AA429">
        <v>1600</v>
      </c>
      <c r="AB429">
        <v>252471</v>
      </c>
      <c r="AC429">
        <v>20</v>
      </c>
      <c r="AD429" t="s">
        <v>44</v>
      </c>
      <c r="AE429" s="31">
        <v>46052</v>
      </c>
      <c r="AF429" s="61">
        <v>0.69487268518518519</v>
      </c>
      <c r="AH429" t="s">
        <v>795</v>
      </c>
      <c r="AI429" s="31">
        <v>46072</v>
      </c>
      <c r="AJ429" s="61">
        <v>0.69290509259259259</v>
      </c>
      <c r="AK429" t="s">
        <v>934</v>
      </c>
      <c r="AL429" t="s">
        <v>5661</v>
      </c>
      <c r="AN429" t="s">
        <v>2889</v>
      </c>
      <c r="AO429" t="s">
        <v>44</v>
      </c>
      <c r="AP429" t="s">
        <v>2889</v>
      </c>
      <c r="AR429" s="31">
        <v>46072</v>
      </c>
      <c r="AS429">
        <v>30</v>
      </c>
      <c r="AX429">
        <v>1</v>
      </c>
    </row>
    <row r="430" spans="1:50" x14ac:dyDescent="0.3">
      <c r="A430" t="s">
        <v>44</v>
      </c>
      <c r="B430">
        <v>890</v>
      </c>
      <c r="D430">
        <v>3190</v>
      </c>
      <c r="E430" t="s">
        <v>3022</v>
      </c>
      <c r="G430" t="s">
        <v>3023</v>
      </c>
      <c r="H430">
        <v>747901000222</v>
      </c>
      <c r="J430" t="s">
        <v>3024</v>
      </c>
      <c r="K430" t="s">
        <v>3025</v>
      </c>
      <c r="M430" t="s">
        <v>3026</v>
      </c>
      <c r="S430" t="s">
        <v>2541</v>
      </c>
      <c r="V430" t="s">
        <v>5628</v>
      </c>
      <c r="W430" t="s">
        <v>780</v>
      </c>
      <c r="X430" t="s">
        <v>857</v>
      </c>
      <c r="Z430" s="31">
        <v>46081</v>
      </c>
      <c r="AC430">
        <v>99</v>
      </c>
      <c r="AD430" t="s">
        <v>22</v>
      </c>
      <c r="AE430" s="31">
        <v>46052</v>
      </c>
      <c r="AF430" s="61">
        <v>0.70134259259259257</v>
      </c>
      <c r="AH430" t="s">
        <v>795</v>
      </c>
      <c r="AI430" s="31">
        <v>46151</v>
      </c>
      <c r="AJ430" s="61">
        <v>0.3573263888888889</v>
      </c>
      <c r="AK430" t="s">
        <v>5657</v>
      </c>
      <c r="AO430" t="s">
        <v>44</v>
      </c>
      <c r="AR430" s="31">
        <v>46090</v>
      </c>
      <c r="AS430">
        <v>30</v>
      </c>
      <c r="AX430">
        <v>1</v>
      </c>
    </row>
    <row r="431" spans="1:50" x14ac:dyDescent="0.3">
      <c r="A431" t="s">
        <v>31</v>
      </c>
      <c r="B431">
        <v>891</v>
      </c>
      <c r="D431">
        <v>3191</v>
      </c>
      <c r="E431" t="s">
        <v>3027</v>
      </c>
      <c r="G431" t="s">
        <v>3028</v>
      </c>
      <c r="J431" t="s">
        <v>3029</v>
      </c>
      <c r="K431" t="s">
        <v>3030</v>
      </c>
      <c r="M431" t="s">
        <v>3031</v>
      </c>
      <c r="S431" t="s">
        <v>2541</v>
      </c>
      <c r="V431" t="s">
        <v>5628</v>
      </c>
      <c r="W431" t="s">
        <v>780</v>
      </c>
      <c r="X431" t="s">
        <v>793</v>
      </c>
      <c r="Z431" s="31">
        <v>46081</v>
      </c>
      <c r="AC431">
        <v>26</v>
      </c>
      <c r="AD431" t="s">
        <v>22</v>
      </c>
      <c r="AE431" s="31">
        <v>46052</v>
      </c>
      <c r="AF431" s="61">
        <v>0.70265046296296296</v>
      </c>
      <c r="AH431" t="s">
        <v>795</v>
      </c>
      <c r="AI431" s="31">
        <v>46078</v>
      </c>
      <c r="AJ431" s="61">
        <v>0.43755787037037042</v>
      </c>
      <c r="AK431" t="s">
        <v>808</v>
      </c>
      <c r="AO431" t="s">
        <v>31</v>
      </c>
      <c r="AR431" s="31">
        <v>46071</v>
      </c>
      <c r="AS431">
        <v>30</v>
      </c>
      <c r="AX431">
        <v>1</v>
      </c>
    </row>
    <row r="432" spans="1:50" x14ac:dyDescent="0.3">
      <c r="A432" t="s">
        <v>44</v>
      </c>
      <c r="B432">
        <v>892</v>
      </c>
      <c r="D432">
        <v>3196</v>
      </c>
      <c r="E432" t="s">
        <v>5673</v>
      </c>
      <c r="G432" t="s">
        <v>397</v>
      </c>
      <c r="H432">
        <v>54888350000165</v>
      </c>
      <c r="J432" t="s">
        <v>3033</v>
      </c>
      <c r="K432" t="s">
        <v>3034</v>
      </c>
      <c r="M432" t="s">
        <v>3035</v>
      </c>
      <c r="S432" t="s">
        <v>2541</v>
      </c>
      <c r="V432" t="s">
        <v>5628</v>
      </c>
      <c r="W432" t="s">
        <v>780</v>
      </c>
      <c r="X432" t="s">
        <v>807</v>
      </c>
      <c r="Z432" s="31">
        <v>46112</v>
      </c>
      <c r="AA432">
        <v>1148572</v>
      </c>
      <c r="AB432">
        <v>71924</v>
      </c>
      <c r="AC432">
        <v>99</v>
      </c>
      <c r="AD432" t="s">
        <v>22</v>
      </c>
      <c r="AE432" s="31">
        <v>46052</v>
      </c>
      <c r="AF432" s="61">
        <v>0.70391203703703709</v>
      </c>
      <c r="AH432" t="s">
        <v>795</v>
      </c>
      <c r="AI432" s="31">
        <v>46151</v>
      </c>
      <c r="AJ432" s="61">
        <v>0.35458333333333331</v>
      </c>
      <c r="AK432" t="s">
        <v>934</v>
      </c>
      <c r="AN432" t="s">
        <v>4748</v>
      </c>
      <c r="AO432" t="s">
        <v>44</v>
      </c>
      <c r="AP432" t="s">
        <v>4748</v>
      </c>
      <c r="AR432" s="31">
        <v>46097</v>
      </c>
      <c r="AS432">
        <v>30</v>
      </c>
      <c r="AX432">
        <v>1</v>
      </c>
    </row>
    <row r="433" spans="1:50" x14ac:dyDescent="0.3">
      <c r="A433" t="s">
        <v>22</v>
      </c>
      <c r="B433">
        <v>893</v>
      </c>
      <c r="D433">
        <v>3203</v>
      </c>
      <c r="E433" t="s">
        <v>4749</v>
      </c>
      <c r="G433" t="s">
        <v>3037</v>
      </c>
      <c r="H433">
        <v>10258712000169</v>
      </c>
      <c r="J433" t="s">
        <v>3038</v>
      </c>
      <c r="K433" t="s">
        <v>3039</v>
      </c>
      <c r="M433" t="s">
        <v>3040</v>
      </c>
      <c r="Q433" t="s">
        <v>923</v>
      </c>
      <c r="S433" t="s">
        <v>814</v>
      </c>
      <c r="V433" t="s">
        <v>5674</v>
      </c>
      <c r="W433" t="s">
        <v>780</v>
      </c>
      <c r="X433" t="s">
        <v>816</v>
      </c>
      <c r="Z433" s="31">
        <v>46112</v>
      </c>
      <c r="AA433">
        <v>1301786</v>
      </c>
      <c r="AB433">
        <v>2713706</v>
      </c>
      <c r="AC433">
        <v>70</v>
      </c>
      <c r="AD433" t="s">
        <v>22</v>
      </c>
      <c r="AE433" s="31">
        <v>46052</v>
      </c>
      <c r="AF433" s="61">
        <v>0.7107175925925926</v>
      </c>
      <c r="AH433" t="s">
        <v>795</v>
      </c>
      <c r="AI433" s="31">
        <v>46122</v>
      </c>
      <c r="AJ433" s="61">
        <v>0.66462962962962968</v>
      </c>
      <c r="AK433" t="s">
        <v>858</v>
      </c>
      <c r="AN433" t="s">
        <v>395</v>
      </c>
      <c r="AO433" t="s">
        <v>22</v>
      </c>
      <c r="AP433" t="s">
        <v>395</v>
      </c>
      <c r="AR433" s="31">
        <v>46101</v>
      </c>
      <c r="AS433">
        <v>30</v>
      </c>
      <c r="AU433" t="s">
        <v>4751</v>
      </c>
      <c r="AX433">
        <v>1</v>
      </c>
    </row>
    <row r="434" spans="1:50" x14ac:dyDescent="0.3">
      <c r="A434" t="s">
        <v>22</v>
      </c>
      <c r="B434">
        <v>894</v>
      </c>
      <c r="D434">
        <v>3204</v>
      </c>
      <c r="E434" t="s">
        <v>4752</v>
      </c>
      <c r="G434" t="s">
        <v>3042</v>
      </c>
      <c r="J434" t="s">
        <v>3043</v>
      </c>
      <c r="K434" t="s">
        <v>3044</v>
      </c>
      <c r="M434" t="s">
        <v>3045</v>
      </c>
      <c r="S434" t="s">
        <v>2541</v>
      </c>
      <c r="V434" t="s">
        <v>5628</v>
      </c>
      <c r="W434" t="s">
        <v>780</v>
      </c>
      <c r="X434" t="s">
        <v>781</v>
      </c>
      <c r="Z434" s="31">
        <v>46081</v>
      </c>
      <c r="AC434">
        <v>27</v>
      </c>
      <c r="AD434" t="s">
        <v>22</v>
      </c>
      <c r="AE434" s="31">
        <v>46052</v>
      </c>
      <c r="AF434" s="61">
        <v>0.71299768518518514</v>
      </c>
      <c r="AH434" t="s">
        <v>795</v>
      </c>
      <c r="AI434" s="31">
        <v>46079</v>
      </c>
      <c r="AJ434" s="61">
        <v>0.77196759259259262</v>
      </c>
      <c r="AK434" t="s">
        <v>5353</v>
      </c>
      <c r="AL434" t="s">
        <v>4752</v>
      </c>
      <c r="AO434" t="s">
        <v>22</v>
      </c>
      <c r="AR434" s="31">
        <v>46079</v>
      </c>
      <c r="AS434">
        <v>30</v>
      </c>
      <c r="AU434" t="s">
        <v>47</v>
      </c>
      <c r="AX434">
        <v>1</v>
      </c>
    </row>
    <row r="435" spans="1:50" x14ac:dyDescent="0.3">
      <c r="A435" t="s">
        <v>31</v>
      </c>
      <c r="B435">
        <v>895</v>
      </c>
      <c r="D435">
        <v>3201</v>
      </c>
      <c r="E435" t="s">
        <v>5675</v>
      </c>
      <c r="F435" t="s">
        <v>3046</v>
      </c>
      <c r="G435" t="s">
        <v>3047</v>
      </c>
      <c r="H435">
        <v>28229707000193</v>
      </c>
      <c r="J435" t="s">
        <v>3046</v>
      </c>
      <c r="K435" t="s">
        <v>3048</v>
      </c>
      <c r="M435" t="s">
        <v>3049</v>
      </c>
      <c r="Q435" t="s">
        <v>1837</v>
      </c>
      <c r="R435" t="s">
        <v>790</v>
      </c>
      <c r="S435" t="s">
        <v>805</v>
      </c>
      <c r="V435" t="s">
        <v>2859</v>
      </c>
      <c r="W435" t="s">
        <v>780</v>
      </c>
      <c r="X435" t="s">
        <v>857</v>
      </c>
      <c r="Z435" s="31">
        <v>46142</v>
      </c>
      <c r="AC435">
        <v>64</v>
      </c>
      <c r="AD435" t="s">
        <v>31</v>
      </c>
      <c r="AE435" s="31">
        <v>46055</v>
      </c>
      <c r="AF435" s="61">
        <v>0.40783564814814821</v>
      </c>
      <c r="AH435" t="s">
        <v>795</v>
      </c>
      <c r="AI435" s="31">
        <v>46119</v>
      </c>
      <c r="AJ435" s="61">
        <v>0.45613425925925932</v>
      </c>
      <c r="AK435" t="s">
        <v>858</v>
      </c>
      <c r="AO435" t="s">
        <v>31</v>
      </c>
      <c r="AP435" t="s">
        <v>403</v>
      </c>
      <c r="AR435" s="31">
        <v>46070</v>
      </c>
      <c r="AS435">
        <v>30</v>
      </c>
      <c r="AU435" t="s">
        <v>3050</v>
      </c>
      <c r="AX435">
        <v>1</v>
      </c>
    </row>
    <row r="436" spans="1:50" x14ac:dyDescent="0.3">
      <c r="A436" t="s">
        <v>31</v>
      </c>
      <c r="B436">
        <v>901</v>
      </c>
      <c r="D436">
        <v>3218</v>
      </c>
      <c r="E436" t="s">
        <v>3051</v>
      </c>
      <c r="G436" t="s">
        <v>3052</v>
      </c>
      <c r="J436" t="s">
        <v>3053</v>
      </c>
      <c r="K436" t="s">
        <v>3054</v>
      </c>
      <c r="M436" t="s">
        <v>3055</v>
      </c>
      <c r="S436" t="s">
        <v>2541</v>
      </c>
      <c r="V436" t="s">
        <v>5637</v>
      </c>
      <c r="W436" t="s">
        <v>780</v>
      </c>
      <c r="X436" t="s">
        <v>897</v>
      </c>
      <c r="Z436" s="31">
        <v>46081</v>
      </c>
      <c r="AC436">
        <v>2</v>
      </c>
      <c r="AD436" t="s">
        <v>22</v>
      </c>
      <c r="AE436" s="31">
        <v>46058</v>
      </c>
      <c r="AF436" s="61">
        <v>0.35667824074074073</v>
      </c>
      <c r="AH436" t="s">
        <v>795</v>
      </c>
      <c r="AI436" s="31">
        <v>46060</v>
      </c>
      <c r="AJ436" s="61">
        <v>0.89652777777777781</v>
      </c>
      <c r="AK436" t="s">
        <v>5392</v>
      </c>
      <c r="AO436" t="s">
        <v>31</v>
      </c>
      <c r="AR436" s="31"/>
      <c r="AS436">
        <v>30</v>
      </c>
      <c r="AX436">
        <v>1</v>
      </c>
    </row>
    <row r="437" spans="1:50" x14ac:dyDescent="0.3">
      <c r="A437" t="s">
        <v>44</v>
      </c>
      <c r="B437">
        <v>902</v>
      </c>
      <c r="D437">
        <v>3211</v>
      </c>
      <c r="G437" t="s">
        <v>3056</v>
      </c>
      <c r="H437">
        <v>7324070000144</v>
      </c>
      <c r="J437" t="s">
        <v>3057</v>
      </c>
      <c r="K437" t="s">
        <v>3058</v>
      </c>
      <c r="M437" t="s">
        <v>3059</v>
      </c>
      <c r="Q437" t="s">
        <v>2812</v>
      </c>
      <c r="R437" t="s">
        <v>1067</v>
      </c>
      <c r="S437" t="s">
        <v>2541</v>
      </c>
      <c r="V437" t="s">
        <v>5628</v>
      </c>
      <c r="W437" t="s">
        <v>780</v>
      </c>
      <c r="X437" t="s">
        <v>897</v>
      </c>
      <c r="Z437" s="31">
        <v>46081</v>
      </c>
      <c r="AC437">
        <v>93</v>
      </c>
      <c r="AD437" t="s">
        <v>22</v>
      </c>
      <c r="AE437" s="31">
        <v>46058</v>
      </c>
      <c r="AF437" s="61">
        <v>0.35793981481481479</v>
      </c>
      <c r="AH437" t="s">
        <v>795</v>
      </c>
      <c r="AI437" s="31">
        <v>46151</v>
      </c>
      <c r="AJ437" s="61">
        <v>0.32331018518518517</v>
      </c>
      <c r="AK437" t="s">
        <v>5657</v>
      </c>
      <c r="AO437" t="s">
        <v>44</v>
      </c>
      <c r="AR437" s="31">
        <v>46072</v>
      </c>
      <c r="AS437">
        <v>30</v>
      </c>
      <c r="AX437">
        <v>1</v>
      </c>
    </row>
    <row r="438" spans="1:50" x14ac:dyDescent="0.3">
      <c r="A438" t="s">
        <v>22</v>
      </c>
      <c r="B438">
        <v>903</v>
      </c>
      <c r="D438">
        <v>3217</v>
      </c>
      <c r="E438" t="s">
        <v>3060</v>
      </c>
      <c r="G438" t="s">
        <v>3061</v>
      </c>
      <c r="J438" t="s">
        <v>3062</v>
      </c>
      <c r="K438" t="s">
        <v>3063</v>
      </c>
      <c r="M438" t="s">
        <v>3064</v>
      </c>
      <c r="S438" t="s">
        <v>2541</v>
      </c>
      <c r="V438" t="s">
        <v>5628</v>
      </c>
      <c r="W438" t="s">
        <v>780</v>
      </c>
      <c r="X438" t="s">
        <v>897</v>
      </c>
      <c r="Z438" s="31">
        <v>46081</v>
      </c>
      <c r="AC438">
        <v>93</v>
      </c>
      <c r="AD438" t="s">
        <v>22</v>
      </c>
      <c r="AE438" s="31">
        <v>46058</v>
      </c>
      <c r="AF438" s="61">
        <v>0.36140046296296302</v>
      </c>
      <c r="AH438" t="s">
        <v>795</v>
      </c>
      <c r="AI438" s="31">
        <v>46151</v>
      </c>
      <c r="AJ438" s="61">
        <v>0.32425925925925919</v>
      </c>
      <c r="AK438" t="s">
        <v>5657</v>
      </c>
      <c r="AO438" t="s">
        <v>22</v>
      </c>
      <c r="AR438" s="31"/>
      <c r="AS438">
        <v>30</v>
      </c>
      <c r="AX438">
        <v>1</v>
      </c>
    </row>
    <row r="439" spans="1:50" x14ac:dyDescent="0.3">
      <c r="A439" t="s">
        <v>22</v>
      </c>
      <c r="B439">
        <v>906</v>
      </c>
      <c r="D439">
        <v>3226</v>
      </c>
      <c r="E439" t="s">
        <v>5676</v>
      </c>
      <c r="G439" t="s">
        <v>3065</v>
      </c>
      <c r="J439" t="s">
        <v>3066</v>
      </c>
      <c r="K439" t="s">
        <v>3067</v>
      </c>
      <c r="M439" t="s">
        <v>3068</v>
      </c>
      <c r="S439" t="s">
        <v>2541</v>
      </c>
      <c r="V439" t="s">
        <v>5628</v>
      </c>
      <c r="W439" t="s">
        <v>780</v>
      </c>
      <c r="X439" t="s">
        <v>857</v>
      </c>
      <c r="Z439" s="31">
        <v>46081</v>
      </c>
      <c r="AC439">
        <v>24</v>
      </c>
      <c r="AD439" t="s">
        <v>22</v>
      </c>
      <c r="AE439" s="31">
        <v>46060</v>
      </c>
      <c r="AF439" s="61">
        <v>0.29451388888888891</v>
      </c>
      <c r="AH439" t="s">
        <v>795</v>
      </c>
      <c r="AI439" s="31">
        <v>46084</v>
      </c>
      <c r="AJ439" s="61">
        <v>0.89817129629629633</v>
      </c>
      <c r="AK439" t="s">
        <v>5392</v>
      </c>
      <c r="AO439" t="s">
        <v>22</v>
      </c>
      <c r="AR439" s="31"/>
      <c r="AS439">
        <v>30</v>
      </c>
      <c r="AU439" t="s">
        <v>321</v>
      </c>
      <c r="AX439">
        <v>1</v>
      </c>
    </row>
    <row r="440" spans="1:50" x14ac:dyDescent="0.3">
      <c r="A440" t="s">
        <v>22</v>
      </c>
      <c r="B440">
        <v>907</v>
      </c>
      <c r="D440">
        <v>3222</v>
      </c>
      <c r="E440" t="s">
        <v>3069</v>
      </c>
      <c r="G440" t="s">
        <v>3070</v>
      </c>
      <c r="J440" t="s">
        <v>3071</v>
      </c>
      <c r="K440" t="s">
        <v>3072</v>
      </c>
      <c r="M440" t="s">
        <v>3073</v>
      </c>
      <c r="Q440" t="s">
        <v>923</v>
      </c>
      <c r="S440" t="s">
        <v>814</v>
      </c>
      <c r="V440" t="s">
        <v>5598</v>
      </c>
      <c r="W440" t="s">
        <v>780</v>
      </c>
      <c r="X440" t="s">
        <v>857</v>
      </c>
      <c r="Z440" s="31">
        <v>46081</v>
      </c>
      <c r="AC440">
        <v>12</v>
      </c>
      <c r="AD440" t="s">
        <v>22</v>
      </c>
      <c r="AE440" s="31">
        <v>46060</v>
      </c>
      <c r="AF440" s="61">
        <v>0.30134259259259261</v>
      </c>
      <c r="AH440" t="s">
        <v>795</v>
      </c>
      <c r="AI440" s="31">
        <v>46072</v>
      </c>
      <c r="AJ440" s="61">
        <v>0.72991898148148149</v>
      </c>
      <c r="AK440" t="s">
        <v>5338</v>
      </c>
      <c r="AL440" t="s">
        <v>4756</v>
      </c>
      <c r="AO440" t="s">
        <v>22</v>
      </c>
      <c r="AP440" t="s">
        <v>405</v>
      </c>
      <c r="AR440" s="31"/>
      <c r="AS440">
        <v>30</v>
      </c>
      <c r="AX440">
        <v>1</v>
      </c>
    </row>
    <row r="441" spans="1:50" x14ac:dyDescent="0.3">
      <c r="A441" t="s">
        <v>22</v>
      </c>
      <c r="B441">
        <v>908</v>
      </c>
      <c r="D441">
        <v>3228</v>
      </c>
      <c r="E441" t="s">
        <v>3074</v>
      </c>
      <c r="G441" t="s">
        <v>445</v>
      </c>
      <c r="J441" t="s">
        <v>3075</v>
      </c>
      <c r="K441" t="s">
        <v>3076</v>
      </c>
      <c r="M441" t="s">
        <v>1111</v>
      </c>
      <c r="S441" t="s">
        <v>933</v>
      </c>
      <c r="V441" t="s">
        <v>1419</v>
      </c>
      <c r="W441" t="s">
        <v>780</v>
      </c>
      <c r="X441" t="s">
        <v>807</v>
      </c>
      <c r="Z441" s="31">
        <v>46081</v>
      </c>
      <c r="AA441">
        <v>987029</v>
      </c>
      <c r="AB441">
        <v>1228454</v>
      </c>
      <c r="AC441">
        <v>19</v>
      </c>
      <c r="AD441" t="s">
        <v>22</v>
      </c>
      <c r="AE441" s="31">
        <v>46060</v>
      </c>
      <c r="AF441" s="61">
        <v>0.41621527777777778</v>
      </c>
      <c r="AH441" t="s">
        <v>818</v>
      </c>
      <c r="AI441" s="31">
        <v>46079</v>
      </c>
      <c r="AJ441" s="61">
        <v>0.91343750000000001</v>
      </c>
      <c r="AN441" t="s">
        <v>384</v>
      </c>
      <c r="AO441" t="s">
        <v>22</v>
      </c>
      <c r="AP441" t="s">
        <v>384</v>
      </c>
      <c r="AR441" s="31">
        <v>46079</v>
      </c>
      <c r="AS441">
        <v>50</v>
      </c>
      <c r="AT441" t="s">
        <v>2912</v>
      </c>
      <c r="AU441" t="s">
        <v>2913</v>
      </c>
      <c r="AV441" t="s">
        <v>3077</v>
      </c>
      <c r="AW441" t="s">
        <v>3078</v>
      </c>
      <c r="AX441">
        <v>1</v>
      </c>
    </row>
    <row r="442" spans="1:50" x14ac:dyDescent="0.3">
      <c r="A442" t="s">
        <v>22</v>
      </c>
      <c r="B442">
        <v>909</v>
      </c>
      <c r="D442">
        <v>3229</v>
      </c>
      <c r="E442" t="s">
        <v>5677</v>
      </c>
      <c r="G442" t="s">
        <v>451</v>
      </c>
      <c r="J442" t="s">
        <v>3080</v>
      </c>
      <c r="K442" t="s">
        <v>3081</v>
      </c>
      <c r="M442" t="s">
        <v>1111</v>
      </c>
      <c r="V442" t="s">
        <v>1419</v>
      </c>
      <c r="W442" t="s">
        <v>780</v>
      </c>
      <c r="X442" t="s">
        <v>816</v>
      </c>
      <c r="Z442" s="31">
        <v>46081</v>
      </c>
      <c r="AA442">
        <v>7470289</v>
      </c>
      <c r="AB442">
        <v>1038848</v>
      </c>
      <c r="AC442">
        <v>19</v>
      </c>
      <c r="AD442" t="s">
        <v>22</v>
      </c>
      <c r="AE442" s="31">
        <v>46060</v>
      </c>
      <c r="AF442" s="61">
        <v>0.41700231481481481</v>
      </c>
      <c r="AH442" t="s">
        <v>818</v>
      </c>
      <c r="AI442" s="31">
        <v>46079</v>
      </c>
      <c r="AJ442" s="61">
        <v>0.90869212962962964</v>
      </c>
      <c r="AN442" t="s">
        <v>452</v>
      </c>
      <c r="AO442" t="s">
        <v>22</v>
      </c>
      <c r="AP442" t="s">
        <v>452</v>
      </c>
      <c r="AR442" s="31">
        <v>46079</v>
      </c>
      <c r="AS442">
        <v>50</v>
      </c>
      <c r="AT442" t="s">
        <v>3082</v>
      </c>
      <c r="AU442" t="s">
        <v>2913</v>
      </c>
      <c r="AV442" t="s">
        <v>2914</v>
      </c>
      <c r="AW442" t="s">
        <v>3083</v>
      </c>
      <c r="AX442">
        <v>1</v>
      </c>
    </row>
    <row r="443" spans="1:50" x14ac:dyDescent="0.3">
      <c r="A443" t="s">
        <v>44</v>
      </c>
      <c r="B443">
        <v>912</v>
      </c>
      <c r="D443">
        <v>3248</v>
      </c>
      <c r="E443" t="s">
        <v>4757</v>
      </c>
      <c r="F443" t="s">
        <v>3085</v>
      </c>
      <c r="G443" t="s">
        <v>227</v>
      </c>
      <c r="H443">
        <v>12391174000101</v>
      </c>
      <c r="J443" t="s">
        <v>3085</v>
      </c>
      <c r="K443" t="s">
        <v>3087</v>
      </c>
      <c r="M443" t="s">
        <v>3088</v>
      </c>
      <c r="Q443" t="s">
        <v>3089</v>
      </c>
      <c r="R443" t="s">
        <v>932</v>
      </c>
      <c r="S443" t="s">
        <v>805</v>
      </c>
      <c r="W443" t="s">
        <v>780</v>
      </c>
      <c r="X443" t="s">
        <v>793</v>
      </c>
      <c r="Z443" s="31">
        <v>46173</v>
      </c>
      <c r="AA443">
        <v>748805</v>
      </c>
      <c r="AB443">
        <v>53071</v>
      </c>
      <c r="AC443">
        <v>92</v>
      </c>
      <c r="AD443" t="s">
        <v>44</v>
      </c>
      <c r="AE443" s="31">
        <v>46064</v>
      </c>
      <c r="AF443" s="61">
        <v>0.41652777777777777</v>
      </c>
      <c r="AH443" t="s">
        <v>795</v>
      </c>
      <c r="AI443" s="31">
        <v>46156</v>
      </c>
      <c r="AJ443" s="61">
        <v>0.61704861111111109</v>
      </c>
      <c r="AK443" t="s">
        <v>934</v>
      </c>
      <c r="AL443" t="s">
        <v>5678</v>
      </c>
      <c r="AN443" t="s">
        <v>5679</v>
      </c>
      <c r="AP443" t="s">
        <v>5680</v>
      </c>
      <c r="AQ443" t="s">
        <v>5679</v>
      </c>
      <c r="AR443" s="31">
        <v>46156</v>
      </c>
      <c r="AS443">
        <v>50</v>
      </c>
      <c r="AX443">
        <v>1</v>
      </c>
    </row>
    <row r="444" spans="1:50" x14ac:dyDescent="0.3">
      <c r="A444" t="s">
        <v>44</v>
      </c>
      <c r="B444">
        <v>915</v>
      </c>
      <c r="D444">
        <v>3253</v>
      </c>
      <c r="E444" t="s">
        <v>5681</v>
      </c>
      <c r="G444" t="s">
        <v>402</v>
      </c>
      <c r="J444" t="s">
        <v>3091</v>
      </c>
      <c r="K444" t="s">
        <v>1325</v>
      </c>
      <c r="M444" t="s">
        <v>1326</v>
      </c>
      <c r="V444" t="s">
        <v>1718</v>
      </c>
      <c r="W444" t="s">
        <v>780</v>
      </c>
      <c r="X444" t="s">
        <v>793</v>
      </c>
      <c r="Z444" s="31">
        <v>46142</v>
      </c>
      <c r="AA444">
        <v>10240</v>
      </c>
      <c r="AB444">
        <v>2000</v>
      </c>
      <c r="AC444">
        <v>82</v>
      </c>
      <c r="AD444" t="s">
        <v>44</v>
      </c>
      <c r="AE444" s="31">
        <v>46064</v>
      </c>
      <c r="AF444" s="61">
        <v>0.43546296296296289</v>
      </c>
      <c r="AH444" t="s">
        <v>795</v>
      </c>
      <c r="AI444" s="31">
        <v>46146</v>
      </c>
      <c r="AJ444" s="61">
        <v>0.3744675925925926</v>
      </c>
      <c r="AK444" t="s">
        <v>5338</v>
      </c>
      <c r="AL444" t="s">
        <v>5682</v>
      </c>
      <c r="AN444" t="s">
        <v>403</v>
      </c>
      <c r="AP444" t="s">
        <v>403</v>
      </c>
      <c r="AR444" s="31">
        <v>46146</v>
      </c>
      <c r="AS444">
        <v>30</v>
      </c>
      <c r="AX444">
        <v>1</v>
      </c>
    </row>
    <row r="445" spans="1:50" x14ac:dyDescent="0.3">
      <c r="A445" t="s">
        <v>22</v>
      </c>
      <c r="B445">
        <v>919</v>
      </c>
      <c r="D445">
        <v>3227</v>
      </c>
      <c r="E445" t="s">
        <v>4758</v>
      </c>
      <c r="G445" t="s">
        <v>459</v>
      </c>
      <c r="J445" t="s">
        <v>5683</v>
      </c>
      <c r="K445" t="s">
        <v>3093</v>
      </c>
      <c r="M445" t="s">
        <v>3094</v>
      </c>
      <c r="S445" t="s">
        <v>2541</v>
      </c>
      <c r="V445" t="s">
        <v>5650</v>
      </c>
      <c r="W445" t="s">
        <v>780</v>
      </c>
      <c r="X445" t="s">
        <v>857</v>
      </c>
      <c r="Z445" s="31"/>
      <c r="AC445">
        <v>29</v>
      </c>
      <c r="AD445" t="s">
        <v>22</v>
      </c>
      <c r="AE445" s="31">
        <v>46064</v>
      </c>
      <c r="AF445" s="61">
        <v>0.4732986111111111</v>
      </c>
      <c r="AH445" t="s">
        <v>795</v>
      </c>
      <c r="AI445" s="31">
        <v>46093</v>
      </c>
      <c r="AJ445" s="61">
        <v>0.72518518518518515</v>
      </c>
      <c r="AK445" t="s">
        <v>5392</v>
      </c>
      <c r="AN445" t="s">
        <v>395</v>
      </c>
      <c r="AO445" t="s">
        <v>22</v>
      </c>
      <c r="AP445" t="s">
        <v>395</v>
      </c>
      <c r="AR445" s="31">
        <v>46112</v>
      </c>
      <c r="AS445">
        <v>30</v>
      </c>
      <c r="AU445" t="s">
        <v>47</v>
      </c>
      <c r="AX445">
        <v>1</v>
      </c>
    </row>
    <row r="446" spans="1:50" x14ac:dyDescent="0.3">
      <c r="A446" t="s">
        <v>31</v>
      </c>
      <c r="B446">
        <v>920</v>
      </c>
      <c r="D446">
        <v>3230</v>
      </c>
      <c r="E446" t="s">
        <v>3095</v>
      </c>
      <c r="G446" t="s">
        <v>379</v>
      </c>
      <c r="H446">
        <v>36377920000170</v>
      </c>
      <c r="J446" t="s">
        <v>3096</v>
      </c>
      <c r="K446" t="s">
        <v>4760</v>
      </c>
      <c r="M446" t="s">
        <v>3098</v>
      </c>
      <c r="Q446" t="s">
        <v>4761</v>
      </c>
      <c r="R446" t="s">
        <v>1105</v>
      </c>
      <c r="S446" t="s">
        <v>2541</v>
      </c>
      <c r="V446" t="s">
        <v>5650</v>
      </c>
      <c r="W446" t="s">
        <v>780</v>
      </c>
      <c r="X446" t="s">
        <v>793</v>
      </c>
      <c r="Z446" s="31">
        <v>46142</v>
      </c>
      <c r="AA446">
        <v>7784244</v>
      </c>
      <c r="AB446">
        <v>144748</v>
      </c>
      <c r="AC446">
        <v>14</v>
      </c>
      <c r="AD446" t="s">
        <v>22</v>
      </c>
      <c r="AE446" s="31">
        <v>46064</v>
      </c>
      <c r="AF446" s="61">
        <v>0.47391203703703699</v>
      </c>
      <c r="AH446" t="s">
        <v>795</v>
      </c>
      <c r="AI446" s="31">
        <v>46078</v>
      </c>
      <c r="AJ446" s="61">
        <v>0.43623842592592588</v>
      </c>
      <c r="AK446" t="s">
        <v>5347</v>
      </c>
      <c r="AN446" t="s">
        <v>380</v>
      </c>
      <c r="AO446" t="s">
        <v>31</v>
      </c>
      <c r="AP446" t="s">
        <v>4762</v>
      </c>
      <c r="AR446" s="31">
        <v>46077</v>
      </c>
      <c r="AS446">
        <v>30</v>
      </c>
      <c r="AU446" t="s">
        <v>321</v>
      </c>
      <c r="AX446">
        <v>1</v>
      </c>
    </row>
    <row r="447" spans="1:50" x14ac:dyDescent="0.3">
      <c r="A447" t="s">
        <v>22</v>
      </c>
      <c r="B447">
        <v>921</v>
      </c>
      <c r="D447">
        <v>3231</v>
      </c>
      <c r="E447" t="s">
        <v>4763</v>
      </c>
      <c r="G447" t="s">
        <v>3099</v>
      </c>
      <c r="J447" t="s">
        <v>3100</v>
      </c>
      <c r="K447" t="s">
        <v>3101</v>
      </c>
      <c r="M447" t="s">
        <v>3102</v>
      </c>
      <c r="S447" t="s">
        <v>2541</v>
      </c>
      <c r="V447" t="s">
        <v>5631</v>
      </c>
      <c r="W447" t="s">
        <v>780</v>
      </c>
      <c r="X447" t="s">
        <v>897</v>
      </c>
      <c r="Z447" s="31">
        <v>46081</v>
      </c>
      <c r="AC447">
        <v>16</v>
      </c>
      <c r="AD447" t="s">
        <v>22</v>
      </c>
      <c r="AE447" s="31">
        <v>46064</v>
      </c>
      <c r="AF447" s="61">
        <v>0.47487268518518522</v>
      </c>
      <c r="AH447" t="s">
        <v>795</v>
      </c>
      <c r="AI447" s="31">
        <v>46080</v>
      </c>
      <c r="AJ447" s="61">
        <v>0.89760416666666665</v>
      </c>
      <c r="AK447" t="s">
        <v>5392</v>
      </c>
      <c r="AO447" t="s">
        <v>22</v>
      </c>
      <c r="AR447" s="31">
        <v>46079</v>
      </c>
      <c r="AS447">
        <v>30</v>
      </c>
      <c r="AX447">
        <v>1</v>
      </c>
    </row>
    <row r="448" spans="1:50" x14ac:dyDescent="0.3">
      <c r="A448" t="s">
        <v>22</v>
      </c>
      <c r="B448">
        <v>922</v>
      </c>
      <c r="D448">
        <v>3232</v>
      </c>
      <c r="E448" t="s">
        <v>4764</v>
      </c>
      <c r="G448" t="s">
        <v>3103</v>
      </c>
      <c r="J448" t="s">
        <v>3104</v>
      </c>
      <c r="K448" t="s">
        <v>3105</v>
      </c>
      <c r="M448" t="s">
        <v>3106</v>
      </c>
      <c r="S448" t="s">
        <v>2541</v>
      </c>
      <c r="V448" t="s">
        <v>5650</v>
      </c>
      <c r="W448" t="s">
        <v>780</v>
      </c>
      <c r="X448" t="s">
        <v>857</v>
      </c>
      <c r="Z448" s="31">
        <v>46080</v>
      </c>
      <c r="AC448">
        <v>16</v>
      </c>
      <c r="AD448" t="s">
        <v>22</v>
      </c>
      <c r="AE448" s="31">
        <v>46064</v>
      </c>
      <c r="AF448" s="61">
        <v>0.47547453703703701</v>
      </c>
      <c r="AH448" t="s">
        <v>795</v>
      </c>
      <c r="AI448" s="31">
        <v>46080</v>
      </c>
      <c r="AJ448" s="61">
        <v>0.89387731481481481</v>
      </c>
      <c r="AK448" t="s">
        <v>5392</v>
      </c>
      <c r="AO448" t="s">
        <v>22</v>
      </c>
      <c r="AR448" s="31"/>
      <c r="AS448">
        <v>30</v>
      </c>
      <c r="AX448">
        <v>1</v>
      </c>
    </row>
    <row r="449" spans="1:50" x14ac:dyDescent="0.3">
      <c r="A449" t="s">
        <v>31</v>
      </c>
      <c r="B449">
        <v>923</v>
      </c>
      <c r="D449">
        <v>3236</v>
      </c>
      <c r="G449" t="s">
        <v>3107</v>
      </c>
      <c r="J449" t="s">
        <v>3108</v>
      </c>
      <c r="K449" t="s">
        <v>3109</v>
      </c>
      <c r="M449" t="s">
        <v>3110</v>
      </c>
      <c r="S449" t="s">
        <v>2541</v>
      </c>
      <c r="V449" t="s">
        <v>5650</v>
      </c>
      <c r="W449" t="s">
        <v>780</v>
      </c>
      <c r="X449" t="s">
        <v>897</v>
      </c>
      <c r="Z449" s="31">
        <v>46142</v>
      </c>
      <c r="AC449">
        <v>16</v>
      </c>
      <c r="AD449" t="s">
        <v>22</v>
      </c>
      <c r="AE449" s="31">
        <v>46064</v>
      </c>
      <c r="AF449" s="61">
        <v>0.47722222222222221</v>
      </c>
      <c r="AH449" t="s">
        <v>795</v>
      </c>
      <c r="AI449" s="31">
        <v>46080</v>
      </c>
      <c r="AJ449" s="61">
        <v>0.7245949074074074</v>
      </c>
      <c r="AK449" t="s">
        <v>5347</v>
      </c>
      <c r="AO449" t="s">
        <v>31</v>
      </c>
      <c r="AP449" t="s">
        <v>458</v>
      </c>
      <c r="AR449" s="31">
        <v>46078</v>
      </c>
      <c r="AS449">
        <v>30</v>
      </c>
      <c r="AU449" t="s">
        <v>4765</v>
      </c>
      <c r="AX449">
        <v>1</v>
      </c>
    </row>
    <row r="450" spans="1:50" x14ac:dyDescent="0.3">
      <c r="A450" t="s">
        <v>44</v>
      </c>
      <c r="B450">
        <v>924</v>
      </c>
      <c r="D450">
        <v>3238</v>
      </c>
      <c r="E450" t="s">
        <v>5684</v>
      </c>
      <c r="G450" t="s">
        <v>3112</v>
      </c>
      <c r="J450" t="s">
        <v>3112</v>
      </c>
      <c r="K450" t="s">
        <v>3113</v>
      </c>
      <c r="M450" t="s">
        <v>3114</v>
      </c>
      <c r="S450" t="s">
        <v>2541</v>
      </c>
      <c r="V450" t="s">
        <v>5631</v>
      </c>
      <c r="W450" t="s">
        <v>780</v>
      </c>
      <c r="X450" t="s">
        <v>897</v>
      </c>
      <c r="Z450" s="31"/>
      <c r="AC450">
        <v>15</v>
      </c>
      <c r="AD450" t="s">
        <v>22</v>
      </c>
      <c r="AE450" s="31">
        <v>46064</v>
      </c>
      <c r="AF450" s="61">
        <v>0.47901620370370368</v>
      </c>
      <c r="AH450" t="s">
        <v>795</v>
      </c>
      <c r="AI450" s="31">
        <v>46079</v>
      </c>
      <c r="AJ450" s="61">
        <v>0.9643518518518519</v>
      </c>
      <c r="AK450" t="s">
        <v>5392</v>
      </c>
      <c r="AR450" s="31">
        <v>46072</v>
      </c>
      <c r="AS450">
        <v>30</v>
      </c>
      <c r="AX450">
        <v>1</v>
      </c>
    </row>
    <row r="451" spans="1:50" x14ac:dyDescent="0.3">
      <c r="A451" t="s">
        <v>44</v>
      </c>
      <c r="B451">
        <v>925</v>
      </c>
      <c r="D451">
        <v>3244</v>
      </c>
      <c r="E451" t="s">
        <v>5685</v>
      </c>
      <c r="G451" t="s">
        <v>4768</v>
      </c>
      <c r="H451">
        <v>32534969000139</v>
      </c>
      <c r="J451" t="s">
        <v>3117</v>
      </c>
      <c r="K451" t="s">
        <v>3118</v>
      </c>
      <c r="M451" t="s">
        <v>3119</v>
      </c>
      <c r="R451" t="s">
        <v>3120</v>
      </c>
      <c r="S451" t="s">
        <v>1191</v>
      </c>
      <c r="V451" t="s">
        <v>5650</v>
      </c>
      <c r="W451" t="s">
        <v>780</v>
      </c>
      <c r="X451" t="s">
        <v>793</v>
      </c>
      <c r="Z451" s="31">
        <v>46142</v>
      </c>
      <c r="AA451">
        <v>16960</v>
      </c>
      <c r="AB451">
        <v>32775</v>
      </c>
      <c r="AC451">
        <v>41</v>
      </c>
      <c r="AD451" t="s">
        <v>22</v>
      </c>
      <c r="AE451" s="31">
        <v>46064</v>
      </c>
      <c r="AF451" s="61">
        <v>0.47952546296296289</v>
      </c>
      <c r="AH451" t="s">
        <v>795</v>
      </c>
      <c r="AI451" s="31">
        <v>46105</v>
      </c>
      <c r="AJ451" s="61">
        <v>0.66938657407407409</v>
      </c>
      <c r="AK451" t="s">
        <v>5338</v>
      </c>
      <c r="AL451" t="s">
        <v>5686</v>
      </c>
      <c r="AN451" t="s">
        <v>392</v>
      </c>
      <c r="AP451" t="s">
        <v>403</v>
      </c>
      <c r="AQ451" t="s">
        <v>4770</v>
      </c>
      <c r="AR451" s="31">
        <v>46090</v>
      </c>
      <c r="AS451">
        <v>30</v>
      </c>
      <c r="AX451">
        <v>1</v>
      </c>
    </row>
    <row r="452" spans="1:50" x14ac:dyDescent="0.3">
      <c r="A452" t="s">
        <v>44</v>
      </c>
      <c r="B452">
        <v>926</v>
      </c>
      <c r="D452">
        <v>3237</v>
      </c>
      <c r="E452" t="s">
        <v>3121</v>
      </c>
      <c r="G452" t="s">
        <v>3122</v>
      </c>
      <c r="J452" t="s">
        <v>3123</v>
      </c>
      <c r="K452" t="s">
        <v>3124</v>
      </c>
      <c r="M452" t="s">
        <v>3125</v>
      </c>
      <c r="S452" t="s">
        <v>2541</v>
      </c>
      <c r="V452" t="s">
        <v>5631</v>
      </c>
      <c r="W452" t="s">
        <v>780</v>
      </c>
      <c r="X452" t="s">
        <v>897</v>
      </c>
      <c r="Z452" s="31"/>
      <c r="AC452">
        <v>87</v>
      </c>
      <c r="AD452" t="s">
        <v>22</v>
      </c>
      <c r="AE452" s="31">
        <v>46064</v>
      </c>
      <c r="AF452" s="61">
        <v>0.48769675925925932</v>
      </c>
      <c r="AH452" t="s">
        <v>795</v>
      </c>
      <c r="AI452" s="31">
        <v>46151</v>
      </c>
      <c r="AJ452" s="61">
        <v>0.32484953703703712</v>
      </c>
      <c r="AK452" t="s">
        <v>5657</v>
      </c>
      <c r="AR452" s="31">
        <v>46072</v>
      </c>
      <c r="AS452">
        <v>30</v>
      </c>
      <c r="AX452">
        <v>1</v>
      </c>
    </row>
    <row r="453" spans="1:50" x14ac:dyDescent="0.3">
      <c r="A453" t="s">
        <v>31</v>
      </c>
      <c r="B453">
        <v>927</v>
      </c>
      <c r="D453">
        <v>3239</v>
      </c>
      <c r="E453" t="s">
        <v>3126</v>
      </c>
      <c r="G453" t="s">
        <v>3127</v>
      </c>
      <c r="J453" t="s">
        <v>3128</v>
      </c>
      <c r="K453" t="s">
        <v>3129</v>
      </c>
      <c r="M453" t="s">
        <v>3130</v>
      </c>
      <c r="S453" t="s">
        <v>2541</v>
      </c>
      <c r="V453" t="s">
        <v>5631</v>
      </c>
      <c r="W453" t="s">
        <v>780</v>
      </c>
      <c r="X453" t="s">
        <v>781</v>
      </c>
      <c r="Z453" s="31"/>
      <c r="AC453">
        <v>2</v>
      </c>
      <c r="AD453" t="s">
        <v>22</v>
      </c>
      <c r="AE453" s="31">
        <v>46064</v>
      </c>
      <c r="AF453" s="61">
        <v>0.48925925925925928</v>
      </c>
      <c r="AH453" t="s">
        <v>795</v>
      </c>
      <c r="AI453" s="31">
        <v>46066</v>
      </c>
      <c r="AJ453" s="61">
        <v>0.72755787037037034</v>
      </c>
      <c r="AK453" t="s">
        <v>5392</v>
      </c>
      <c r="AO453" t="s">
        <v>31</v>
      </c>
      <c r="AR453" s="31">
        <v>46066</v>
      </c>
      <c r="AS453">
        <v>30</v>
      </c>
      <c r="AX453">
        <v>1</v>
      </c>
    </row>
    <row r="454" spans="1:50" x14ac:dyDescent="0.3">
      <c r="A454" t="s">
        <v>44</v>
      </c>
      <c r="B454">
        <v>928</v>
      </c>
      <c r="D454">
        <v>3242</v>
      </c>
      <c r="E454" t="s">
        <v>5687</v>
      </c>
      <c r="G454" t="s">
        <v>2809</v>
      </c>
      <c r="H454">
        <v>9205460000120</v>
      </c>
      <c r="J454" t="s">
        <v>2810</v>
      </c>
      <c r="K454" t="s">
        <v>2811</v>
      </c>
      <c r="Q454" t="s">
        <v>2812</v>
      </c>
      <c r="R454" t="s">
        <v>1067</v>
      </c>
      <c r="S454" t="s">
        <v>1191</v>
      </c>
      <c r="V454" t="s">
        <v>5650</v>
      </c>
      <c r="W454" t="s">
        <v>780</v>
      </c>
      <c r="X454" t="s">
        <v>897</v>
      </c>
      <c r="Z454" s="31"/>
      <c r="AC454">
        <v>8</v>
      </c>
      <c r="AD454" t="s">
        <v>22</v>
      </c>
      <c r="AE454" s="31">
        <v>46064</v>
      </c>
      <c r="AF454" s="61">
        <v>0.49402777777777779</v>
      </c>
      <c r="AH454" t="s">
        <v>795</v>
      </c>
      <c r="AI454" s="31">
        <v>46072</v>
      </c>
      <c r="AJ454" s="61">
        <v>0.41185185185185191</v>
      </c>
      <c r="AK454" t="s">
        <v>5419</v>
      </c>
      <c r="AL454" t="s">
        <v>5688</v>
      </c>
      <c r="AR454" s="31">
        <v>46071</v>
      </c>
      <c r="AS454">
        <v>30</v>
      </c>
      <c r="AX454">
        <v>1</v>
      </c>
    </row>
    <row r="455" spans="1:50" x14ac:dyDescent="0.3">
      <c r="A455" t="s">
        <v>44</v>
      </c>
      <c r="B455">
        <v>929</v>
      </c>
      <c r="D455">
        <v>3235</v>
      </c>
      <c r="E455" t="s">
        <v>4772</v>
      </c>
      <c r="G455" t="s">
        <v>421</v>
      </c>
      <c r="J455" t="s">
        <v>3133</v>
      </c>
      <c r="K455" t="s">
        <v>3134</v>
      </c>
      <c r="M455" t="s">
        <v>3135</v>
      </c>
      <c r="Q455" t="s">
        <v>1765</v>
      </c>
      <c r="S455" t="s">
        <v>814</v>
      </c>
      <c r="V455" t="s">
        <v>1186</v>
      </c>
      <c r="W455" t="s">
        <v>780</v>
      </c>
      <c r="X455" t="s">
        <v>807</v>
      </c>
      <c r="Z455" s="31"/>
      <c r="AA455">
        <v>41040</v>
      </c>
      <c r="AB455">
        <v>384858</v>
      </c>
      <c r="AC455">
        <v>29</v>
      </c>
      <c r="AD455" t="s">
        <v>22</v>
      </c>
      <c r="AE455" s="31">
        <v>46064</v>
      </c>
      <c r="AF455" s="61">
        <v>0.49530092592592601</v>
      </c>
      <c r="AH455" t="s">
        <v>795</v>
      </c>
      <c r="AI455" s="31">
        <v>46093</v>
      </c>
      <c r="AJ455" s="61">
        <v>0.59311342592592597</v>
      </c>
      <c r="AK455" t="s">
        <v>858</v>
      </c>
      <c r="AL455" t="s">
        <v>4772</v>
      </c>
      <c r="AN455" t="s">
        <v>393</v>
      </c>
      <c r="AP455" t="s">
        <v>420</v>
      </c>
      <c r="AQ455" t="s">
        <v>480</v>
      </c>
      <c r="AR455" s="31">
        <v>46093</v>
      </c>
      <c r="AS455">
        <v>30</v>
      </c>
      <c r="AX455">
        <v>1</v>
      </c>
    </row>
    <row r="456" spans="1:50" x14ac:dyDescent="0.3">
      <c r="A456" t="s">
        <v>31</v>
      </c>
      <c r="B456">
        <v>930</v>
      </c>
      <c r="D456">
        <v>3243</v>
      </c>
      <c r="E456" t="s">
        <v>5689</v>
      </c>
      <c r="G456" t="s">
        <v>3137</v>
      </c>
      <c r="H456">
        <v>14590342000113</v>
      </c>
      <c r="J456" t="s">
        <v>3138</v>
      </c>
      <c r="K456" t="s">
        <v>3139</v>
      </c>
      <c r="M456" t="s">
        <v>3140</v>
      </c>
      <c r="Q456" t="s">
        <v>3141</v>
      </c>
      <c r="S456" t="s">
        <v>814</v>
      </c>
      <c r="V456" t="s">
        <v>2842</v>
      </c>
      <c r="W456" t="s">
        <v>780</v>
      </c>
      <c r="X456" t="s">
        <v>793</v>
      </c>
      <c r="Z456" s="31"/>
      <c r="AC456">
        <v>47</v>
      </c>
      <c r="AD456" t="s">
        <v>22</v>
      </c>
      <c r="AE456" s="31">
        <v>46064</v>
      </c>
      <c r="AF456" s="61">
        <v>0.49583333333333329</v>
      </c>
      <c r="AH456" t="s">
        <v>795</v>
      </c>
      <c r="AI456" s="31">
        <v>46111</v>
      </c>
      <c r="AJ456" s="61">
        <v>0.65975694444444444</v>
      </c>
      <c r="AK456" t="s">
        <v>5338</v>
      </c>
      <c r="AO456" t="s">
        <v>31</v>
      </c>
      <c r="AP456" t="s">
        <v>4664</v>
      </c>
      <c r="AR456" s="31">
        <v>46111</v>
      </c>
      <c r="AS456">
        <v>30</v>
      </c>
      <c r="AU456" t="s">
        <v>3142</v>
      </c>
      <c r="AX456">
        <v>1</v>
      </c>
    </row>
    <row r="457" spans="1:50" x14ac:dyDescent="0.3">
      <c r="A457" t="s">
        <v>44</v>
      </c>
      <c r="B457">
        <v>931</v>
      </c>
      <c r="D457">
        <v>3233</v>
      </c>
      <c r="E457" t="s">
        <v>3143</v>
      </c>
      <c r="G457" t="s">
        <v>3144</v>
      </c>
      <c r="H457">
        <v>36096287000142</v>
      </c>
      <c r="J457" t="s">
        <v>3145</v>
      </c>
      <c r="K457" t="s">
        <v>3146</v>
      </c>
      <c r="M457" t="s">
        <v>3147</v>
      </c>
      <c r="Q457" t="s">
        <v>3148</v>
      </c>
      <c r="S457" t="s">
        <v>814</v>
      </c>
      <c r="V457" t="s">
        <v>5690</v>
      </c>
      <c r="W457" t="s">
        <v>780</v>
      </c>
      <c r="X457" t="s">
        <v>897</v>
      </c>
      <c r="Z457" s="31"/>
      <c r="AC457">
        <v>0</v>
      </c>
      <c r="AD457" t="s">
        <v>22</v>
      </c>
      <c r="AE457" s="31">
        <v>46064</v>
      </c>
      <c r="AF457" s="61">
        <v>0.49716435185185193</v>
      </c>
      <c r="AH457" t="s">
        <v>795</v>
      </c>
      <c r="AI457" s="31">
        <v>46064</v>
      </c>
      <c r="AJ457" s="61">
        <v>0.64505787037037032</v>
      </c>
      <c r="AK457" t="s">
        <v>5392</v>
      </c>
      <c r="AL457" t="s">
        <v>5568</v>
      </c>
      <c r="AR457" s="31"/>
      <c r="AS457">
        <v>30</v>
      </c>
      <c r="AX457">
        <v>1</v>
      </c>
    </row>
    <row r="458" spans="1:50" x14ac:dyDescent="0.3">
      <c r="A458" t="s">
        <v>31</v>
      </c>
      <c r="B458">
        <v>932</v>
      </c>
      <c r="D458">
        <v>3234</v>
      </c>
      <c r="E458" t="s">
        <v>4774</v>
      </c>
      <c r="G458" t="s">
        <v>391</v>
      </c>
      <c r="H458">
        <v>1498495000193</v>
      </c>
      <c r="J458" t="s">
        <v>3151</v>
      </c>
      <c r="K458" t="s">
        <v>3152</v>
      </c>
      <c r="M458" t="s">
        <v>3153</v>
      </c>
      <c r="Q458" t="s">
        <v>3154</v>
      </c>
      <c r="S458" t="s">
        <v>814</v>
      </c>
      <c r="V458" t="s">
        <v>5655</v>
      </c>
      <c r="W458" t="s">
        <v>780</v>
      </c>
      <c r="X458" t="s">
        <v>807</v>
      </c>
      <c r="Z458" s="31">
        <v>46142</v>
      </c>
      <c r="AA458">
        <v>16143</v>
      </c>
      <c r="AB458">
        <v>690</v>
      </c>
      <c r="AC458">
        <v>70</v>
      </c>
      <c r="AD458" t="s">
        <v>22</v>
      </c>
      <c r="AE458" s="31">
        <v>46064</v>
      </c>
      <c r="AF458" s="61">
        <v>0.49763888888888891</v>
      </c>
      <c r="AH458" t="s">
        <v>795</v>
      </c>
      <c r="AI458" s="31">
        <v>46134</v>
      </c>
      <c r="AJ458" s="61">
        <v>0.72197916666666662</v>
      </c>
      <c r="AK458" t="s">
        <v>5347</v>
      </c>
      <c r="AN458" t="s">
        <v>392</v>
      </c>
      <c r="AO458" t="s">
        <v>31</v>
      </c>
      <c r="AP458" t="s">
        <v>392</v>
      </c>
      <c r="AR458" s="31">
        <v>46127</v>
      </c>
      <c r="AS458">
        <v>30</v>
      </c>
      <c r="AU458" t="s">
        <v>63</v>
      </c>
      <c r="AX458">
        <v>1</v>
      </c>
    </row>
    <row r="459" spans="1:50" x14ac:dyDescent="0.3">
      <c r="A459" t="s">
        <v>44</v>
      </c>
      <c r="B459">
        <v>933</v>
      </c>
      <c r="D459">
        <v>3262</v>
      </c>
      <c r="F459" t="s">
        <v>3155</v>
      </c>
      <c r="G459" t="s">
        <v>242</v>
      </c>
      <c r="H459">
        <v>35754976000215</v>
      </c>
      <c r="J459" t="s">
        <v>3155</v>
      </c>
      <c r="K459" t="s">
        <v>3156</v>
      </c>
      <c r="M459" t="s">
        <v>3157</v>
      </c>
      <c r="Q459" t="s">
        <v>3158</v>
      </c>
      <c r="R459" t="s">
        <v>932</v>
      </c>
      <c r="S459" t="s">
        <v>805</v>
      </c>
      <c r="W459" t="s">
        <v>780</v>
      </c>
      <c r="X459" t="s">
        <v>857</v>
      </c>
      <c r="Z459" s="31"/>
      <c r="AA459">
        <v>0</v>
      </c>
      <c r="AB459">
        <v>0</v>
      </c>
      <c r="AC459">
        <v>98</v>
      </c>
      <c r="AD459" t="s">
        <v>44</v>
      </c>
      <c r="AE459" s="31">
        <v>46064</v>
      </c>
      <c r="AF459" s="61">
        <v>0.75549768518518523</v>
      </c>
      <c r="AH459" t="s">
        <v>782</v>
      </c>
      <c r="AI459" s="31"/>
      <c r="AJ459" s="61"/>
      <c r="AP459" t="s">
        <v>5691</v>
      </c>
      <c r="AR459" s="31">
        <v>46150</v>
      </c>
      <c r="AS459">
        <v>50</v>
      </c>
      <c r="AX459">
        <v>1</v>
      </c>
    </row>
    <row r="460" spans="1:50" x14ac:dyDescent="0.3">
      <c r="A460" t="s">
        <v>44</v>
      </c>
      <c r="B460">
        <v>934</v>
      </c>
      <c r="D460">
        <v>3263</v>
      </c>
      <c r="E460" t="s">
        <v>5692</v>
      </c>
      <c r="F460" t="s">
        <v>3159</v>
      </c>
      <c r="G460" t="s">
        <v>437</v>
      </c>
      <c r="H460">
        <v>51540058000169</v>
      </c>
      <c r="J460" t="s">
        <v>3159</v>
      </c>
      <c r="K460" t="s">
        <v>4776</v>
      </c>
      <c r="Q460" t="s">
        <v>1094</v>
      </c>
      <c r="R460" t="s">
        <v>790</v>
      </c>
      <c r="S460" t="s">
        <v>805</v>
      </c>
      <c r="W460" t="s">
        <v>780</v>
      </c>
      <c r="X460" t="s">
        <v>816</v>
      </c>
      <c r="Z460" s="31"/>
      <c r="AA460">
        <v>68400</v>
      </c>
      <c r="AB460">
        <v>114607</v>
      </c>
      <c r="AC460">
        <v>49</v>
      </c>
      <c r="AD460" t="s">
        <v>44</v>
      </c>
      <c r="AE460" s="31">
        <v>46064</v>
      </c>
      <c r="AF460" s="61">
        <v>0.76371527777777781</v>
      </c>
      <c r="AH460" t="s">
        <v>818</v>
      </c>
      <c r="AI460" s="31">
        <v>46113</v>
      </c>
      <c r="AJ460" s="61">
        <v>0.44179398148148152</v>
      </c>
      <c r="AN460" t="s">
        <v>403</v>
      </c>
      <c r="AP460" t="s">
        <v>403</v>
      </c>
      <c r="AQ460" t="s">
        <v>4668</v>
      </c>
      <c r="AR460" s="31">
        <v>46086</v>
      </c>
      <c r="AS460">
        <v>70</v>
      </c>
      <c r="AX460">
        <v>1</v>
      </c>
    </row>
    <row r="461" spans="1:50" x14ac:dyDescent="0.3">
      <c r="A461" t="s">
        <v>22</v>
      </c>
      <c r="B461">
        <v>935</v>
      </c>
      <c r="D461">
        <v>3259</v>
      </c>
      <c r="E461" t="s">
        <v>3164</v>
      </c>
      <c r="G461" t="s">
        <v>3165</v>
      </c>
      <c r="J461" t="s">
        <v>3166</v>
      </c>
      <c r="K461" t="s">
        <v>3167</v>
      </c>
      <c r="M461" t="s">
        <v>3168</v>
      </c>
      <c r="Q461" t="s">
        <v>3169</v>
      </c>
      <c r="S461" t="s">
        <v>814</v>
      </c>
      <c r="V461" t="s">
        <v>1186</v>
      </c>
      <c r="W461" t="s">
        <v>780</v>
      </c>
      <c r="X461" t="s">
        <v>897</v>
      </c>
      <c r="Z461" s="31">
        <v>46081</v>
      </c>
      <c r="AC461">
        <v>1</v>
      </c>
      <c r="AD461" t="s">
        <v>22</v>
      </c>
      <c r="AE461" s="31">
        <v>46065</v>
      </c>
      <c r="AF461" s="61">
        <v>0.1035185185185185</v>
      </c>
      <c r="AH461" t="s">
        <v>795</v>
      </c>
      <c r="AI461" s="31">
        <v>46066</v>
      </c>
      <c r="AJ461" s="61">
        <v>0.72414351851851855</v>
      </c>
      <c r="AK461" t="s">
        <v>5347</v>
      </c>
      <c r="AO461" t="s">
        <v>22</v>
      </c>
      <c r="AP461" t="s">
        <v>405</v>
      </c>
      <c r="AR461" s="31"/>
      <c r="AS461">
        <v>30</v>
      </c>
      <c r="AU461" t="s">
        <v>321</v>
      </c>
      <c r="AX461">
        <v>1</v>
      </c>
    </row>
    <row r="462" spans="1:50" x14ac:dyDescent="0.3">
      <c r="A462" t="s">
        <v>44</v>
      </c>
      <c r="B462">
        <v>936</v>
      </c>
      <c r="D462">
        <v>3268</v>
      </c>
      <c r="E462" t="s">
        <v>4777</v>
      </c>
      <c r="G462" t="s">
        <v>3132</v>
      </c>
      <c r="J462" t="s">
        <v>5693</v>
      </c>
      <c r="K462" t="s">
        <v>3172</v>
      </c>
      <c r="M462" t="s">
        <v>3135</v>
      </c>
      <c r="W462" t="s">
        <v>780</v>
      </c>
      <c r="X462" t="s">
        <v>807</v>
      </c>
      <c r="Z462" s="31"/>
      <c r="AC462">
        <v>27</v>
      </c>
      <c r="AD462" t="s">
        <v>44</v>
      </c>
      <c r="AE462" s="31">
        <v>46066</v>
      </c>
      <c r="AF462" s="61">
        <v>0.61993055555555554</v>
      </c>
      <c r="AH462" t="s">
        <v>795</v>
      </c>
      <c r="AI462" s="31">
        <v>46093</v>
      </c>
      <c r="AJ462" s="61">
        <v>0.59215277777777775</v>
      </c>
      <c r="AK462" t="s">
        <v>858</v>
      </c>
      <c r="AL462" t="s">
        <v>4772</v>
      </c>
      <c r="AP462" t="s">
        <v>405</v>
      </c>
      <c r="AR462" s="31">
        <v>46093</v>
      </c>
      <c r="AS462">
        <v>50</v>
      </c>
      <c r="AX462">
        <v>1</v>
      </c>
    </row>
    <row r="463" spans="1:50" x14ac:dyDescent="0.3">
      <c r="A463" t="s">
        <v>44</v>
      </c>
      <c r="B463">
        <v>937</v>
      </c>
      <c r="D463">
        <v>3267</v>
      </c>
      <c r="E463" t="s">
        <v>4778</v>
      </c>
      <c r="G463" t="s">
        <v>3173</v>
      </c>
      <c r="H463">
        <v>3318893000106</v>
      </c>
      <c r="J463" t="s">
        <v>3174</v>
      </c>
      <c r="K463" t="s">
        <v>3175</v>
      </c>
      <c r="M463" t="s">
        <v>3176</v>
      </c>
      <c r="S463" t="s">
        <v>2541</v>
      </c>
      <c r="V463" t="s">
        <v>5650</v>
      </c>
      <c r="W463" t="s">
        <v>780</v>
      </c>
      <c r="X463" t="s">
        <v>897</v>
      </c>
      <c r="Z463" s="31">
        <v>46081</v>
      </c>
      <c r="AC463">
        <v>13</v>
      </c>
      <c r="AD463" t="s">
        <v>22</v>
      </c>
      <c r="AE463" s="31">
        <v>46066</v>
      </c>
      <c r="AF463" s="61">
        <v>0.91548611111111111</v>
      </c>
      <c r="AH463" t="s">
        <v>795</v>
      </c>
      <c r="AI463" s="31">
        <v>46079</v>
      </c>
      <c r="AJ463" s="61">
        <v>0.96547453703703701</v>
      </c>
      <c r="AK463" t="s">
        <v>5392</v>
      </c>
      <c r="AO463" t="s">
        <v>44</v>
      </c>
      <c r="AR463" s="31">
        <v>46072</v>
      </c>
      <c r="AS463">
        <v>30</v>
      </c>
      <c r="AX463">
        <v>1</v>
      </c>
    </row>
    <row r="464" spans="1:50" x14ac:dyDescent="0.3">
      <c r="A464" t="s">
        <v>22</v>
      </c>
      <c r="B464">
        <v>938</v>
      </c>
      <c r="D464">
        <v>3266</v>
      </c>
      <c r="E464" t="s">
        <v>4779</v>
      </c>
      <c r="G464" t="s">
        <v>3178</v>
      </c>
      <c r="H464">
        <v>11994847000155</v>
      </c>
      <c r="J464" t="s">
        <v>3179</v>
      </c>
      <c r="K464" t="s">
        <v>3180</v>
      </c>
      <c r="M464" t="s">
        <v>3181</v>
      </c>
      <c r="Q464" t="s">
        <v>3182</v>
      </c>
      <c r="S464" t="s">
        <v>814</v>
      </c>
      <c r="V464" t="s">
        <v>1198</v>
      </c>
      <c r="W464" t="s">
        <v>780</v>
      </c>
      <c r="X464" t="s">
        <v>857</v>
      </c>
      <c r="Z464" s="31">
        <v>46081</v>
      </c>
      <c r="AC464">
        <v>6</v>
      </c>
      <c r="AD464" t="s">
        <v>22</v>
      </c>
      <c r="AE464" s="31">
        <v>46066</v>
      </c>
      <c r="AF464" s="61">
        <v>0.91730324074074077</v>
      </c>
      <c r="AH464" t="s">
        <v>795</v>
      </c>
      <c r="AI464" s="31">
        <v>46072</v>
      </c>
      <c r="AJ464" s="61">
        <v>0.72584490740740737</v>
      </c>
      <c r="AK464" t="s">
        <v>5419</v>
      </c>
      <c r="AL464" t="s">
        <v>4779</v>
      </c>
      <c r="AO464" t="s">
        <v>22</v>
      </c>
      <c r="AR464" s="31"/>
      <c r="AS464">
        <v>30</v>
      </c>
      <c r="AX464">
        <v>1</v>
      </c>
    </row>
    <row r="465" spans="1:50" x14ac:dyDescent="0.3">
      <c r="A465" t="s">
        <v>31</v>
      </c>
      <c r="B465">
        <v>945</v>
      </c>
      <c r="D465">
        <v>3271</v>
      </c>
      <c r="G465" t="s">
        <v>3183</v>
      </c>
      <c r="J465" t="s">
        <v>5694</v>
      </c>
      <c r="K465" t="s">
        <v>3185</v>
      </c>
      <c r="M465" t="s">
        <v>3186</v>
      </c>
      <c r="Q465" t="s">
        <v>3187</v>
      </c>
      <c r="S465" t="s">
        <v>814</v>
      </c>
      <c r="V465" t="s">
        <v>1186</v>
      </c>
      <c r="W465" t="s">
        <v>780</v>
      </c>
      <c r="X465" t="s">
        <v>781</v>
      </c>
      <c r="Z465" s="31"/>
      <c r="AC465">
        <v>2</v>
      </c>
      <c r="AD465" t="s">
        <v>22</v>
      </c>
      <c r="AE465" s="31">
        <v>46070</v>
      </c>
      <c r="AF465" s="61">
        <v>0.74156250000000001</v>
      </c>
      <c r="AH465" t="s">
        <v>795</v>
      </c>
      <c r="AI465" s="31">
        <v>46072</v>
      </c>
      <c r="AJ465" s="61">
        <v>0.37849537037037029</v>
      </c>
      <c r="AK465" t="s">
        <v>808</v>
      </c>
      <c r="AO465" t="s">
        <v>31</v>
      </c>
      <c r="AR465" s="31">
        <v>46071</v>
      </c>
      <c r="AS465">
        <v>30</v>
      </c>
      <c r="AU465" t="s">
        <v>47</v>
      </c>
      <c r="AX465">
        <v>1</v>
      </c>
    </row>
    <row r="466" spans="1:50" x14ac:dyDescent="0.3">
      <c r="A466" t="s">
        <v>22</v>
      </c>
      <c r="B466">
        <v>946</v>
      </c>
      <c r="D466">
        <v>3270</v>
      </c>
      <c r="E466" t="s">
        <v>4780</v>
      </c>
      <c r="G466" t="s">
        <v>3188</v>
      </c>
      <c r="J466" t="s">
        <v>3189</v>
      </c>
      <c r="K466" t="s">
        <v>3190</v>
      </c>
      <c r="M466" t="s">
        <v>3191</v>
      </c>
      <c r="S466" t="s">
        <v>2541</v>
      </c>
      <c r="V466" t="s">
        <v>5650</v>
      </c>
      <c r="W466" t="s">
        <v>780</v>
      </c>
      <c r="X466" t="s">
        <v>897</v>
      </c>
      <c r="Z466" s="31">
        <v>46112</v>
      </c>
      <c r="AC466">
        <v>82</v>
      </c>
      <c r="AD466" t="s">
        <v>22</v>
      </c>
      <c r="AE466" s="31">
        <v>46071</v>
      </c>
      <c r="AF466" s="61">
        <v>0.36913194444444453</v>
      </c>
      <c r="AH466" t="s">
        <v>795</v>
      </c>
      <c r="AI466" s="31">
        <v>46153</v>
      </c>
      <c r="AJ466" s="61">
        <v>0.49629629629629629</v>
      </c>
      <c r="AK466" t="s">
        <v>5353</v>
      </c>
      <c r="AL466" t="s">
        <v>5695</v>
      </c>
      <c r="AO466" t="s">
        <v>22</v>
      </c>
      <c r="AR466" s="31">
        <v>46093</v>
      </c>
      <c r="AS466">
        <v>30</v>
      </c>
      <c r="AU466" t="s">
        <v>321</v>
      </c>
      <c r="AX466">
        <v>1</v>
      </c>
    </row>
    <row r="467" spans="1:50" x14ac:dyDescent="0.3">
      <c r="A467" t="s">
        <v>44</v>
      </c>
      <c r="B467">
        <v>948</v>
      </c>
      <c r="D467">
        <v>3278</v>
      </c>
      <c r="E467" t="s">
        <v>5696</v>
      </c>
      <c r="G467" t="s">
        <v>444</v>
      </c>
      <c r="J467" t="s">
        <v>3192</v>
      </c>
      <c r="K467" t="s">
        <v>3193</v>
      </c>
      <c r="M467" t="s">
        <v>3194</v>
      </c>
      <c r="S467" t="s">
        <v>2541</v>
      </c>
      <c r="V467" t="s">
        <v>5650</v>
      </c>
      <c r="W467" t="s">
        <v>780</v>
      </c>
      <c r="X467" t="s">
        <v>793</v>
      </c>
      <c r="Z467" s="31">
        <v>46081</v>
      </c>
      <c r="AA467">
        <v>16960</v>
      </c>
      <c r="AB467">
        <v>575</v>
      </c>
      <c r="AC467">
        <v>21</v>
      </c>
      <c r="AD467" t="s">
        <v>22</v>
      </c>
      <c r="AE467" s="31">
        <v>46072</v>
      </c>
      <c r="AF467" s="61">
        <v>0.34339120370370368</v>
      </c>
      <c r="AH467" t="s">
        <v>795</v>
      </c>
      <c r="AI467" s="31">
        <v>46093</v>
      </c>
      <c r="AJ467" s="61">
        <v>0.64043981481481482</v>
      </c>
      <c r="AK467" t="s">
        <v>934</v>
      </c>
      <c r="AL467" t="s">
        <v>5697</v>
      </c>
      <c r="AN467" t="s">
        <v>380</v>
      </c>
      <c r="AO467" t="s">
        <v>44</v>
      </c>
      <c r="AP467" t="s">
        <v>393</v>
      </c>
      <c r="AR467" s="31">
        <v>46090</v>
      </c>
      <c r="AS467">
        <v>31</v>
      </c>
      <c r="AX467">
        <v>1</v>
      </c>
    </row>
    <row r="468" spans="1:50" x14ac:dyDescent="0.3">
      <c r="A468" t="s">
        <v>31</v>
      </c>
      <c r="B468">
        <v>949</v>
      </c>
      <c r="D468">
        <v>3279</v>
      </c>
      <c r="G468" t="s">
        <v>2704</v>
      </c>
      <c r="J468" t="s">
        <v>334</v>
      </c>
      <c r="K468" t="s">
        <v>5698</v>
      </c>
      <c r="M468" t="s">
        <v>3196</v>
      </c>
      <c r="R468" t="s">
        <v>3197</v>
      </c>
      <c r="S468" t="s">
        <v>1191</v>
      </c>
      <c r="V468" t="s">
        <v>5631</v>
      </c>
      <c r="W468" t="s">
        <v>780</v>
      </c>
      <c r="X468" t="s">
        <v>781</v>
      </c>
      <c r="Z468" s="31">
        <v>46081</v>
      </c>
      <c r="AC468">
        <v>4</v>
      </c>
      <c r="AD468" t="s">
        <v>22</v>
      </c>
      <c r="AE468" s="31">
        <v>46072</v>
      </c>
      <c r="AF468" s="61">
        <v>0.3442013888888889</v>
      </c>
      <c r="AH468" t="s">
        <v>795</v>
      </c>
      <c r="AI468" s="31">
        <v>46076</v>
      </c>
      <c r="AJ468" s="61">
        <v>0.67480324074074072</v>
      </c>
      <c r="AK468" t="s">
        <v>5392</v>
      </c>
      <c r="AO468" t="s">
        <v>31</v>
      </c>
      <c r="AR468" s="31"/>
      <c r="AS468">
        <v>30</v>
      </c>
      <c r="AX468">
        <v>1</v>
      </c>
    </row>
    <row r="469" spans="1:50" x14ac:dyDescent="0.3">
      <c r="A469" t="s">
        <v>31</v>
      </c>
      <c r="B469">
        <v>950</v>
      </c>
      <c r="D469">
        <v>3280</v>
      </c>
      <c r="E469" t="s">
        <v>4783</v>
      </c>
      <c r="G469" t="s">
        <v>3198</v>
      </c>
      <c r="H469">
        <v>3459449000100</v>
      </c>
      <c r="J469" t="s">
        <v>3199</v>
      </c>
      <c r="K469" t="s">
        <v>3200</v>
      </c>
      <c r="M469" t="s">
        <v>3201</v>
      </c>
      <c r="S469" t="s">
        <v>2541</v>
      </c>
      <c r="V469" t="s">
        <v>5650</v>
      </c>
      <c r="W469" t="s">
        <v>780</v>
      </c>
      <c r="X469" t="s">
        <v>857</v>
      </c>
      <c r="Z469" s="31">
        <v>46142</v>
      </c>
      <c r="AC469">
        <v>22</v>
      </c>
      <c r="AD469" t="s">
        <v>22</v>
      </c>
      <c r="AE469" s="31">
        <v>46072</v>
      </c>
      <c r="AF469" s="61">
        <v>0.34534722222222219</v>
      </c>
      <c r="AH469" t="s">
        <v>795</v>
      </c>
      <c r="AI469" s="31">
        <v>46094</v>
      </c>
      <c r="AJ469" s="61">
        <v>0.44105324074074082</v>
      </c>
      <c r="AK469" t="s">
        <v>858</v>
      </c>
      <c r="AO469" t="s">
        <v>31</v>
      </c>
      <c r="AR469" s="31">
        <v>46094</v>
      </c>
      <c r="AS469">
        <v>31</v>
      </c>
      <c r="AU469" t="s">
        <v>4784</v>
      </c>
      <c r="AX469">
        <v>1</v>
      </c>
    </row>
    <row r="470" spans="1:50" x14ac:dyDescent="0.3">
      <c r="A470" t="s">
        <v>44</v>
      </c>
      <c r="B470">
        <v>951</v>
      </c>
      <c r="D470">
        <v>3282</v>
      </c>
      <c r="E470" t="s">
        <v>4785</v>
      </c>
      <c r="G470" t="s">
        <v>3202</v>
      </c>
      <c r="J470" t="s">
        <v>3203</v>
      </c>
      <c r="K470" t="s">
        <v>3204</v>
      </c>
      <c r="M470" t="s">
        <v>3205</v>
      </c>
      <c r="S470" t="s">
        <v>2541</v>
      </c>
      <c r="V470" t="s">
        <v>5631</v>
      </c>
      <c r="W470" t="s">
        <v>780</v>
      </c>
      <c r="X470" t="s">
        <v>897</v>
      </c>
      <c r="Z470" s="31">
        <v>46072</v>
      </c>
      <c r="AC470">
        <v>7</v>
      </c>
      <c r="AD470" t="s">
        <v>22</v>
      </c>
      <c r="AE470" s="31">
        <v>46072</v>
      </c>
      <c r="AF470" s="61">
        <v>0.3463310185185185</v>
      </c>
      <c r="AH470" t="s">
        <v>795</v>
      </c>
      <c r="AI470" s="31">
        <v>46079</v>
      </c>
      <c r="AJ470" s="61">
        <v>0.96490740740740744</v>
      </c>
      <c r="AK470" t="s">
        <v>5392</v>
      </c>
      <c r="AO470" t="s">
        <v>44</v>
      </c>
      <c r="AR470" s="31"/>
      <c r="AS470">
        <v>30</v>
      </c>
      <c r="AX470">
        <v>1</v>
      </c>
    </row>
    <row r="471" spans="1:50" x14ac:dyDescent="0.3">
      <c r="A471" t="s">
        <v>22</v>
      </c>
      <c r="B471">
        <v>952</v>
      </c>
      <c r="D471">
        <v>3283</v>
      </c>
      <c r="E471" t="s">
        <v>4786</v>
      </c>
      <c r="G471" t="s">
        <v>387</v>
      </c>
      <c r="J471" t="s">
        <v>5699</v>
      </c>
      <c r="K471" t="s">
        <v>3207</v>
      </c>
      <c r="M471" t="s">
        <v>3208</v>
      </c>
      <c r="S471" t="s">
        <v>2541</v>
      </c>
      <c r="V471" t="s">
        <v>5650</v>
      </c>
      <c r="W471" t="s">
        <v>780</v>
      </c>
      <c r="X471" t="s">
        <v>807</v>
      </c>
      <c r="Z471" s="31">
        <v>46112</v>
      </c>
      <c r="AA471">
        <v>862043</v>
      </c>
      <c r="AB471">
        <v>34937</v>
      </c>
      <c r="AC471">
        <v>40</v>
      </c>
      <c r="AD471" t="s">
        <v>22</v>
      </c>
      <c r="AE471" s="31">
        <v>46072</v>
      </c>
      <c r="AF471" s="61">
        <v>0.34706018518518522</v>
      </c>
      <c r="AH471" t="s">
        <v>795</v>
      </c>
      <c r="AI471" s="31">
        <v>46112</v>
      </c>
      <c r="AJ471" s="61">
        <v>0.68877314814814816</v>
      </c>
      <c r="AK471" t="s">
        <v>5347</v>
      </c>
      <c r="AN471" t="s">
        <v>4788</v>
      </c>
      <c r="AO471" t="s">
        <v>22</v>
      </c>
      <c r="AR471" s="31">
        <v>46101</v>
      </c>
      <c r="AS471">
        <v>30</v>
      </c>
      <c r="AU471" t="s">
        <v>321</v>
      </c>
      <c r="AX471">
        <v>1</v>
      </c>
    </row>
    <row r="472" spans="1:50" x14ac:dyDescent="0.3">
      <c r="A472" t="s">
        <v>22</v>
      </c>
      <c r="B472">
        <v>953</v>
      </c>
      <c r="D472">
        <v>3284</v>
      </c>
      <c r="E472" t="s">
        <v>4789</v>
      </c>
      <c r="G472" t="s">
        <v>3209</v>
      </c>
      <c r="J472" t="s">
        <v>3210</v>
      </c>
      <c r="K472" t="s">
        <v>3211</v>
      </c>
      <c r="M472" t="s">
        <v>3212</v>
      </c>
      <c r="S472" t="s">
        <v>2541</v>
      </c>
      <c r="V472" t="s">
        <v>5631</v>
      </c>
      <c r="W472" t="s">
        <v>780</v>
      </c>
      <c r="X472" t="s">
        <v>897</v>
      </c>
      <c r="Z472" s="31">
        <v>46081</v>
      </c>
      <c r="AC472">
        <v>12</v>
      </c>
      <c r="AD472" t="s">
        <v>22</v>
      </c>
      <c r="AE472" s="31">
        <v>46072</v>
      </c>
      <c r="AF472" s="61">
        <v>0.34765046296296298</v>
      </c>
      <c r="AH472" t="s">
        <v>795</v>
      </c>
      <c r="AI472" s="31">
        <v>46084</v>
      </c>
      <c r="AJ472" s="61">
        <v>0.8923726851851852</v>
      </c>
      <c r="AK472" t="s">
        <v>5392</v>
      </c>
      <c r="AO472" t="s">
        <v>22</v>
      </c>
      <c r="AR472" s="31"/>
      <c r="AS472">
        <v>32</v>
      </c>
      <c r="AX472">
        <v>1</v>
      </c>
    </row>
    <row r="473" spans="1:50" x14ac:dyDescent="0.3">
      <c r="A473" t="s">
        <v>31</v>
      </c>
      <c r="B473">
        <v>956</v>
      </c>
      <c r="D473">
        <v>3286</v>
      </c>
      <c r="E473" t="s">
        <v>4790</v>
      </c>
      <c r="G473" t="s">
        <v>4791</v>
      </c>
      <c r="J473" t="s">
        <v>4792</v>
      </c>
      <c r="K473" t="s">
        <v>5700</v>
      </c>
      <c r="M473" t="s">
        <v>4793</v>
      </c>
      <c r="S473" t="s">
        <v>2541</v>
      </c>
      <c r="V473" t="s">
        <v>5631</v>
      </c>
      <c r="W473" t="s">
        <v>780</v>
      </c>
      <c r="X473" t="s">
        <v>781</v>
      </c>
      <c r="Z473" s="31">
        <v>46081</v>
      </c>
      <c r="AC473">
        <v>3</v>
      </c>
      <c r="AD473" t="s">
        <v>22</v>
      </c>
      <c r="AE473" s="31">
        <v>46073</v>
      </c>
      <c r="AF473" s="61">
        <v>0.57908564814814811</v>
      </c>
      <c r="AH473" t="s">
        <v>795</v>
      </c>
      <c r="AI473" s="31">
        <v>46076</v>
      </c>
      <c r="AJ473" s="61">
        <v>0.67215277777777782</v>
      </c>
      <c r="AK473" t="s">
        <v>5392</v>
      </c>
      <c r="AO473" t="s">
        <v>31</v>
      </c>
      <c r="AR473" s="31">
        <v>46076</v>
      </c>
      <c r="AS473">
        <v>30</v>
      </c>
      <c r="AX473">
        <v>1</v>
      </c>
    </row>
    <row r="474" spans="1:50" x14ac:dyDescent="0.3">
      <c r="A474" t="s">
        <v>31</v>
      </c>
      <c r="B474">
        <v>959</v>
      </c>
      <c r="D474">
        <v>3298</v>
      </c>
      <c r="E474" t="s">
        <v>4794</v>
      </c>
      <c r="G474" t="s">
        <v>400</v>
      </c>
      <c r="J474" t="s">
        <v>4795</v>
      </c>
      <c r="K474" t="s">
        <v>5701</v>
      </c>
      <c r="M474" t="s">
        <v>4796</v>
      </c>
      <c r="W474" t="s">
        <v>780</v>
      </c>
      <c r="X474" t="s">
        <v>807</v>
      </c>
      <c r="Z474" s="31">
        <v>46173</v>
      </c>
      <c r="AA474">
        <v>963186</v>
      </c>
      <c r="AB474">
        <v>62062</v>
      </c>
      <c r="AC474">
        <v>79</v>
      </c>
      <c r="AD474" t="s">
        <v>31</v>
      </c>
      <c r="AE474" s="31">
        <v>46076</v>
      </c>
      <c r="AF474" s="61">
        <v>0.49402777777777779</v>
      </c>
      <c r="AH474" t="s">
        <v>795</v>
      </c>
      <c r="AI474" s="31">
        <v>46155</v>
      </c>
      <c r="AJ474" s="61">
        <v>0.44644675925925931</v>
      </c>
      <c r="AK474" t="s">
        <v>5338</v>
      </c>
      <c r="AN474" t="s">
        <v>401</v>
      </c>
      <c r="AO474" t="s">
        <v>31</v>
      </c>
      <c r="AP474" t="s">
        <v>401</v>
      </c>
      <c r="AR474" s="31">
        <v>46155</v>
      </c>
      <c r="AS474">
        <v>30</v>
      </c>
      <c r="AU474" t="s">
        <v>47</v>
      </c>
      <c r="AX474">
        <v>1</v>
      </c>
    </row>
    <row r="475" spans="1:50" x14ac:dyDescent="0.3">
      <c r="A475" t="s">
        <v>31</v>
      </c>
      <c r="B475">
        <v>960</v>
      </c>
      <c r="D475">
        <v>3299</v>
      </c>
      <c r="E475" t="s">
        <v>5702</v>
      </c>
      <c r="G475" t="s">
        <v>411</v>
      </c>
      <c r="J475" t="s">
        <v>2653</v>
      </c>
      <c r="K475" t="s">
        <v>5701</v>
      </c>
      <c r="M475" t="s">
        <v>4796</v>
      </c>
      <c r="W475" t="s">
        <v>780</v>
      </c>
      <c r="X475" t="s">
        <v>807</v>
      </c>
      <c r="Z475" s="31">
        <v>46142</v>
      </c>
      <c r="AA475">
        <v>27150</v>
      </c>
      <c r="AB475">
        <v>3450</v>
      </c>
      <c r="AC475">
        <v>79</v>
      </c>
      <c r="AD475" t="s">
        <v>31</v>
      </c>
      <c r="AE475" s="31">
        <v>46076</v>
      </c>
      <c r="AF475" s="61">
        <v>0.50876157407407407</v>
      </c>
      <c r="AH475" t="s">
        <v>795</v>
      </c>
      <c r="AI475" s="31">
        <v>46155</v>
      </c>
      <c r="AJ475" s="61">
        <v>0.45373842592592589</v>
      </c>
      <c r="AK475" t="s">
        <v>858</v>
      </c>
      <c r="AN475" t="s">
        <v>401</v>
      </c>
      <c r="AO475" t="s">
        <v>31</v>
      </c>
      <c r="AP475" t="s">
        <v>401</v>
      </c>
      <c r="AR475" s="31">
        <v>46155</v>
      </c>
      <c r="AS475">
        <v>30</v>
      </c>
      <c r="AU475" t="s">
        <v>63</v>
      </c>
      <c r="AX475">
        <v>1</v>
      </c>
    </row>
    <row r="476" spans="1:50" x14ac:dyDescent="0.3">
      <c r="A476" t="s">
        <v>44</v>
      </c>
      <c r="B476">
        <v>961</v>
      </c>
      <c r="D476">
        <v>3287</v>
      </c>
      <c r="E476" t="s">
        <v>4799</v>
      </c>
      <c r="G476" t="s">
        <v>4800</v>
      </c>
      <c r="H476">
        <v>56556830000154</v>
      </c>
      <c r="J476" t="s">
        <v>4801</v>
      </c>
      <c r="K476" t="s">
        <v>5703</v>
      </c>
      <c r="M476" t="s">
        <v>4802</v>
      </c>
      <c r="S476" t="s">
        <v>2541</v>
      </c>
      <c r="V476" t="s">
        <v>5631</v>
      </c>
      <c r="W476" t="s">
        <v>780</v>
      </c>
      <c r="X476" t="s">
        <v>897</v>
      </c>
      <c r="Z476" s="31">
        <v>46081</v>
      </c>
      <c r="AC476">
        <v>2</v>
      </c>
      <c r="AD476" t="s">
        <v>22</v>
      </c>
      <c r="AE476" s="31">
        <v>46077</v>
      </c>
      <c r="AF476" s="61">
        <v>0.40216435185185179</v>
      </c>
      <c r="AH476" t="s">
        <v>795</v>
      </c>
      <c r="AI476" s="31">
        <v>46079</v>
      </c>
      <c r="AJ476" s="61">
        <v>0.96589120370370374</v>
      </c>
      <c r="AK476" t="s">
        <v>5392</v>
      </c>
      <c r="AO476" t="s">
        <v>44</v>
      </c>
      <c r="AR476" s="31">
        <v>46078</v>
      </c>
      <c r="AS476">
        <v>30</v>
      </c>
      <c r="AX476">
        <v>1</v>
      </c>
    </row>
    <row r="477" spans="1:50" x14ac:dyDescent="0.3">
      <c r="A477" t="s">
        <v>31</v>
      </c>
      <c r="B477">
        <v>962</v>
      </c>
      <c r="D477">
        <v>3290</v>
      </c>
      <c r="E477" t="s">
        <v>4803</v>
      </c>
      <c r="G477" t="s">
        <v>4804</v>
      </c>
      <c r="J477" t="s">
        <v>923</v>
      </c>
      <c r="K477" t="s">
        <v>5704</v>
      </c>
      <c r="M477" t="s">
        <v>4805</v>
      </c>
      <c r="S477" t="s">
        <v>2541</v>
      </c>
      <c r="V477" t="s">
        <v>5650</v>
      </c>
      <c r="W477" t="s">
        <v>780</v>
      </c>
      <c r="X477" t="s">
        <v>781</v>
      </c>
      <c r="Z477" s="31">
        <v>46081</v>
      </c>
      <c r="AC477">
        <v>74</v>
      </c>
      <c r="AD477" t="s">
        <v>22</v>
      </c>
      <c r="AE477" s="31">
        <v>46077</v>
      </c>
      <c r="AF477" s="61">
        <v>0.40444444444444438</v>
      </c>
      <c r="AH477" t="s">
        <v>795</v>
      </c>
      <c r="AI477" s="31">
        <v>46151</v>
      </c>
      <c r="AJ477" s="61">
        <v>0.3674189814814815</v>
      </c>
      <c r="AK477" t="s">
        <v>5377</v>
      </c>
      <c r="AO477" t="s">
        <v>31</v>
      </c>
      <c r="AR477" s="31">
        <v>46079</v>
      </c>
      <c r="AS477">
        <v>30</v>
      </c>
      <c r="AX477">
        <v>1</v>
      </c>
    </row>
    <row r="478" spans="1:50" x14ac:dyDescent="0.3">
      <c r="A478" t="s">
        <v>22</v>
      </c>
      <c r="B478">
        <v>963</v>
      </c>
      <c r="D478">
        <v>3293</v>
      </c>
      <c r="E478" t="s">
        <v>4806</v>
      </c>
      <c r="G478" t="s">
        <v>4807</v>
      </c>
      <c r="J478" t="s">
        <v>4808</v>
      </c>
      <c r="K478" t="s">
        <v>5705</v>
      </c>
      <c r="M478" t="s">
        <v>4809</v>
      </c>
      <c r="S478" t="s">
        <v>2541</v>
      </c>
      <c r="V478" t="s">
        <v>5631</v>
      </c>
      <c r="W478" t="s">
        <v>780</v>
      </c>
      <c r="X478" t="s">
        <v>781</v>
      </c>
      <c r="Z478" s="31">
        <v>46081</v>
      </c>
      <c r="AC478">
        <v>2</v>
      </c>
      <c r="AD478" t="s">
        <v>22</v>
      </c>
      <c r="AE478" s="31">
        <v>46077</v>
      </c>
      <c r="AF478" s="61">
        <v>0.40696759259259258</v>
      </c>
      <c r="AH478" t="s">
        <v>795</v>
      </c>
      <c r="AI478" s="31">
        <v>46079</v>
      </c>
      <c r="AJ478" s="61">
        <v>0.72960648148148144</v>
      </c>
      <c r="AK478" t="s">
        <v>5392</v>
      </c>
      <c r="AL478" t="s">
        <v>4806</v>
      </c>
      <c r="AO478" t="s">
        <v>22</v>
      </c>
      <c r="AR478" s="31"/>
      <c r="AS478">
        <v>30</v>
      </c>
      <c r="AU478" t="s">
        <v>578</v>
      </c>
      <c r="AX478">
        <v>1</v>
      </c>
    </row>
    <row r="479" spans="1:50" x14ac:dyDescent="0.3">
      <c r="A479" t="s">
        <v>22</v>
      </c>
      <c r="B479">
        <v>964</v>
      </c>
      <c r="D479">
        <v>3294</v>
      </c>
      <c r="E479" t="s">
        <v>4810</v>
      </c>
      <c r="G479" t="s">
        <v>4811</v>
      </c>
      <c r="J479" t="s">
        <v>3600</v>
      </c>
      <c r="K479" t="s">
        <v>4812</v>
      </c>
      <c r="M479" t="s">
        <v>4813</v>
      </c>
      <c r="Q479" t="s">
        <v>1523</v>
      </c>
      <c r="S479" t="s">
        <v>814</v>
      </c>
      <c r="V479" t="s">
        <v>5706</v>
      </c>
      <c r="W479" t="s">
        <v>780</v>
      </c>
      <c r="X479" t="s">
        <v>897</v>
      </c>
      <c r="Z479" s="31">
        <v>46081</v>
      </c>
      <c r="AC479">
        <v>16</v>
      </c>
      <c r="AD479" t="s">
        <v>22</v>
      </c>
      <c r="AE479" s="31">
        <v>46077</v>
      </c>
      <c r="AF479" s="61">
        <v>0.4085300925925926</v>
      </c>
      <c r="AH479" t="s">
        <v>795</v>
      </c>
      <c r="AI479" s="31">
        <v>46093</v>
      </c>
      <c r="AJ479" s="61">
        <v>0.72965277777777782</v>
      </c>
      <c r="AK479" t="s">
        <v>5392</v>
      </c>
      <c r="AO479" t="s">
        <v>22</v>
      </c>
      <c r="AP479" t="s">
        <v>458</v>
      </c>
      <c r="AR479" s="31">
        <v>46093</v>
      </c>
      <c r="AS479">
        <v>30</v>
      </c>
      <c r="AX479">
        <v>1</v>
      </c>
    </row>
    <row r="480" spans="1:50" x14ac:dyDescent="0.3">
      <c r="A480" t="s">
        <v>44</v>
      </c>
      <c r="B480">
        <v>965</v>
      </c>
      <c r="D480">
        <v>3295</v>
      </c>
      <c r="E480" t="s">
        <v>5707</v>
      </c>
      <c r="G480" t="s">
        <v>4816</v>
      </c>
      <c r="J480" t="s">
        <v>4817</v>
      </c>
      <c r="K480" t="s">
        <v>5708</v>
      </c>
      <c r="M480" t="s">
        <v>4818</v>
      </c>
      <c r="S480" t="s">
        <v>2541</v>
      </c>
      <c r="V480" t="s">
        <v>5631</v>
      </c>
      <c r="W480" t="s">
        <v>780</v>
      </c>
      <c r="X480" t="s">
        <v>897</v>
      </c>
      <c r="Z480" s="31">
        <v>46081</v>
      </c>
      <c r="AC480">
        <v>1</v>
      </c>
      <c r="AD480" t="s">
        <v>22</v>
      </c>
      <c r="AE480" s="31">
        <v>46077</v>
      </c>
      <c r="AF480" s="61">
        <v>0.40925925925925932</v>
      </c>
      <c r="AH480" t="s">
        <v>795</v>
      </c>
      <c r="AI480" s="31">
        <v>46078</v>
      </c>
      <c r="AJ480" s="61">
        <v>0.45694444444444438</v>
      </c>
      <c r="AK480" t="s">
        <v>5392</v>
      </c>
      <c r="AL480" t="s">
        <v>5709</v>
      </c>
      <c r="AO480" t="s">
        <v>44</v>
      </c>
      <c r="AR480" s="31">
        <v>46078</v>
      </c>
      <c r="AS480">
        <v>30</v>
      </c>
      <c r="AX480">
        <v>1</v>
      </c>
    </row>
    <row r="481" spans="1:50" x14ac:dyDescent="0.3">
      <c r="A481" t="s">
        <v>31</v>
      </c>
      <c r="B481">
        <v>966</v>
      </c>
      <c r="D481">
        <v>3296</v>
      </c>
      <c r="G481" t="s">
        <v>4820</v>
      </c>
      <c r="J481" t="s">
        <v>4821</v>
      </c>
      <c r="K481" t="s">
        <v>5710</v>
      </c>
      <c r="M481" t="s">
        <v>4822</v>
      </c>
      <c r="S481" t="s">
        <v>2541</v>
      </c>
      <c r="V481" t="s">
        <v>5631</v>
      </c>
      <c r="W481" t="s">
        <v>780</v>
      </c>
      <c r="X481" t="s">
        <v>781</v>
      </c>
      <c r="Z481" s="31">
        <v>46112</v>
      </c>
      <c r="AC481">
        <v>74</v>
      </c>
      <c r="AD481" t="s">
        <v>22</v>
      </c>
      <c r="AE481" s="31">
        <v>46077</v>
      </c>
      <c r="AF481" s="61">
        <v>0.41028935185185178</v>
      </c>
      <c r="AH481" t="s">
        <v>795</v>
      </c>
      <c r="AI481" s="31">
        <v>46151</v>
      </c>
      <c r="AJ481" s="61">
        <v>0.8828125</v>
      </c>
      <c r="AK481" t="s">
        <v>5657</v>
      </c>
      <c r="AO481" t="s">
        <v>31</v>
      </c>
      <c r="AR481" s="31">
        <v>46090</v>
      </c>
      <c r="AS481">
        <v>30</v>
      </c>
      <c r="AX481">
        <v>1</v>
      </c>
    </row>
    <row r="482" spans="1:50" x14ac:dyDescent="0.3">
      <c r="A482" t="s">
        <v>44</v>
      </c>
      <c r="B482">
        <v>967</v>
      </c>
      <c r="D482">
        <v>3300</v>
      </c>
      <c r="E482" t="s">
        <v>4824</v>
      </c>
      <c r="G482" t="s">
        <v>450</v>
      </c>
      <c r="J482" t="s">
        <v>4825</v>
      </c>
      <c r="K482" t="s">
        <v>5711</v>
      </c>
      <c r="M482" t="s">
        <v>4826</v>
      </c>
      <c r="S482" t="s">
        <v>2541</v>
      </c>
      <c r="V482" t="s">
        <v>5628</v>
      </c>
      <c r="W482" t="s">
        <v>780</v>
      </c>
      <c r="X482" t="s">
        <v>793</v>
      </c>
      <c r="Z482" s="31">
        <v>46111</v>
      </c>
      <c r="AA482">
        <v>758068</v>
      </c>
      <c r="AB482">
        <v>9596</v>
      </c>
      <c r="AC482">
        <v>13</v>
      </c>
      <c r="AD482" t="s">
        <v>22</v>
      </c>
      <c r="AE482" s="31">
        <v>46077</v>
      </c>
      <c r="AF482" s="61">
        <v>0.4112615740740741</v>
      </c>
      <c r="AH482" t="s">
        <v>795</v>
      </c>
      <c r="AI482" s="31">
        <v>46090</v>
      </c>
      <c r="AJ482" s="61">
        <v>0.44912037037037039</v>
      </c>
      <c r="AK482" t="s">
        <v>5338</v>
      </c>
      <c r="AL482" t="s">
        <v>4827</v>
      </c>
      <c r="AN482" t="s">
        <v>380</v>
      </c>
      <c r="AO482" t="s">
        <v>44</v>
      </c>
      <c r="AP482" t="s">
        <v>4762</v>
      </c>
      <c r="AR482" s="31">
        <v>46090</v>
      </c>
      <c r="AS482">
        <v>30</v>
      </c>
      <c r="AX482">
        <v>1</v>
      </c>
    </row>
    <row r="483" spans="1:50" x14ac:dyDescent="0.3">
      <c r="A483" t="s">
        <v>22</v>
      </c>
      <c r="B483">
        <v>968</v>
      </c>
      <c r="D483">
        <v>3288</v>
      </c>
      <c r="E483" t="s">
        <v>4828</v>
      </c>
      <c r="G483" t="s">
        <v>4829</v>
      </c>
      <c r="J483" t="s">
        <v>4830</v>
      </c>
      <c r="K483" t="s">
        <v>4831</v>
      </c>
      <c r="M483" t="s">
        <v>4832</v>
      </c>
      <c r="Q483" t="s">
        <v>4833</v>
      </c>
      <c r="S483" t="s">
        <v>814</v>
      </c>
      <c r="V483" t="s">
        <v>1198</v>
      </c>
      <c r="W483" t="s">
        <v>780</v>
      </c>
      <c r="X483" t="s">
        <v>897</v>
      </c>
      <c r="Z483" s="31">
        <v>46081</v>
      </c>
      <c r="AC483">
        <v>2</v>
      </c>
      <c r="AD483" t="s">
        <v>22</v>
      </c>
      <c r="AE483" s="31">
        <v>46077</v>
      </c>
      <c r="AF483" s="61">
        <v>0.41268518518518521</v>
      </c>
      <c r="AH483" t="s">
        <v>795</v>
      </c>
      <c r="AI483" s="31">
        <v>46079</v>
      </c>
      <c r="AJ483" s="61">
        <v>0.77306712962962965</v>
      </c>
      <c r="AK483" t="s">
        <v>5392</v>
      </c>
      <c r="AO483" t="s">
        <v>22</v>
      </c>
      <c r="AR483" s="31"/>
      <c r="AS483">
        <v>30</v>
      </c>
      <c r="AX483">
        <v>1</v>
      </c>
    </row>
    <row r="484" spans="1:50" x14ac:dyDescent="0.3">
      <c r="A484" t="s">
        <v>31</v>
      </c>
      <c r="B484">
        <v>969</v>
      </c>
      <c r="D484">
        <v>3304</v>
      </c>
      <c r="G484" t="s">
        <v>396</v>
      </c>
      <c r="H484">
        <v>64688089000103</v>
      </c>
      <c r="J484" t="s">
        <v>802</v>
      </c>
      <c r="K484" t="s">
        <v>3905</v>
      </c>
      <c r="M484" t="s">
        <v>4835</v>
      </c>
      <c r="Q484" t="s">
        <v>993</v>
      </c>
      <c r="R484" t="s">
        <v>932</v>
      </c>
      <c r="W484" t="s">
        <v>780</v>
      </c>
      <c r="X484" t="s">
        <v>793</v>
      </c>
      <c r="Z484" s="31">
        <v>46203</v>
      </c>
      <c r="AA484">
        <v>5191686</v>
      </c>
      <c r="AB484">
        <v>50562</v>
      </c>
      <c r="AC484">
        <v>16</v>
      </c>
      <c r="AD484" t="s">
        <v>31</v>
      </c>
      <c r="AE484" s="31">
        <v>46077</v>
      </c>
      <c r="AF484" s="61">
        <v>0.5290393518518518</v>
      </c>
      <c r="AH484" t="s">
        <v>795</v>
      </c>
      <c r="AI484" s="31">
        <v>46093</v>
      </c>
      <c r="AJ484" s="61">
        <v>0.71856481481481482</v>
      </c>
      <c r="AK484" t="s">
        <v>5347</v>
      </c>
      <c r="AN484" t="s">
        <v>4836</v>
      </c>
      <c r="AO484" t="s">
        <v>31</v>
      </c>
      <c r="AP484" t="s">
        <v>4668</v>
      </c>
      <c r="AR484" s="31">
        <v>46093</v>
      </c>
      <c r="AS484">
        <v>30</v>
      </c>
      <c r="AU484" t="s">
        <v>321</v>
      </c>
      <c r="AX484">
        <v>1</v>
      </c>
    </row>
    <row r="485" spans="1:50" x14ac:dyDescent="0.3">
      <c r="A485" t="s">
        <v>31</v>
      </c>
      <c r="B485">
        <v>971</v>
      </c>
      <c r="D485">
        <v>3303</v>
      </c>
      <c r="G485" t="s">
        <v>4837</v>
      </c>
      <c r="H485">
        <v>1397620000179</v>
      </c>
      <c r="J485" t="s">
        <v>4838</v>
      </c>
      <c r="K485" t="s">
        <v>5712</v>
      </c>
      <c r="M485" t="s">
        <v>4839</v>
      </c>
      <c r="S485" t="s">
        <v>2541</v>
      </c>
      <c r="V485" t="s">
        <v>5631</v>
      </c>
      <c r="W485" t="s">
        <v>780</v>
      </c>
      <c r="X485" t="s">
        <v>781</v>
      </c>
      <c r="Z485" s="31">
        <v>46081</v>
      </c>
      <c r="AC485">
        <v>73</v>
      </c>
      <c r="AD485" t="s">
        <v>22</v>
      </c>
      <c r="AE485" s="31">
        <v>46078</v>
      </c>
      <c r="AF485" s="61">
        <v>0.64763888888888888</v>
      </c>
      <c r="AH485" t="s">
        <v>795</v>
      </c>
      <c r="AI485" s="31">
        <v>46151</v>
      </c>
      <c r="AJ485" s="61">
        <v>0.36768518518518523</v>
      </c>
      <c r="AK485" t="s">
        <v>5377</v>
      </c>
      <c r="AO485" t="s">
        <v>31</v>
      </c>
      <c r="AR485" s="31"/>
      <c r="AS485">
        <v>27</v>
      </c>
      <c r="AX485">
        <v>1</v>
      </c>
    </row>
    <row r="486" spans="1:50" x14ac:dyDescent="0.3">
      <c r="A486" t="s">
        <v>44</v>
      </c>
      <c r="B486">
        <v>972</v>
      </c>
      <c r="D486">
        <v>3305</v>
      </c>
      <c r="E486" t="s">
        <v>5713</v>
      </c>
      <c r="G486" t="s">
        <v>457</v>
      </c>
      <c r="H486">
        <v>51119265000144</v>
      </c>
      <c r="J486" t="s">
        <v>4841</v>
      </c>
      <c r="K486" t="s">
        <v>4842</v>
      </c>
      <c r="M486" t="s">
        <v>4843</v>
      </c>
      <c r="Q486" t="s">
        <v>4844</v>
      </c>
      <c r="R486" t="s">
        <v>790</v>
      </c>
      <c r="S486" t="s">
        <v>2541</v>
      </c>
      <c r="V486" t="s">
        <v>5650</v>
      </c>
      <c r="W486" t="s">
        <v>780</v>
      </c>
      <c r="X486" t="s">
        <v>793</v>
      </c>
      <c r="Z486" s="31">
        <v>46078</v>
      </c>
      <c r="AA486">
        <v>5842744</v>
      </c>
      <c r="AB486">
        <v>145888</v>
      </c>
      <c r="AC486">
        <v>15</v>
      </c>
      <c r="AD486" t="s">
        <v>22</v>
      </c>
      <c r="AE486" s="31">
        <v>46078</v>
      </c>
      <c r="AF486" s="61">
        <v>0.64827546296296301</v>
      </c>
      <c r="AH486" t="s">
        <v>795</v>
      </c>
      <c r="AI486" s="31">
        <v>46093</v>
      </c>
      <c r="AJ486" s="61">
        <v>0.45283564814814808</v>
      </c>
      <c r="AK486" t="s">
        <v>934</v>
      </c>
      <c r="AL486" t="s">
        <v>5714</v>
      </c>
      <c r="AN486" t="s">
        <v>458</v>
      </c>
      <c r="AO486" t="s">
        <v>44</v>
      </c>
      <c r="AP486" t="s">
        <v>458</v>
      </c>
      <c r="AR486" s="31">
        <v>46093</v>
      </c>
      <c r="AS486">
        <v>30</v>
      </c>
      <c r="AX486">
        <v>1</v>
      </c>
    </row>
    <row r="487" spans="1:50" x14ac:dyDescent="0.3">
      <c r="A487" t="s">
        <v>44</v>
      </c>
      <c r="B487">
        <v>973</v>
      </c>
      <c r="D487">
        <v>3309</v>
      </c>
      <c r="E487" t="s">
        <v>5715</v>
      </c>
      <c r="G487" t="s">
        <v>4847</v>
      </c>
      <c r="H487">
        <v>13994329000167</v>
      </c>
      <c r="J487" t="s">
        <v>4848</v>
      </c>
      <c r="K487" t="s">
        <v>4849</v>
      </c>
      <c r="M487" t="s">
        <v>4850</v>
      </c>
      <c r="Q487" t="s">
        <v>4851</v>
      </c>
      <c r="R487" t="s">
        <v>1105</v>
      </c>
      <c r="S487" t="s">
        <v>1191</v>
      </c>
      <c r="V487" t="s">
        <v>5631</v>
      </c>
      <c r="W487" t="s">
        <v>780</v>
      </c>
      <c r="X487" t="s">
        <v>897</v>
      </c>
      <c r="Z487" s="31">
        <v>46081</v>
      </c>
      <c r="AC487">
        <v>1</v>
      </c>
      <c r="AD487" t="s">
        <v>22</v>
      </c>
      <c r="AE487" s="31">
        <v>46078</v>
      </c>
      <c r="AF487" s="61">
        <v>0.89695601851851847</v>
      </c>
      <c r="AH487" t="s">
        <v>795</v>
      </c>
      <c r="AI487" s="31">
        <v>46079</v>
      </c>
      <c r="AJ487" s="61">
        <v>0.96399305555555559</v>
      </c>
      <c r="AK487" t="s">
        <v>5392</v>
      </c>
      <c r="AO487" t="s">
        <v>44</v>
      </c>
      <c r="AR487" s="31"/>
      <c r="AS487">
        <v>30</v>
      </c>
      <c r="AX487">
        <v>1</v>
      </c>
    </row>
    <row r="488" spans="1:50" x14ac:dyDescent="0.3">
      <c r="A488" t="s">
        <v>31</v>
      </c>
      <c r="B488">
        <v>974</v>
      </c>
      <c r="D488">
        <v>3312</v>
      </c>
      <c r="G488" t="s">
        <v>4852</v>
      </c>
      <c r="J488" t="s">
        <v>4853</v>
      </c>
      <c r="K488" t="s">
        <v>5716</v>
      </c>
      <c r="M488" t="s">
        <v>4854</v>
      </c>
      <c r="S488" t="s">
        <v>2541</v>
      </c>
      <c r="V488" t="s">
        <v>5631</v>
      </c>
      <c r="W488" t="s">
        <v>780</v>
      </c>
      <c r="X488" t="s">
        <v>781</v>
      </c>
      <c r="Z488" s="31">
        <v>46173</v>
      </c>
      <c r="AC488">
        <v>72</v>
      </c>
      <c r="AD488" t="s">
        <v>22</v>
      </c>
      <c r="AE488" s="31">
        <v>46079</v>
      </c>
      <c r="AF488" s="61">
        <v>0.39581018518518518</v>
      </c>
      <c r="AH488" t="s">
        <v>795</v>
      </c>
      <c r="AI488" s="31">
        <v>46151</v>
      </c>
      <c r="AJ488" s="61">
        <v>0.36804398148148149</v>
      </c>
      <c r="AK488" t="s">
        <v>5377</v>
      </c>
      <c r="AO488" t="s">
        <v>31</v>
      </c>
      <c r="AR488" s="31">
        <v>46084</v>
      </c>
      <c r="AS488">
        <v>30</v>
      </c>
      <c r="AX488">
        <v>1</v>
      </c>
    </row>
    <row r="489" spans="1:50" x14ac:dyDescent="0.3">
      <c r="A489" t="s">
        <v>22</v>
      </c>
      <c r="B489">
        <v>976</v>
      </c>
      <c r="D489">
        <v>3314</v>
      </c>
      <c r="E489" t="s">
        <v>4855</v>
      </c>
      <c r="G489" t="s">
        <v>465</v>
      </c>
      <c r="H489">
        <v>22228036000160</v>
      </c>
      <c r="J489" t="s">
        <v>4856</v>
      </c>
      <c r="K489" t="s">
        <v>4857</v>
      </c>
      <c r="M489" t="s">
        <v>4858</v>
      </c>
      <c r="Q489" t="s">
        <v>4859</v>
      </c>
      <c r="R489" t="s">
        <v>790</v>
      </c>
      <c r="S489" t="s">
        <v>814</v>
      </c>
      <c r="V489" t="s">
        <v>5655</v>
      </c>
      <c r="W489" t="s">
        <v>780</v>
      </c>
      <c r="X489" t="s">
        <v>793</v>
      </c>
      <c r="Z489" s="31">
        <v>46112</v>
      </c>
      <c r="AC489">
        <v>22</v>
      </c>
      <c r="AD489" t="s">
        <v>22</v>
      </c>
      <c r="AE489" s="31">
        <v>46079</v>
      </c>
      <c r="AF489" s="61">
        <v>0.65738425925925925</v>
      </c>
      <c r="AH489" t="s">
        <v>795</v>
      </c>
      <c r="AI489" s="31">
        <v>46101</v>
      </c>
      <c r="AJ489" s="61">
        <v>0.72321759259259255</v>
      </c>
      <c r="AK489" t="s">
        <v>5338</v>
      </c>
      <c r="AN489" t="s">
        <v>395</v>
      </c>
      <c r="AO489" t="s">
        <v>22</v>
      </c>
      <c r="AP489" t="s">
        <v>395</v>
      </c>
      <c r="AR489" s="31">
        <v>46101</v>
      </c>
      <c r="AS489">
        <v>32</v>
      </c>
      <c r="AU489" t="s">
        <v>321</v>
      </c>
      <c r="AX489">
        <v>1</v>
      </c>
    </row>
    <row r="490" spans="1:50" x14ac:dyDescent="0.3">
      <c r="A490" t="s">
        <v>22</v>
      </c>
      <c r="B490">
        <v>977</v>
      </c>
      <c r="D490">
        <v>3318</v>
      </c>
      <c r="E490" t="s">
        <v>4860</v>
      </c>
      <c r="G490" t="s">
        <v>470</v>
      </c>
      <c r="H490">
        <v>82270893000150</v>
      </c>
      <c r="J490" t="s">
        <v>5717</v>
      </c>
      <c r="K490" t="s">
        <v>4862</v>
      </c>
      <c r="M490" t="s">
        <v>4863</v>
      </c>
      <c r="Q490" t="s">
        <v>4864</v>
      </c>
      <c r="R490" t="s">
        <v>1699</v>
      </c>
      <c r="W490" t="s">
        <v>780</v>
      </c>
      <c r="X490" t="s">
        <v>816</v>
      </c>
      <c r="Z490" s="31">
        <v>46081</v>
      </c>
      <c r="AA490">
        <v>35870</v>
      </c>
      <c r="AB490">
        <v>5290</v>
      </c>
      <c r="AC490">
        <v>12</v>
      </c>
      <c r="AD490" t="s">
        <v>22</v>
      </c>
      <c r="AE490" s="31">
        <v>46079</v>
      </c>
      <c r="AF490" s="61">
        <v>0.65870370370370368</v>
      </c>
      <c r="AH490" t="s">
        <v>795</v>
      </c>
      <c r="AI490" s="31">
        <v>46091</v>
      </c>
      <c r="AJ490" s="61">
        <v>0.48899305555555561</v>
      </c>
      <c r="AK490" t="s">
        <v>858</v>
      </c>
      <c r="AN490" t="s">
        <v>395</v>
      </c>
      <c r="AO490" t="s">
        <v>22</v>
      </c>
      <c r="AP490" t="s">
        <v>4762</v>
      </c>
      <c r="AR490" s="31"/>
      <c r="AS490">
        <v>30</v>
      </c>
      <c r="AT490" t="s">
        <v>5718</v>
      </c>
      <c r="AU490" t="s">
        <v>63</v>
      </c>
      <c r="AX490">
        <v>1</v>
      </c>
    </row>
    <row r="491" spans="1:50" x14ac:dyDescent="0.3">
      <c r="A491" t="s">
        <v>44</v>
      </c>
      <c r="B491">
        <v>978</v>
      </c>
      <c r="D491">
        <v>3323</v>
      </c>
      <c r="E491" t="s">
        <v>5714</v>
      </c>
      <c r="G491" t="s">
        <v>5719</v>
      </c>
      <c r="J491" t="s">
        <v>5720</v>
      </c>
      <c r="K491" t="s">
        <v>5721</v>
      </c>
      <c r="M491" t="s">
        <v>4843</v>
      </c>
      <c r="W491" t="s">
        <v>780</v>
      </c>
      <c r="X491" t="s">
        <v>793</v>
      </c>
      <c r="Z491" s="31"/>
      <c r="AA491">
        <v>1105989</v>
      </c>
      <c r="AB491">
        <v>29463</v>
      </c>
      <c r="AC491">
        <v>14</v>
      </c>
      <c r="AD491" t="s">
        <v>44</v>
      </c>
      <c r="AE491" s="31">
        <v>46079</v>
      </c>
      <c r="AF491" s="61">
        <v>0.72268518518518521</v>
      </c>
      <c r="AH491" t="s">
        <v>795</v>
      </c>
      <c r="AI491" s="31">
        <v>46093</v>
      </c>
      <c r="AJ491" s="61">
        <v>0.45361111111111108</v>
      </c>
      <c r="AK491" t="s">
        <v>934</v>
      </c>
      <c r="AL491" t="s">
        <v>5714</v>
      </c>
      <c r="AN491" t="s">
        <v>458</v>
      </c>
      <c r="AP491" t="s">
        <v>458</v>
      </c>
      <c r="AR491" s="31">
        <v>46094</v>
      </c>
      <c r="AS491">
        <v>30</v>
      </c>
      <c r="AX491">
        <v>1</v>
      </c>
    </row>
    <row r="492" spans="1:50" x14ac:dyDescent="0.3">
      <c r="A492" t="s">
        <v>44</v>
      </c>
      <c r="B492">
        <v>979</v>
      </c>
      <c r="D492">
        <v>3324</v>
      </c>
      <c r="E492" t="s">
        <v>5714</v>
      </c>
      <c r="G492" t="s">
        <v>5722</v>
      </c>
      <c r="J492" t="s">
        <v>5723</v>
      </c>
      <c r="K492" t="s">
        <v>5721</v>
      </c>
      <c r="M492" t="s">
        <v>4843</v>
      </c>
      <c r="W492" t="s">
        <v>780</v>
      </c>
      <c r="X492" t="s">
        <v>793</v>
      </c>
      <c r="Z492" s="31"/>
      <c r="AA492">
        <v>1600</v>
      </c>
      <c r="AB492">
        <v>252471</v>
      </c>
      <c r="AC492">
        <v>14</v>
      </c>
      <c r="AD492" t="s">
        <v>44</v>
      </c>
      <c r="AE492" s="31">
        <v>46079</v>
      </c>
      <c r="AF492" s="61">
        <v>0.73281249999999998</v>
      </c>
      <c r="AH492" t="s">
        <v>795</v>
      </c>
      <c r="AI492" s="31">
        <v>46093</v>
      </c>
      <c r="AJ492" s="61">
        <v>0.45197916666666671</v>
      </c>
      <c r="AK492" t="s">
        <v>934</v>
      </c>
      <c r="AL492" t="s">
        <v>5714</v>
      </c>
      <c r="AM492" t="s">
        <v>4733</v>
      </c>
      <c r="AN492" t="s">
        <v>458</v>
      </c>
      <c r="AR492" s="31"/>
      <c r="AS492">
        <v>30</v>
      </c>
      <c r="AX492">
        <v>1</v>
      </c>
    </row>
    <row r="493" spans="1:50" x14ac:dyDescent="0.3">
      <c r="A493" t="s">
        <v>22</v>
      </c>
      <c r="B493">
        <v>980</v>
      </c>
      <c r="D493">
        <v>3325</v>
      </c>
      <c r="G493" t="s">
        <v>475</v>
      </c>
      <c r="H493">
        <v>23059521000110</v>
      </c>
      <c r="J493" t="s">
        <v>4867</v>
      </c>
      <c r="K493" t="s">
        <v>4868</v>
      </c>
      <c r="Q493" t="s">
        <v>4869</v>
      </c>
      <c r="R493" t="s">
        <v>932</v>
      </c>
      <c r="W493" t="s">
        <v>780</v>
      </c>
      <c r="X493" t="s">
        <v>816</v>
      </c>
      <c r="Z493" s="31">
        <v>46081</v>
      </c>
      <c r="AA493">
        <v>7470289</v>
      </c>
      <c r="AB493">
        <v>1221612</v>
      </c>
      <c r="AC493">
        <v>0</v>
      </c>
      <c r="AD493" t="s">
        <v>22</v>
      </c>
      <c r="AE493" s="31">
        <v>46079</v>
      </c>
      <c r="AF493" s="61">
        <v>0.91543981481481485</v>
      </c>
      <c r="AH493" t="s">
        <v>818</v>
      </c>
      <c r="AI493" s="31">
        <v>46079</v>
      </c>
      <c r="AJ493" s="61">
        <v>0.91915509259259254</v>
      </c>
      <c r="AN493" t="s">
        <v>458</v>
      </c>
      <c r="AO493" t="s">
        <v>22</v>
      </c>
      <c r="AP493" t="s">
        <v>511</v>
      </c>
      <c r="AR493" s="31"/>
      <c r="AS493">
        <v>90</v>
      </c>
      <c r="AU493" t="s">
        <v>4870</v>
      </c>
      <c r="AV493" t="s">
        <v>4871</v>
      </c>
      <c r="AW493" t="s">
        <v>4872</v>
      </c>
      <c r="AX493">
        <v>1</v>
      </c>
    </row>
    <row r="494" spans="1:50" x14ac:dyDescent="0.3">
      <c r="A494" t="s">
        <v>44</v>
      </c>
      <c r="B494">
        <v>981</v>
      </c>
      <c r="D494">
        <v>3328</v>
      </c>
      <c r="G494" t="s">
        <v>231</v>
      </c>
      <c r="J494" t="s">
        <v>5724</v>
      </c>
      <c r="K494" t="s">
        <v>5725</v>
      </c>
      <c r="M494" t="s">
        <v>3088</v>
      </c>
      <c r="W494" t="s">
        <v>780</v>
      </c>
      <c r="X494" t="s">
        <v>793</v>
      </c>
      <c r="Z494" s="31"/>
      <c r="AA494">
        <v>0</v>
      </c>
      <c r="AB494">
        <v>1900</v>
      </c>
      <c r="AC494">
        <v>76</v>
      </c>
      <c r="AD494" t="s">
        <v>44</v>
      </c>
      <c r="AE494" s="31">
        <v>46080</v>
      </c>
      <c r="AF494" s="61">
        <v>0.45732638888888888</v>
      </c>
      <c r="AH494" t="s">
        <v>795</v>
      </c>
      <c r="AI494" s="31">
        <v>46156</v>
      </c>
      <c r="AJ494" s="61">
        <v>0.6177893518518518</v>
      </c>
      <c r="AK494" t="s">
        <v>934</v>
      </c>
      <c r="AL494" t="s">
        <v>5678</v>
      </c>
      <c r="AN494" t="s">
        <v>5679</v>
      </c>
      <c r="AP494" t="s">
        <v>5680</v>
      </c>
      <c r="AQ494" t="s">
        <v>5679</v>
      </c>
      <c r="AR494" s="31">
        <v>46156</v>
      </c>
      <c r="AS494">
        <v>30</v>
      </c>
      <c r="AX494">
        <v>1</v>
      </c>
    </row>
    <row r="495" spans="1:50" x14ac:dyDescent="0.3">
      <c r="A495" t="s">
        <v>44</v>
      </c>
      <c r="B495">
        <v>982</v>
      </c>
      <c r="D495">
        <v>3329</v>
      </c>
      <c r="G495" t="s">
        <v>479</v>
      </c>
      <c r="J495" t="s">
        <v>4874</v>
      </c>
      <c r="K495" t="s">
        <v>3172</v>
      </c>
      <c r="M495" t="s">
        <v>3135</v>
      </c>
      <c r="W495" t="s">
        <v>780</v>
      </c>
      <c r="X495" t="s">
        <v>807</v>
      </c>
      <c r="Z495" s="31"/>
      <c r="AA495">
        <v>1600</v>
      </c>
      <c r="AB495">
        <v>252471</v>
      </c>
      <c r="AC495">
        <v>56</v>
      </c>
      <c r="AD495" t="s">
        <v>44</v>
      </c>
      <c r="AE495" s="31">
        <v>46080</v>
      </c>
      <c r="AF495" s="61">
        <v>0.51340277777777776</v>
      </c>
      <c r="AH495" t="s">
        <v>795</v>
      </c>
      <c r="AI495" s="31">
        <v>46136</v>
      </c>
      <c r="AJ495" s="61">
        <v>0.38449074074074069</v>
      </c>
      <c r="AK495" t="s">
        <v>934</v>
      </c>
      <c r="AL495" t="s">
        <v>5726</v>
      </c>
      <c r="AN495" t="s">
        <v>480</v>
      </c>
      <c r="AP495" t="s">
        <v>403</v>
      </c>
      <c r="AQ495" t="s">
        <v>480</v>
      </c>
      <c r="AR495" s="31"/>
      <c r="AS495">
        <v>30</v>
      </c>
      <c r="AX495">
        <v>1</v>
      </c>
    </row>
    <row r="496" spans="1:50" x14ac:dyDescent="0.3">
      <c r="A496" t="s">
        <v>44</v>
      </c>
      <c r="B496">
        <v>983</v>
      </c>
      <c r="D496">
        <v>3330</v>
      </c>
      <c r="G496" t="s">
        <v>4875</v>
      </c>
      <c r="J496" t="s">
        <v>4876</v>
      </c>
      <c r="K496" t="s">
        <v>5727</v>
      </c>
      <c r="M496" t="s">
        <v>1111</v>
      </c>
      <c r="W496" t="s">
        <v>780</v>
      </c>
      <c r="X496" t="s">
        <v>816</v>
      </c>
      <c r="Z496" s="31"/>
      <c r="AA496">
        <v>0</v>
      </c>
      <c r="AB496">
        <v>384454</v>
      </c>
      <c r="AC496">
        <v>33</v>
      </c>
      <c r="AD496" t="s">
        <v>44</v>
      </c>
      <c r="AE496" s="31">
        <v>46080</v>
      </c>
      <c r="AF496" s="61">
        <v>0.5448263888888889</v>
      </c>
      <c r="AH496" t="s">
        <v>818</v>
      </c>
      <c r="AI496" s="31">
        <v>46113</v>
      </c>
      <c r="AJ496" s="61">
        <v>0.44480324074074068</v>
      </c>
      <c r="AN496" t="s">
        <v>403</v>
      </c>
      <c r="AR496" s="31"/>
      <c r="AS496">
        <v>30</v>
      </c>
      <c r="AX496">
        <v>1</v>
      </c>
    </row>
    <row r="497" spans="1:50" x14ac:dyDescent="0.3">
      <c r="A497" t="s">
        <v>44</v>
      </c>
      <c r="B497">
        <v>984</v>
      </c>
      <c r="D497">
        <v>3331</v>
      </c>
      <c r="G497" t="s">
        <v>489</v>
      </c>
      <c r="J497" t="s">
        <v>4877</v>
      </c>
      <c r="K497" t="s">
        <v>5728</v>
      </c>
      <c r="M497" t="s">
        <v>3157</v>
      </c>
      <c r="W497" t="s">
        <v>780</v>
      </c>
      <c r="X497" t="s">
        <v>857</v>
      </c>
      <c r="Z497" s="31"/>
      <c r="AA497">
        <v>0</v>
      </c>
      <c r="AB497">
        <v>0</v>
      </c>
      <c r="AC497">
        <v>82</v>
      </c>
      <c r="AD497" t="s">
        <v>44</v>
      </c>
      <c r="AE497" s="31">
        <v>46080</v>
      </c>
      <c r="AF497" s="61">
        <v>0.54798611111111106</v>
      </c>
      <c r="AH497" t="s">
        <v>782</v>
      </c>
      <c r="AI497" s="31"/>
      <c r="AJ497" s="61"/>
      <c r="AP497" t="s">
        <v>5729</v>
      </c>
      <c r="AR497" s="31">
        <v>46141</v>
      </c>
      <c r="AS497">
        <v>30</v>
      </c>
      <c r="AX497">
        <v>1</v>
      </c>
    </row>
    <row r="498" spans="1:50" x14ac:dyDescent="0.3">
      <c r="A498" t="s">
        <v>22</v>
      </c>
      <c r="B498">
        <v>985</v>
      </c>
      <c r="D498">
        <v>3332</v>
      </c>
      <c r="E498" t="s">
        <v>4878</v>
      </c>
      <c r="G498" t="s">
        <v>481</v>
      </c>
      <c r="J498" t="s">
        <v>4879</v>
      </c>
      <c r="K498" t="s">
        <v>5730</v>
      </c>
      <c r="M498" t="s">
        <v>3168</v>
      </c>
      <c r="W498" t="s">
        <v>780</v>
      </c>
      <c r="X498" t="s">
        <v>816</v>
      </c>
      <c r="Z498" s="31">
        <v>46112</v>
      </c>
      <c r="AA498">
        <v>5007058</v>
      </c>
      <c r="AB498">
        <v>268966</v>
      </c>
      <c r="AC498">
        <v>42</v>
      </c>
      <c r="AD498" t="s">
        <v>22</v>
      </c>
      <c r="AE498" s="31">
        <v>46080</v>
      </c>
      <c r="AF498" s="61">
        <v>0.60878472222222224</v>
      </c>
      <c r="AH498" t="s">
        <v>795</v>
      </c>
      <c r="AI498" s="31">
        <v>46122</v>
      </c>
      <c r="AJ498" s="61">
        <v>0.66790509259259256</v>
      </c>
      <c r="AK498" t="s">
        <v>858</v>
      </c>
      <c r="AN498" t="s">
        <v>395</v>
      </c>
      <c r="AO498" t="s">
        <v>22</v>
      </c>
      <c r="AP498" t="s">
        <v>395</v>
      </c>
      <c r="AR498" s="31">
        <v>46093</v>
      </c>
      <c r="AS498">
        <v>30</v>
      </c>
      <c r="AT498" t="s">
        <v>5731</v>
      </c>
      <c r="AU498" t="s">
        <v>321</v>
      </c>
      <c r="AX498">
        <v>1</v>
      </c>
    </row>
    <row r="499" spans="1:50" x14ac:dyDescent="0.3">
      <c r="A499" t="s">
        <v>22</v>
      </c>
      <c r="B499">
        <v>987</v>
      </c>
      <c r="D499">
        <v>3334</v>
      </c>
      <c r="E499" t="s">
        <v>4880</v>
      </c>
      <c r="G499" t="s">
        <v>390</v>
      </c>
      <c r="H499">
        <v>7730144000142</v>
      </c>
      <c r="J499" t="s">
        <v>5732</v>
      </c>
      <c r="K499" t="s">
        <v>5733</v>
      </c>
      <c r="M499" t="s">
        <v>4882</v>
      </c>
      <c r="W499" t="s">
        <v>780</v>
      </c>
      <c r="X499" t="s">
        <v>807</v>
      </c>
      <c r="Z499" s="31">
        <v>46112</v>
      </c>
      <c r="AA499">
        <v>29800</v>
      </c>
      <c r="AB499">
        <v>4600</v>
      </c>
      <c r="AC499">
        <v>80</v>
      </c>
      <c r="AD499" t="s">
        <v>22</v>
      </c>
      <c r="AE499" s="31">
        <v>46080</v>
      </c>
      <c r="AF499" s="61">
        <v>0.89208333333333334</v>
      </c>
      <c r="AH499" t="s">
        <v>795</v>
      </c>
      <c r="AI499" s="31">
        <v>46160</v>
      </c>
      <c r="AJ499" s="61">
        <v>0.70453703703703707</v>
      </c>
      <c r="AK499" t="s">
        <v>5338</v>
      </c>
      <c r="AN499" t="s">
        <v>4706</v>
      </c>
      <c r="AO499" t="s">
        <v>22</v>
      </c>
      <c r="AP499" t="s">
        <v>4883</v>
      </c>
      <c r="AR499" s="31">
        <v>46101</v>
      </c>
      <c r="AS499">
        <v>30</v>
      </c>
      <c r="AU499" t="s">
        <v>63</v>
      </c>
      <c r="AX499">
        <v>1</v>
      </c>
    </row>
    <row r="500" spans="1:50" x14ac:dyDescent="0.3">
      <c r="A500" t="s">
        <v>31</v>
      </c>
      <c r="B500">
        <v>990</v>
      </c>
      <c r="D500">
        <v>3335</v>
      </c>
      <c r="E500" t="s">
        <v>4884</v>
      </c>
      <c r="G500" t="s">
        <v>4885</v>
      </c>
      <c r="H500">
        <v>15497764000616</v>
      </c>
      <c r="J500" t="s">
        <v>5734</v>
      </c>
      <c r="K500" t="s">
        <v>4887</v>
      </c>
      <c r="M500" t="s">
        <v>4888</v>
      </c>
      <c r="Q500" t="s">
        <v>4889</v>
      </c>
      <c r="R500" t="s">
        <v>932</v>
      </c>
      <c r="S500" t="s">
        <v>814</v>
      </c>
      <c r="V500" t="s">
        <v>5655</v>
      </c>
      <c r="W500" t="s">
        <v>780</v>
      </c>
      <c r="X500" t="s">
        <v>857</v>
      </c>
      <c r="Z500" s="31">
        <v>46203</v>
      </c>
      <c r="AC500">
        <v>35</v>
      </c>
      <c r="AD500" t="s">
        <v>22</v>
      </c>
      <c r="AE500" s="31">
        <v>46084</v>
      </c>
      <c r="AF500" s="61">
        <v>0.89053240740740736</v>
      </c>
      <c r="AH500" t="s">
        <v>795</v>
      </c>
      <c r="AI500" s="31">
        <v>46119</v>
      </c>
      <c r="AJ500" s="61">
        <v>0.45798611111111109</v>
      </c>
      <c r="AK500" t="s">
        <v>5338</v>
      </c>
      <c r="AO500" t="s">
        <v>31</v>
      </c>
      <c r="AR500" s="31">
        <v>46119</v>
      </c>
      <c r="AS500">
        <v>30</v>
      </c>
      <c r="AU500" t="s">
        <v>47</v>
      </c>
      <c r="AX500">
        <v>1</v>
      </c>
    </row>
    <row r="501" spans="1:50" x14ac:dyDescent="0.3">
      <c r="A501" t="s">
        <v>44</v>
      </c>
      <c r="B501">
        <v>991</v>
      </c>
      <c r="D501">
        <v>3339</v>
      </c>
      <c r="E501" t="s">
        <v>5735</v>
      </c>
      <c r="G501" t="s">
        <v>407</v>
      </c>
      <c r="H501">
        <v>5137778000160</v>
      </c>
      <c r="J501" t="s">
        <v>4891</v>
      </c>
      <c r="K501" t="s">
        <v>4892</v>
      </c>
      <c r="M501" t="s">
        <v>4893</v>
      </c>
      <c r="Q501" t="s">
        <v>4894</v>
      </c>
      <c r="S501" t="s">
        <v>814</v>
      </c>
      <c r="V501" t="s">
        <v>5655</v>
      </c>
      <c r="W501" t="s">
        <v>780</v>
      </c>
      <c r="X501" t="s">
        <v>857</v>
      </c>
      <c r="Z501" s="31">
        <v>46112</v>
      </c>
      <c r="AA501">
        <v>1104172</v>
      </c>
      <c r="AB501">
        <v>656776</v>
      </c>
      <c r="AC501">
        <v>20</v>
      </c>
      <c r="AD501" t="s">
        <v>22</v>
      </c>
      <c r="AE501" s="31">
        <v>46085</v>
      </c>
      <c r="AF501" s="61">
        <v>0.69291666666666663</v>
      </c>
      <c r="AH501" t="s">
        <v>795</v>
      </c>
      <c r="AI501" s="31">
        <v>46105</v>
      </c>
      <c r="AJ501" s="61">
        <v>0.64593750000000005</v>
      </c>
      <c r="AK501" t="s">
        <v>934</v>
      </c>
      <c r="AL501" t="s">
        <v>5736</v>
      </c>
      <c r="AN501" t="s">
        <v>4732</v>
      </c>
      <c r="AO501" t="s">
        <v>44</v>
      </c>
      <c r="AP501" t="s">
        <v>4732</v>
      </c>
      <c r="AR501" s="31">
        <v>46090</v>
      </c>
      <c r="AS501">
        <v>30</v>
      </c>
      <c r="AU501" t="s">
        <v>69</v>
      </c>
      <c r="AX501">
        <v>1</v>
      </c>
    </row>
    <row r="502" spans="1:50" x14ac:dyDescent="0.3">
      <c r="A502" t="s">
        <v>22</v>
      </c>
      <c r="B502">
        <v>993</v>
      </c>
      <c r="D502">
        <v>3342</v>
      </c>
      <c r="E502" t="s">
        <v>4896</v>
      </c>
      <c r="G502" t="s">
        <v>433</v>
      </c>
      <c r="H502">
        <v>43191819000196</v>
      </c>
      <c r="J502" t="s">
        <v>4897</v>
      </c>
      <c r="K502" t="s">
        <v>4898</v>
      </c>
      <c r="M502" t="s">
        <v>4899</v>
      </c>
      <c r="Q502" t="s">
        <v>4900</v>
      </c>
      <c r="R502" t="s">
        <v>1699</v>
      </c>
      <c r="W502" t="s">
        <v>780</v>
      </c>
      <c r="X502" t="s">
        <v>807</v>
      </c>
      <c r="Z502" s="31">
        <v>46112</v>
      </c>
      <c r="AA502">
        <v>895843</v>
      </c>
      <c r="AB502">
        <v>395308</v>
      </c>
      <c r="AC502">
        <v>36</v>
      </c>
      <c r="AD502" t="s">
        <v>22</v>
      </c>
      <c r="AE502" s="31">
        <v>46086</v>
      </c>
      <c r="AF502" s="61">
        <v>0.36936342592592591</v>
      </c>
      <c r="AH502" t="s">
        <v>795</v>
      </c>
      <c r="AI502" s="31">
        <v>46122</v>
      </c>
      <c r="AJ502" s="61">
        <v>0.72621527777777772</v>
      </c>
      <c r="AK502" t="s">
        <v>5347</v>
      </c>
      <c r="AN502" t="s">
        <v>4788</v>
      </c>
      <c r="AO502" t="s">
        <v>22</v>
      </c>
      <c r="AP502" t="s">
        <v>4679</v>
      </c>
      <c r="AR502" s="31">
        <v>46101</v>
      </c>
      <c r="AS502">
        <v>30</v>
      </c>
      <c r="AU502" t="s">
        <v>2932</v>
      </c>
      <c r="AX502">
        <v>1</v>
      </c>
    </row>
    <row r="503" spans="1:50" x14ac:dyDescent="0.3">
      <c r="A503" t="s">
        <v>31</v>
      </c>
      <c r="B503">
        <v>994</v>
      </c>
      <c r="D503">
        <v>3347</v>
      </c>
      <c r="E503" t="s">
        <v>4901</v>
      </c>
      <c r="F503" t="s">
        <v>4902</v>
      </c>
      <c r="G503" t="s">
        <v>4903</v>
      </c>
      <c r="H503">
        <v>61808531000523</v>
      </c>
      <c r="J503" t="s">
        <v>4902</v>
      </c>
      <c r="K503" t="s">
        <v>5737</v>
      </c>
      <c r="M503" t="s">
        <v>4905</v>
      </c>
      <c r="Q503" t="s">
        <v>1094</v>
      </c>
      <c r="R503" t="s">
        <v>790</v>
      </c>
      <c r="S503" t="s">
        <v>805</v>
      </c>
      <c r="W503" t="s">
        <v>780</v>
      </c>
      <c r="X503" t="s">
        <v>793</v>
      </c>
      <c r="Z503" s="31">
        <v>46142</v>
      </c>
      <c r="AC503">
        <v>76</v>
      </c>
      <c r="AD503" t="s">
        <v>31</v>
      </c>
      <c r="AE503" s="31">
        <v>46086</v>
      </c>
      <c r="AF503" s="61">
        <v>0.72510416666666666</v>
      </c>
      <c r="AH503" t="s">
        <v>782</v>
      </c>
      <c r="AI503" s="31"/>
      <c r="AJ503" s="61"/>
      <c r="AO503" t="s">
        <v>31</v>
      </c>
      <c r="AP503" t="s">
        <v>4748</v>
      </c>
      <c r="AQ503" t="s">
        <v>4733</v>
      </c>
      <c r="AR503" s="31">
        <v>46135</v>
      </c>
      <c r="AS503">
        <v>30</v>
      </c>
      <c r="AU503" t="s">
        <v>63</v>
      </c>
      <c r="AX503">
        <v>1</v>
      </c>
    </row>
    <row r="504" spans="1:50" x14ac:dyDescent="0.3">
      <c r="A504" t="s">
        <v>44</v>
      </c>
      <c r="B504">
        <v>995</v>
      </c>
      <c r="D504">
        <v>3348</v>
      </c>
      <c r="E504" t="s">
        <v>4906</v>
      </c>
      <c r="F504" t="s">
        <v>4907</v>
      </c>
      <c r="G504" t="s">
        <v>415</v>
      </c>
      <c r="H504">
        <v>58092341000114</v>
      </c>
      <c r="J504" t="s">
        <v>4907</v>
      </c>
      <c r="K504" t="s">
        <v>4908</v>
      </c>
      <c r="M504" t="s">
        <v>4909</v>
      </c>
      <c r="Q504" t="s">
        <v>4910</v>
      </c>
      <c r="R504" t="s">
        <v>932</v>
      </c>
      <c r="S504" t="s">
        <v>805</v>
      </c>
      <c r="W504" t="s">
        <v>780</v>
      </c>
      <c r="X504" t="s">
        <v>793</v>
      </c>
      <c r="Z504" s="31"/>
      <c r="AA504">
        <v>686343</v>
      </c>
      <c r="AB504">
        <v>36781</v>
      </c>
      <c r="AC504">
        <v>3</v>
      </c>
      <c r="AD504" t="s">
        <v>44</v>
      </c>
      <c r="AE504" s="31">
        <v>46087</v>
      </c>
      <c r="AF504" s="61">
        <v>0.52327546296296301</v>
      </c>
      <c r="AH504" t="s">
        <v>795</v>
      </c>
      <c r="AI504" s="31">
        <v>46090</v>
      </c>
      <c r="AJ504" s="61">
        <v>0.39971064814814822</v>
      </c>
      <c r="AK504" t="s">
        <v>934</v>
      </c>
      <c r="AL504" t="s">
        <v>4906</v>
      </c>
      <c r="AN504" t="s">
        <v>4911</v>
      </c>
      <c r="AP504" t="s">
        <v>4911</v>
      </c>
      <c r="AR504" s="31">
        <v>46087</v>
      </c>
      <c r="AS504">
        <v>50</v>
      </c>
      <c r="AX504">
        <v>1</v>
      </c>
    </row>
    <row r="505" spans="1:50" x14ac:dyDescent="0.3">
      <c r="A505" t="s">
        <v>44</v>
      </c>
      <c r="B505">
        <v>996</v>
      </c>
      <c r="D505">
        <v>3351</v>
      </c>
      <c r="E505" t="s">
        <v>4912</v>
      </c>
      <c r="F505" t="s">
        <v>4913</v>
      </c>
      <c r="G505" t="s">
        <v>432</v>
      </c>
      <c r="H505">
        <v>27672869000139</v>
      </c>
      <c r="J505" t="s">
        <v>5738</v>
      </c>
      <c r="K505" t="s">
        <v>4915</v>
      </c>
      <c r="M505" t="s">
        <v>4916</v>
      </c>
      <c r="Q505" t="s">
        <v>993</v>
      </c>
      <c r="R505" t="s">
        <v>932</v>
      </c>
      <c r="W505" t="s">
        <v>780</v>
      </c>
      <c r="X505" t="s">
        <v>857</v>
      </c>
      <c r="Z505" s="31"/>
      <c r="AA505">
        <v>7305558</v>
      </c>
      <c r="AB505">
        <v>143186</v>
      </c>
      <c r="AC505">
        <v>40</v>
      </c>
      <c r="AD505" t="s">
        <v>44</v>
      </c>
      <c r="AE505" s="31">
        <v>46087</v>
      </c>
      <c r="AF505" s="61">
        <v>0.71341435185185187</v>
      </c>
      <c r="AH505" t="s">
        <v>795</v>
      </c>
      <c r="AI505" s="31">
        <v>46127</v>
      </c>
      <c r="AJ505" s="61">
        <v>0.39947916666666672</v>
      </c>
      <c r="AK505" t="s">
        <v>934</v>
      </c>
      <c r="AL505" t="s">
        <v>4917</v>
      </c>
      <c r="AN505" t="s">
        <v>4918</v>
      </c>
      <c r="AP505" t="s">
        <v>4748</v>
      </c>
      <c r="AR505" s="31">
        <v>46127</v>
      </c>
      <c r="AS505">
        <v>30</v>
      </c>
      <c r="AX505">
        <v>1</v>
      </c>
    </row>
    <row r="506" spans="1:50" x14ac:dyDescent="0.3">
      <c r="A506" t="s">
        <v>31</v>
      </c>
      <c r="B506">
        <v>997</v>
      </c>
      <c r="D506">
        <v>3341</v>
      </c>
      <c r="G506" t="s">
        <v>4919</v>
      </c>
      <c r="J506" t="s">
        <v>4920</v>
      </c>
      <c r="K506" t="s">
        <v>5739</v>
      </c>
      <c r="M506" t="s">
        <v>4921</v>
      </c>
      <c r="S506" t="s">
        <v>2541</v>
      </c>
      <c r="V506" t="s">
        <v>5631</v>
      </c>
      <c r="W506" t="s">
        <v>780</v>
      </c>
      <c r="X506" t="s">
        <v>781</v>
      </c>
      <c r="Z506" s="31">
        <v>46112</v>
      </c>
      <c r="AC506">
        <v>1</v>
      </c>
      <c r="AD506" t="s">
        <v>22</v>
      </c>
      <c r="AE506" s="31">
        <v>46090</v>
      </c>
      <c r="AF506" s="61">
        <v>0.59471064814814811</v>
      </c>
      <c r="AH506" t="s">
        <v>795</v>
      </c>
      <c r="AI506" s="31">
        <v>46091</v>
      </c>
      <c r="AJ506" s="61">
        <v>0.41895833333333332</v>
      </c>
      <c r="AK506" t="s">
        <v>5392</v>
      </c>
      <c r="AO506" t="s">
        <v>31</v>
      </c>
      <c r="AR506" s="31"/>
      <c r="AS506">
        <v>30</v>
      </c>
      <c r="AX506">
        <v>1</v>
      </c>
    </row>
    <row r="507" spans="1:50" x14ac:dyDescent="0.3">
      <c r="A507" t="s">
        <v>44</v>
      </c>
      <c r="B507">
        <v>999</v>
      </c>
      <c r="D507">
        <v>3360</v>
      </c>
      <c r="E507" t="s">
        <v>4922</v>
      </c>
      <c r="G507" t="s">
        <v>4923</v>
      </c>
      <c r="J507" t="s">
        <v>4924</v>
      </c>
      <c r="K507" t="s">
        <v>5740</v>
      </c>
      <c r="M507" t="s">
        <v>4925</v>
      </c>
      <c r="S507" t="s">
        <v>2541</v>
      </c>
      <c r="V507" t="s">
        <v>5631</v>
      </c>
      <c r="W507" t="s">
        <v>780</v>
      </c>
      <c r="X507" t="s">
        <v>897</v>
      </c>
      <c r="Z507" s="31">
        <v>46112</v>
      </c>
      <c r="AC507">
        <v>29</v>
      </c>
      <c r="AD507" t="s">
        <v>22</v>
      </c>
      <c r="AE507" s="31">
        <v>46091</v>
      </c>
      <c r="AF507" s="61">
        <v>0.38</v>
      </c>
      <c r="AH507" t="s">
        <v>795</v>
      </c>
      <c r="AI507" s="31">
        <v>46120</v>
      </c>
      <c r="AJ507" s="61">
        <v>0.72618055555555561</v>
      </c>
      <c r="AK507" t="s">
        <v>5392</v>
      </c>
      <c r="AL507" t="s">
        <v>5741</v>
      </c>
      <c r="AO507" t="s">
        <v>44</v>
      </c>
      <c r="AR507" s="31">
        <v>46100</v>
      </c>
      <c r="AS507">
        <v>30</v>
      </c>
      <c r="AX507">
        <v>1</v>
      </c>
    </row>
    <row r="508" spans="1:50" x14ac:dyDescent="0.3">
      <c r="A508" t="s">
        <v>22</v>
      </c>
      <c r="B508">
        <v>1000</v>
      </c>
      <c r="D508">
        <v>3358</v>
      </c>
      <c r="E508" t="s">
        <v>4927</v>
      </c>
      <c r="G508" t="s">
        <v>4928</v>
      </c>
      <c r="J508" t="s">
        <v>4929</v>
      </c>
      <c r="K508" t="s">
        <v>5742</v>
      </c>
      <c r="M508" t="s">
        <v>4930</v>
      </c>
      <c r="S508" t="s">
        <v>2541</v>
      </c>
      <c r="V508" t="s">
        <v>5650</v>
      </c>
      <c r="W508" t="s">
        <v>780</v>
      </c>
      <c r="X508" t="s">
        <v>897</v>
      </c>
      <c r="Z508" s="31">
        <v>46112</v>
      </c>
      <c r="AC508">
        <v>2</v>
      </c>
      <c r="AD508" t="s">
        <v>22</v>
      </c>
      <c r="AE508" s="31">
        <v>46091</v>
      </c>
      <c r="AF508" s="61">
        <v>0.38824074074074072</v>
      </c>
      <c r="AH508" t="s">
        <v>795</v>
      </c>
      <c r="AI508" s="31">
        <v>46093</v>
      </c>
      <c r="AJ508" s="61">
        <v>0.72733796296296294</v>
      </c>
      <c r="AK508" t="s">
        <v>5392</v>
      </c>
      <c r="AO508" t="s">
        <v>22</v>
      </c>
      <c r="AR508" s="31">
        <v>46093</v>
      </c>
      <c r="AS508">
        <v>30</v>
      </c>
      <c r="AX508">
        <v>1</v>
      </c>
    </row>
    <row r="509" spans="1:50" x14ac:dyDescent="0.3">
      <c r="A509" t="s">
        <v>31</v>
      </c>
      <c r="B509">
        <v>1001</v>
      </c>
      <c r="D509">
        <v>3357</v>
      </c>
      <c r="E509" t="s">
        <v>4931</v>
      </c>
      <c r="G509" t="s">
        <v>406</v>
      </c>
      <c r="J509" t="s">
        <v>4932</v>
      </c>
      <c r="K509" t="s">
        <v>4933</v>
      </c>
      <c r="M509" t="s">
        <v>4934</v>
      </c>
      <c r="Q509" t="s">
        <v>4935</v>
      </c>
      <c r="S509" t="s">
        <v>814</v>
      </c>
      <c r="V509" t="s">
        <v>5655</v>
      </c>
      <c r="W509" t="s">
        <v>780</v>
      </c>
      <c r="X509" t="s">
        <v>807</v>
      </c>
      <c r="Z509" s="31">
        <v>46173</v>
      </c>
      <c r="AA509">
        <v>16800</v>
      </c>
      <c r="AB509">
        <v>12600</v>
      </c>
      <c r="AC509">
        <v>71</v>
      </c>
      <c r="AD509" t="s">
        <v>22</v>
      </c>
      <c r="AE509" s="31">
        <v>46091</v>
      </c>
      <c r="AF509" s="61">
        <v>0.38930555555555563</v>
      </c>
      <c r="AH509" t="s">
        <v>782</v>
      </c>
      <c r="AI509" s="31"/>
      <c r="AJ509" s="61"/>
      <c r="AN509" t="s">
        <v>4664</v>
      </c>
      <c r="AO509" t="s">
        <v>31</v>
      </c>
      <c r="AP509" t="s">
        <v>4654</v>
      </c>
      <c r="AR509" s="31">
        <v>46155</v>
      </c>
      <c r="AS509">
        <v>30</v>
      </c>
      <c r="AX509">
        <v>1</v>
      </c>
    </row>
    <row r="510" spans="1:50" x14ac:dyDescent="0.3">
      <c r="A510" t="s">
        <v>44</v>
      </c>
      <c r="B510">
        <v>1002</v>
      </c>
      <c r="D510">
        <v>3356</v>
      </c>
      <c r="E510" t="s">
        <v>5743</v>
      </c>
      <c r="G510" t="s">
        <v>4937</v>
      </c>
      <c r="J510" t="s">
        <v>4938</v>
      </c>
      <c r="K510" t="s">
        <v>5744</v>
      </c>
      <c r="M510" t="s">
        <v>4939</v>
      </c>
      <c r="S510" t="s">
        <v>2541</v>
      </c>
      <c r="V510" t="s">
        <v>5631</v>
      </c>
      <c r="W510" t="s">
        <v>780</v>
      </c>
      <c r="X510" t="s">
        <v>897</v>
      </c>
      <c r="Z510" s="31">
        <v>46112</v>
      </c>
      <c r="AC510">
        <v>17</v>
      </c>
      <c r="AD510" t="s">
        <v>22</v>
      </c>
      <c r="AE510" s="31">
        <v>46091</v>
      </c>
      <c r="AF510" s="61">
        <v>0.40599537037037042</v>
      </c>
      <c r="AH510" t="s">
        <v>795</v>
      </c>
      <c r="AI510" s="31">
        <v>46108</v>
      </c>
      <c r="AJ510" s="61">
        <v>0.6</v>
      </c>
      <c r="AK510" t="s">
        <v>5392</v>
      </c>
      <c r="AL510" t="s">
        <v>5745</v>
      </c>
      <c r="AO510" t="s">
        <v>44</v>
      </c>
      <c r="AR510" s="31">
        <v>46108</v>
      </c>
      <c r="AS510">
        <v>30</v>
      </c>
      <c r="AX510">
        <v>1</v>
      </c>
    </row>
    <row r="511" spans="1:50" x14ac:dyDescent="0.3">
      <c r="A511" t="s">
        <v>31</v>
      </c>
      <c r="B511">
        <v>1003</v>
      </c>
      <c r="D511">
        <v>3355</v>
      </c>
      <c r="G511" t="s">
        <v>4941</v>
      </c>
      <c r="J511" t="s">
        <v>4942</v>
      </c>
      <c r="K511" t="s">
        <v>5746</v>
      </c>
      <c r="M511" t="s">
        <v>4943</v>
      </c>
      <c r="S511" t="s">
        <v>2541</v>
      </c>
      <c r="V511" t="s">
        <v>5631</v>
      </c>
      <c r="W511" t="s">
        <v>780</v>
      </c>
      <c r="X511" t="s">
        <v>781</v>
      </c>
      <c r="Z511" s="31">
        <v>46112</v>
      </c>
      <c r="AC511">
        <v>0</v>
      </c>
      <c r="AD511" t="s">
        <v>22</v>
      </c>
      <c r="AE511" s="31">
        <v>46091</v>
      </c>
      <c r="AF511" s="61">
        <v>0.40715277777777781</v>
      </c>
      <c r="AH511" t="s">
        <v>795</v>
      </c>
      <c r="AI511" s="31">
        <v>46091</v>
      </c>
      <c r="AJ511" s="61">
        <v>0.43315972222222221</v>
      </c>
      <c r="AK511" t="s">
        <v>5392</v>
      </c>
      <c r="AO511" t="s">
        <v>31</v>
      </c>
      <c r="AR511" s="31"/>
      <c r="AS511">
        <v>30</v>
      </c>
      <c r="AX511">
        <v>1</v>
      </c>
    </row>
    <row r="512" spans="1:50" x14ac:dyDescent="0.3">
      <c r="A512" t="s">
        <v>22</v>
      </c>
      <c r="B512">
        <v>1004</v>
      </c>
      <c r="D512">
        <v>3353</v>
      </c>
      <c r="E512" t="s">
        <v>4944</v>
      </c>
      <c r="G512" t="s">
        <v>416</v>
      </c>
      <c r="H512">
        <v>5291214000188</v>
      </c>
      <c r="J512" t="s">
        <v>4945</v>
      </c>
      <c r="K512" t="s">
        <v>4946</v>
      </c>
      <c r="M512" t="s">
        <v>4947</v>
      </c>
      <c r="Q512" t="s">
        <v>3774</v>
      </c>
      <c r="R512" t="s">
        <v>1105</v>
      </c>
      <c r="S512" t="s">
        <v>814</v>
      </c>
      <c r="V512" t="s">
        <v>1186</v>
      </c>
      <c r="W512" t="s">
        <v>780</v>
      </c>
      <c r="X512" t="s">
        <v>807</v>
      </c>
      <c r="Z512" s="31">
        <v>46112</v>
      </c>
      <c r="AA512">
        <v>22800</v>
      </c>
      <c r="AB512">
        <v>14256</v>
      </c>
      <c r="AC512">
        <v>10</v>
      </c>
      <c r="AD512" t="s">
        <v>22</v>
      </c>
      <c r="AE512" s="31">
        <v>46091</v>
      </c>
      <c r="AF512" s="61">
        <v>0.4117939814814815</v>
      </c>
      <c r="AH512" t="s">
        <v>795</v>
      </c>
      <c r="AI512" s="31">
        <v>46101</v>
      </c>
      <c r="AJ512" s="61">
        <v>0.72059027777777773</v>
      </c>
      <c r="AK512" t="s">
        <v>5347</v>
      </c>
      <c r="AN512" t="s">
        <v>4731</v>
      </c>
      <c r="AO512" t="s">
        <v>22</v>
      </c>
      <c r="AP512" t="s">
        <v>4731</v>
      </c>
      <c r="AR512" s="31">
        <v>46101</v>
      </c>
      <c r="AS512">
        <v>30</v>
      </c>
      <c r="AU512" t="s">
        <v>54</v>
      </c>
      <c r="AX512">
        <v>1</v>
      </c>
    </row>
    <row r="513" spans="1:50" x14ac:dyDescent="0.3">
      <c r="A513" t="s">
        <v>31</v>
      </c>
      <c r="B513">
        <v>1005</v>
      </c>
      <c r="D513">
        <v>3354</v>
      </c>
      <c r="E513" t="s">
        <v>5747</v>
      </c>
      <c r="G513" t="s">
        <v>388</v>
      </c>
      <c r="H513">
        <v>59578948000171</v>
      </c>
      <c r="J513" t="s">
        <v>4949</v>
      </c>
      <c r="K513" t="s">
        <v>5748</v>
      </c>
      <c r="M513" t="s">
        <v>4950</v>
      </c>
      <c r="Q513" t="s">
        <v>1094</v>
      </c>
      <c r="R513" t="s">
        <v>790</v>
      </c>
      <c r="S513" t="s">
        <v>2541</v>
      </c>
      <c r="V513" t="s">
        <v>5650</v>
      </c>
      <c r="W513" t="s">
        <v>780</v>
      </c>
      <c r="X513" t="s">
        <v>807</v>
      </c>
      <c r="Z513" s="31">
        <v>46203</v>
      </c>
      <c r="AA513">
        <v>58800</v>
      </c>
      <c r="AB513">
        <v>55164</v>
      </c>
      <c r="AC513">
        <v>71</v>
      </c>
      <c r="AD513" t="s">
        <v>22</v>
      </c>
      <c r="AE513" s="31">
        <v>46091</v>
      </c>
      <c r="AF513" s="61">
        <v>0.41351851851851851</v>
      </c>
      <c r="AH513" t="s">
        <v>782</v>
      </c>
      <c r="AI513" s="31"/>
      <c r="AJ513" s="61"/>
      <c r="AN513" t="s">
        <v>4951</v>
      </c>
      <c r="AO513" t="s">
        <v>31</v>
      </c>
      <c r="AP513" t="s">
        <v>4788</v>
      </c>
      <c r="AQ513" t="s">
        <v>4952</v>
      </c>
      <c r="AR513" s="31">
        <v>46157</v>
      </c>
      <c r="AS513">
        <v>30</v>
      </c>
      <c r="AU513" t="s">
        <v>47</v>
      </c>
      <c r="AX513">
        <v>1</v>
      </c>
    </row>
    <row r="514" spans="1:50" x14ac:dyDescent="0.3">
      <c r="A514" t="s">
        <v>44</v>
      </c>
      <c r="B514">
        <v>1006</v>
      </c>
      <c r="D514">
        <v>3343</v>
      </c>
      <c r="E514" t="s">
        <v>5749</v>
      </c>
      <c r="G514" t="s">
        <v>4954</v>
      </c>
      <c r="H514">
        <v>36882195000198</v>
      </c>
      <c r="J514" t="s">
        <v>4704</v>
      </c>
      <c r="K514" t="s">
        <v>4955</v>
      </c>
      <c r="M514" t="s">
        <v>4956</v>
      </c>
      <c r="Q514" t="s">
        <v>923</v>
      </c>
      <c r="S514" t="s">
        <v>814</v>
      </c>
      <c r="V514" t="s">
        <v>5655</v>
      </c>
      <c r="W514" t="s">
        <v>780</v>
      </c>
      <c r="X514" t="s">
        <v>897</v>
      </c>
      <c r="Z514" s="31"/>
      <c r="AC514">
        <v>0</v>
      </c>
      <c r="AD514" t="s">
        <v>22</v>
      </c>
      <c r="AE514" s="31">
        <v>46091</v>
      </c>
      <c r="AF514" s="61">
        <v>0.41641203703703711</v>
      </c>
      <c r="AH514" t="s">
        <v>795</v>
      </c>
      <c r="AI514" s="31">
        <v>46091</v>
      </c>
      <c r="AJ514" s="61">
        <v>0.70828703703703699</v>
      </c>
      <c r="AK514" t="s">
        <v>5353</v>
      </c>
      <c r="AL514" t="s">
        <v>5750</v>
      </c>
      <c r="AO514" t="s">
        <v>44</v>
      </c>
      <c r="AR514" s="31"/>
      <c r="AS514">
        <v>30</v>
      </c>
      <c r="AU514" t="s">
        <v>63</v>
      </c>
      <c r="AX514">
        <v>1</v>
      </c>
    </row>
    <row r="515" spans="1:50" x14ac:dyDescent="0.3">
      <c r="A515" t="s">
        <v>31</v>
      </c>
      <c r="B515">
        <v>1007</v>
      </c>
      <c r="D515">
        <v>3344</v>
      </c>
      <c r="E515" t="s">
        <v>4958</v>
      </c>
      <c r="G515" t="s">
        <v>4959</v>
      </c>
      <c r="J515" t="s">
        <v>4960</v>
      </c>
      <c r="K515" t="s">
        <v>4961</v>
      </c>
      <c r="M515" t="s">
        <v>4962</v>
      </c>
      <c r="Q515" t="s">
        <v>4963</v>
      </c>
      <c r="S515" t="s">
        <v>814</v>
      </c>
      <c r="V515" t="s">
        <v>5655</v>
      </c>
      <c r="W515" t="s">
        <v>780</v>
      </c>
      <c r="X515" t="s">
        <v>857</v>
      </c>
      <c r="Z515" s="31">
        <v>46265</v>
      </c>
      <c r="AC515">
        <v>28</v>
      </c>
      <c r="AD515" t="s">
        <v>22</v>
      </c>
      <c r="AE515" s="31">
        <v>46091</v>
      </c>
      <c r="AF515" s="61">
        <v>0.41752314814814823</v>
      </c>
      <c r="AH515" t="s">
        <v>795</v>
      </c>
      <c r="AI515" s="31">
        <v>46119</v>
      </c>
      <c r="AJ515" s="61">
        <v>0.45309027777777777</v>
      </c>
      <c r="AK515" t="s">
        <v>5347</v>
      </c>
      <c r="AO515" t="s">
        <v>31</v>
      </c>
      <c r="AR515" s="31">
        <v>46119</v>
      </c>
      <c r="AS515">
        <v>30</v>
      </c>
      <c r="AU515" t="s">
        <v>4964</v>
      </c>
      <c r="AX515">
        <v>1</v>
      </c>
    </row>
    <row r="516" spans="1:50" x14ac:dyDescent="0.3">
      <c r="A516" t="s">
        <v>22</v>
      </c>
      <c r="B516">
        <v>1008</v>
      </c>
      <c r="D516">
        <v>3346</v>
      </c>
      <c r="G516" t="s">
        <v>4965</v>
      </c>
      <c r="H516">
        <v>27672869000139</v>
      </c>
      <c r="J516" t="s">
        <v>4966</v>
      </c>
      <c r="K516" t="s">
        <v>4967</v>
      </c>
      <c r="M516" t="s">
        <v>4968</v>
      </c>
      <c r="Q516" t="s">
        <v>923</v>
      </c>
      <c r="S516" t="s">
        <v>814</v>
      </c>
      <c r="V516" t="s">
        <v>1186</v>
      </c>
      <c r="W516" t="s">
        <v>780</v>
      </c>
      <c r="X516" t="s">
        <v>781</v>
      </c>
      <c r="Z516" s="31">
        <v>46112</v>
      </c>
      <c r="AC516">
        <v>0</v>
      </c>
      <c r="AD516" t="s">
        <v>22</v>
      </c>
      <c r="AE516" s="31">
        <v>46091</v>
      </c>
      <c r="AF516" s="61">
        <v>0.41828703703703701</v>
      </c>
      <c r="AH516" t="s">
        <v>795</v>
      </c>
      <c r="AI516" s="31">
        <v>46091</v>
      </c>
      <c r="AJ516" s="61">
        <v>0.43543981481481481</v>
      </c>
      <c r="AK516" t="s">
        <v>5392</v>
      </c>
      <c r="AO516" t="s">
        <v>22</v>
      </c>
      <c r="AR516" s="31"/>
      <c r="AS516">
        <v>30</v>
      </c>
      <c r="AX516">
        <v>1</v>
      </c>
    </row>
    <row r="517" spans="1:50" x14ac:dyDescent="0.3">
      <c r="A517" t="s">
        <v>44</v>
      </c>
      <c r="B517">
        <v>1009</v>
      </c>
      <c r="D517">
        <v>3361</v>
      </c>
      <c r="E517" t="s">
        <v>5751</v>
      </c>
      <c r="F517" t="s">
        <v>4970</v>
      </c>
      <c r="G517" t="s">
        <v>440</v>
      </c>
      <c r="H517">
        <v>8878994000155</v>
      </c>
      <c r="J517" t="s">
        <v>4970</v>
      </c>
      <c r="K517" t="s">
        <v>4971</v>
      </c>
      <c r="M517" t="s">
        <v>4972</v>
      </c>
      <c r="Q517" t="s">
        <v>1782</v>
      </c>
      <c r="R517" t="s">
        <v>790</v>
      </c>
      <c r="S517" t="s">
        <v>805</v>
      </c>
      <c r="W517" t="s">
        <v>780</v>
      </c>
      <c r="X517" t="s">
        <v>807</v>
      </c>
      <c r="Z517" s="31">
        <v>46112</v>
      </c>
      <c r="AA517">
        <v>11390346</v>
      </c>
      <c r="AB517">
        <v>384882</v>
      </c>
      <c r="AC517">
        <v>71</v>
      </c>
      <c r="AD517" t="s">
        <v>44</v>
      </c>
      <c r="AE517" s="31">
        <v>46091</v>
      </c>
      <c r="AF517" s="61">
        <v>0.68298611111111107</v>
      </c>
      <c r="AH517" t="s">
        <v>782</v>
      </c>
      <c r="AI517" s="31"/>
      <c r="AJ517" s="61"/>
      <c r="AN517" t="s">
        <v>4973</v>
      </c>
      <c r="AP517" t="s">
        <v>4731</v>
      </c>
      <c r="AQ517" t="s">
        <v>4644</v>
      </c>
      <c r="AR517" s="31">
        <v>46111</v>
      </c>
      <c r="AS517">
        <v>50</v>
      </c>
      <c r="AX517">
        <v>1</v>
      </c>
    </row>
    <row r="518" spans="1:50" x14ac:dyDescent="0.3">
      <c r="A518" t="s">
        <v>22</v>
      </c>
      <c r="B518">
        <v>1011</v>
      </c>
      <c r="D518">
        <v>3365</v>
      </c>
      <c r="E518" t="s">
        <v>4974</v>
      </c>
      <c r="G518" t="s">
        <v>426</v>
      </c>
      <c r="H518">
        <v>7865166000110</v>
      </c>
      <c r="J518" t="s">
        <v>4975</v>
      </c>
      <c r="K518" t="s">
        <v>4976</v>
      </c>
      <c r="M518" t="s">
        <v>4977</v>
      </c>
      <c r="Q518" t="s">
        <v>4978</v>
      </c>
      <c r="R518" t="s">
        <v>790</v>
      </c>
      <c r="S518" t="s">
        <v>814</v>
      </c>
      <c r="V518" t="s">
        <v>1186</v>
      </c>
      <c r="W518" t="s">
        <v>780</v>
      </c>
      <c r="X518" t="s">
        <v>816</v>
      </c>
      <c r="Z518" s="31">
        <v>46112</v>
      </c>
      <c r="AA518">
        <v>870636</v>
      </c>
      <c r="AB518">
        <v>434528</v>
      </c>
      <c r="AC518">
        <v>70</v>
      </c>
      <c r="AD518" t="s">
        <v>22</v>
      </c>
      <c r="AE518" s="31">
        <v>46092</v>
      </c>
      <c r="AF518" s="61">
        <v>0.49399305555555562</v>
      </c>
      <c r="AH518" t="s">
        <v>782</v>
      </c>
      <c r="AI518" s="31"/>
      <c r="AJ518" s="61"/>
      <c r="AN518" t="s">
        <v>4788</v>
      </c>
      <c r="AO518" t="s">
        <v>22</v>
      </c>
      <c r="AP518" t="s">
        <v>4979</v>
      </c>
      <c r="AR518" s="31">
        <v>46160</v>
      </c>
      <c r="AS518">
        <v>30</v>
      </c>
      <c r="AU518" t="s">
        <v>321</v>
      </c>
      <c r="AX518">
        <v>1</v>
      </c>
    </row>
    <row r="519" spans="1:50" x14ac:dyDescent="0.3">
      <c r="A519" t="s">
        <v>44</v>
      </c>
      <c r="B519">
        <v>1012</v>
      </c>
      <c r="D519">
        <v>3345</v>
      </c>
      <c r="E519" t="s">
        <v>5752</v>
      </c>
      <c r="F519" t="s">
        <v>4981</v>
      </c>
      <c r="G519" t="s">
        <v>425</v>
      </c>
      <c r="H519">
        <v>72770225000561</v>
      </c>
      <c r="J519" t="s">
        <v>4981</v>
      </c>
      <c r="K519" t="s">
        <v>4982</v>
      </c>
      <c r="M519" t="s">
        <v>4983</v>
      </c>
      <c r="Q519" t="s">
        <v>4984</v>
      </c>
      <c r="R519" t="s">
        <v>932</v>
      </c>
      <c r="S519" t="s">
        <v>805</v>
      </c>
      <c r="W519" t="s">
        <v>780</v>
      </c>
      <c r="X519" t="s">
        <v>807</v>
      </c>
      <c r="Z519" s="31"/>
      <c r="AA519">
        <v>52702</v>
      </c>
      <c r="AB519">
        <v>17020</v>
      </c>
      <c r="AC519">
        <v>70</v>
      </c>
      <c r="AD519" t="s">
        <v>44</v>
      </c>
      <c r="AE519" s="31">
        <v>46092</v>
      </c>
      <c r="AF519" s="61">
        <v>0.67219907407407409</v>
      </c>
      <c r="AH519" t="s">
        <v>782</v>
      </c>
      <c r="AI519" s="31"/>
      <c r="AJ519" s="61"/>
      <c r="AN519" t="s">
        <v>4664</v>
      </c>
      <c r="AP519" t="s">
        <v>4770</v>
      </c>
      <c r="AQ519" t="s">
        <v>4664</v>
      </c>
      <c r="AR519" s="31">
        <v>46148</v>
      </c>
      <c r="AS519">
        <v>50</v>
      </c>
      <c r="AX519">
        <v>1</v>
      </c>
    </row>
    <row r="520" spans="1:50" x14ac:dyDescent="0.3">
      <c r="A520" t="s">
        <v>31</v>
      </c>
      <c r="B520">
        <v>1013</v>
      </c>
      <c r="D520">
        <v>3368</v>
      </c>
      <c r="E520" t="s">
        <v>4985</v>
      </c>
      <c r="F520" t="s">
        <v>4986</v>
      </c>
      <c r="G520" t="s">
        <v>250</v>
      </c>
      <c r="H520">
        <v>10649489000180</v>
      </c>
      <c r="J520" t="s">
        <v>4986</v>
      </c>
      <c r="K520" t="s">
        <v>4987</v>
      </c>
      <c r="M520" t="s">
        <v>4988</v>
      </c>
      <c r="Q520" t="s">
        <v>847</v>
      </c>
      <c r="R520" t="s">
        <v>848</v>
      </c>
      <c r="S520" t="s">
        <v>805</v>
      </c>
      <c r="W520" t="s">
        <v>780</v>
      </c>
      <c r="X520" t="s">
        <v>793</v>
      </c>
      <c r="Z520" s="31">
        <v>46295</v>
      </c>
      <c r="AC520">
        <v>69</v>
      </c>
      <c r="AD520" t="s">
        <v>31</v>
      </c>
      <c r="AE520" s="31">
        <v>46093</v>
      </c>
      <c r="AF520" s="61">
        <v>0.42211805555555548</v>
      </c>
      <c r="AH520" t="s">
        <v>782</v>
      </c>
      <c r="AI520" s="31"/>
      <c r="AJ520" s="61"/>
      <c r="AN520" t="s">
        <v>5680</v>
      </c>
      <c r="AO520" t="s">
        <v>31</v>
      </c>
      <c r="AP520" t="s">
        <v>4918</v>
      </c>
      <c r="AQ520" t="s">
        <v>4989</v>
      </c>
      <c r="AR520" s="31">
        <v>46155</v>
      </c>
      <c r="AS520">
        <v>30</v>
      </c>
      <c r="AU520" t="s">
        <v>321</v>
      </c>
      <c r="AX520">
        <v>1</v>
      </c>
    </row>
    <row r="521" spans="1:50" x14ac:dyDescent="0.3">
      <c r="A521" t="s">
        <v>22</v>
      </c>
      <c r="B521">
        <v>1014</v>
      </c>
      <c r="D521">
        <v>3371</v>
      </c>
      <c r="E521" t="s">
        <v>4990</v>
      </c>
      <c r="G521" t="s">
        <v>4991</v>
      </c>
      <c r="H521">
        <v>10633099000112</v>
      </c>
      <c r="J521" t="s">
        <v>5753</v>
      </c>
      <c r="K521" t="s">
        <v>4993</v>
      </c>
      <c r="M521" t="s">
        <v>4994</v>
      </c>
      <c r="Q521" t="s">
        <v>993</v>
      </c>
      <c r="R521" t="s">
        <v>932</v>
      </c>
      <c r="V521" t="s">
        <v>5754</v>
      </c>
      <c r="W521" t="s">
        <v>780</v>
      </c>
      <c r="X521" t="s">
        <v>857</v>
      </c>
      <c r="Z521" s="31">
        <v>46111</v>
      </c>
      <c r="AC521">
        <v>60</v>
      </c>
      <c r="AD521" t="s">
        <v>22</v>
      </c>
      <c r="AE521" s="31">
        <v>46093</v>
      </c>
      <c r="AF521" s="61">
        <v>0.50726851851851851</v>
      </c>
      <c r="AH521" t="s">
        <v>795</v>
      </c>
      <c r="AI521" s="31">
        <v>46153</v>
      </c>
      <c r="AJ521" s="61">
        <v>0.49739583333333331</v>
      </c>
      <c r="AK521" t="s">
        <v>5338</v>
      </c>
      <c r="AO521" t="s">
        <v>22</v>
      </c>
      <c r="AR521" s="31">
        <v>46122</v>
      </c>
      <c r="AS521">
        <v>30</v>
      </c>
      <c r="AU521" t="s">
        <v>321</v>
      </c>
      <c r="AX521">
        <v>1</v>
      </c>
    </row>
    <row r="522" spans="1:50" x14ac:dyDescent="0.3">
      <c r="A522" t="s">
        <v>44</v>
      </c>
      <c r="B522">
        <v>1015</v>
      </c>
      <c r="D522">
        <v>3375</v>
      </c>
      <c r="E522" t="s">
        <v>4995</v>
      </c>
      <c r="G522" t="s">
        <v>4996</v>
      </c>
      <c r="H522">
        <v>35417169000126</v>
      </c>
      <c r="J522" t="s">
        <v>5755</v>
      </c>
      <c r="K522" t="s">
        <v>5756</v>
      </c>
      <c r="M522" t="s">
        <v>4998</v>
      </c>
      <c r="Q522" t="s">
        <v>2018</v>
      </c>
      <c r="R522" t="s">
        <v>790</v>
      </c>
      <c r="W522" t="s">
        <v>780</v>
      </c>
      <c r="X522" t="s">
        <v>857</v>
      </c>
      <c r="Z522" s="31"/>
      <c r="AC522">
        <v>69</v>
      </c>
      <c r="AD522" t="s">
        <v>44</v>
      </c>
      <c r="AE522" s="31">
        <v>46093</v>
      </c>
      <c r="AF522" s="61">
        <v>0.63280092592592596</v>
      </c>
      <c r="AH522" t="s">
        <v>782</v>
      </c>
      <c r="AI522" s="31"/>
      <c r="AJ522" s="61"/>
      <c r="AR522" s="31">
        <v>46097</v>
      </c>
      <c r="AS522">
        <v>30</v>
      </c>
      <c r="AX522">
        <v>1</v>
      </c>
    </row>
    <row r="523" spans="1:50" x14ac:dyDescent="0.3">
      <c r="A523" t="s">
        <v>44</v>
      </c>
      <c r="B523">
        <v>1016</v>
      </c>
      <c r="D523">
        <v>3373</v>
      </c>
      <c r="E523" t="s">
        <v>5757</v>
      </c>
      <c r="G523" t="s">
        <v>5000</v>
      </c>
      <c r="J523" t="s">
        <v>5001</v>
      </c>
      <c r="K523" t="s">
        <v>5758</v>
      </c>
      <c r="M523" t="s">
        <v>5002</v>
      </c>
      <c r="S523" t="s">
        <v>2541</v>
      </c>
      <c r="V523" t="s">
        <v>5631</v>
      </c>
      <c r="W523" t="s">
        <v>780</v>
      </c>
      <c r="X523" t="s">
        <v>897</v>
      </c>
      <c r="Z523" s="31">
        <v>46112</v>
      </c>
      <c r="AC523">
        <v>58</v>
      </c>
      <c r="AD523" t="s">
        <v>22</v>
      </c>
      <c r="AE523" s="31">
        <v>46093</v>
      </c>
      <c r="AF523" s="61">
        <v>0.73317129629629629</v>
      </c>
      <c r="AH523" t="s">
        <v>795</v>
      </c>
      <c r="AI523" s="31">
        <v>46151</v>
      </c>
      <c r="AJ523" s="61">
        <v>0.33079861111111108</v>
      </c>
      <c r="AK523" t="s">
        <v>5657</v>
      </c>
      <c r="AO523" t="s">
        <v>44</v>
      </c>
      <c r="AR523" s="31">
        <v>46094</v>
      </c>
      <c r="AS523">
        <v>30</v>
      </c>
      <c r="AX523">
        <v>1</v>
      </c>
    </row>
    <row r="524" spans="1:50" x14ac:dyDescent="0.3">
      <c r="A524" t="s">
        <v>31</v>
      </c>
      <c r="B524">
        <v>1017</v>
      </c>
      <c r="D524">
        <v>3374</v>
      </c>
      <c r="E524" t="s">
        <v>5004</v>
      </c>
      <c r="G524" t="s">
        <v>5005</v>
      </c>
      <c r="H524">
        <v>33947903000133</v>
      </c>
      <c r="J524" t="s">
        <v>5006</v>
      </c>
      <c r="K524" t="s">
        <v>5007</v>
      </c>
      <c r="M524" t="s">
        <v>5008</v>
      </c>
      <c r="Q524" t="s">
        <v>5009</v>
      </c>
      <c r="R524" t="s">
        <v>3339</v>
      </c>
      <c r="S524" t="s">
        <v>2541</v>
      </c>
      <c r="V524" t="s">
        <v>5631</v>
      </c>
      <c r="W524" t="s">
        <v>780</v>
      </c>
      <c r="X524" t="s">
        <v>857</v>
      </c>
      <c r="Z524" s="31">
        <v>46234</v>
      </c>
      <c r="AC524">
        <v>13</v>
      </c>
      <c r="AD524" t="s">
        <v>22</v>
      </c>
      <c r="AE524" s="31">
        <v>46093</v>
      </c>
      <c r="AF524" s="61">
        <v>0.73402777777777772</v>
      </c>
      <c r="AH524" t="s">
        <v>795</v>
      </c>
      <c r="AI524" s="31">
        <v>46106</v>
      </c>
      <c r="AJ524" s="61">
        <v>0.42133101851851851</v>
      </c>
      <c r="AK524" t="s">
        <v>5347</v>
      </c>
      <c r="AO524" t="s">
        <v>31</v>
      </c>
      <c r="AP524" t="s">
        <v>5010</v>
      </c>
      <c r="AR524" s="31">
        <v>46106</v>
      </c>
      <c r="AS524">
        <v>31</v>
      </c>
      <c r="AX524">
        <v>1</v>
      </c>
    </row>
    <row r="525" spans="1:50" x14ac:dyDescent="0.3">
      <c r="A525" t="s">
        <v>44</v>
      </c>
      <c r="B525">
        <v>1018</v>
      </c>
      <c r="D525">
        <v>3379</v>
      </c>
      <c r="E525" t="s">
        <v>5759</v>
      </c>
      <c r="G525" t="s">
        <v>386</v>
      </c>
      <c r="H525">
        <v>28646036000166</v>
      </c>
      <c r="J525" t="s">
        <v>5760</v>
      </c>
      <c r="K525" t="s">
        <v>1792</v>
      </c>
      <c r="M525" t="s">
        <v>1793</v>
      </c>
      <c r="Q525" t="s">
        <v>1794</v>
      </c>
      <c r="R525" t="s">
        <v>790</v>
      </c>
      <c r="W525" t="s">
        <v>780</v>
      </c>
      <c r="X525" t="s">
        <v>857</v>
      </c>
      <c r="Z525" s="31"/>
      <c r="AA525">
        <v>1696</v>
      </c>
      <c r="AB525">
        <v>6400</v>
      </c>
      <c r="AC525">
        <v>17</v>
      </c>
      <c r="AD525" t="s">
        <v>44</v>
      </c>
      <c r="AE525" s="31">
        <v>46094</v>
      </c>
      <c r="AF525" s="61">
        <v>0.39907407407407408</v>
      </c>
      <c r="AH525" t="s">
        <v>795</v>
      </c>
      <c r="AI525" s="31">
        <v>46111</v>
      </c>
      <c r="AJ525" s="61">
        <v>0.71695601851851853</v>
      </c>
      <c r="AK525" t="s">
        <v>5338</v>
      </c>
      <c r="AL525" t="s">
        <v>5013</v>
      </c>
      <c r="AN525" t="s">
        <v>4654</v>
      </c>
      <c r="AP525" t="s">
        <v>4654</v>
      </c>
      <c r="AR525" s="31">
        <v>46093</v>
      </c>
      <c r="AS525">
        <v>30</v>
      </c>
      <c r="AX525">
        <v>1</v>
      </c>
    </row>
    <row r="526" spans="1:50" x14ac:dyDescent="0.3">
      <c r="A526" t="s">
        <v>31</v>
      </c>
      <c r="B526">
        <v>1019</v>
      </c>
      <c r="D526">
        <v>3381</v>
      </c>
      <c r="E526" t="s">
        <v>5014</v>
      </c>
      <c r="F526" t="s">
        <v>5015</v>
      </c>
      <c r="G526" t="s">
        <v>414</v>
      </c>
      <c r="H526">
        <v>55841149000195</v>
      </c>
      <c r="J526" t="s">
        <v>5015</v>
      </c>
      <c r="K526" t="s">
        <v>5761</v>
      </c>
      <c r="M526" t="s">
        <v>5017</v>
      </c>
      <c r="Q526" t="s">
        <v>3089</v>
      </c>
      <c r="R526" t="s">
        <v>932</v>
      </c>
      <c r="S526" t="s">
        <v>805</v>
      </c>
      <c r="W526" t="s">
        <v>780</v>
      </c>
      <c r="X526" t="s">
        <v>857</v>
      </c>
      <c r="Z526" s="31">
        <v>46234</v>
      </c>
      <c r="AA526">
        <v>58800</v>
      </c>
      <c r="AB526">
        <v>2525</v>
      </c>
      <c r="AC526">
        <v>17</v>
      </c>
      <c r="AD526" t="s">
        <v>31</v>
      </c>
      <c r="AE526" s="31">
        <v>46094</v>
      </c>
      <c r="AF526" s="61">
        <v>0.61967592592592591</v>
      </c>
      <c r="AH526" t="s">
        <v>795</v>
      </c>
      <c r="AI526" s="31">
        <v>46111</v>
      </c>
      <c r="AJ526" s="61">
        <v>0.67168981481481482</v>
      </c>
      <c r="AK526" t="s">
        <v>5347</v>
      </c>
      <c r="AN526" t="s">
        <v>5018</v>
      </c>
      <c r="AO526" t="s">
        <v>31</v>
      </c>
      <c r="AP526" t="s">
        <v>5018</v>
      </c>
      <c r="AR526" s="31">
        <v>46111</v>
      </c>
      <c r="AS526">
        <v>30</v>
      </c>
      <c r="AU526" t="s">
        <v>47</v>
      </c>
      <c r="AX526">
        <v>1</v>
      </c>
    </row>
    <row r="527" spans="1:50" x14ac:dyDescent="0.3">
      <c r="A527" t="s">
        <v>44</v>
      </c>
      <c r="B527">
        <v>1020</v>
      </c>
      <c r="D527">
        <v>3378</v>
      </c>
      <c r="E527" t="s">
        <v>5762</v>
      </c>
      <c r="G527" t="s">
        <v>5020</v>
      </c>
      <c r="J527" t="s">
        <v>5021</v>
      </c>
      <c r="K527" t="s">
        <v>5763</v>
      </c>
      <c r="M527" t="s">
        <v>5022</v>
      </c>
      <c r="S527" t="s">
        <v>2541</v>
      </c>
      <c r="V527" t="s">
        <v>5631</v>
      </c>
      <c r="W527" t="s">
        <v>780</v>
      </c>
      <c r="X527" t="s">
        <v>897</v>
      </c>
      <c r="Z527" s="31">
        <v>46112</v>
      </c>
      <c r="AC527">
        <v>1</v>
      </c>
      <c r="AD527" t="s">
        <v>22</v>
      </c>
      <c r="AE527" s="31">
        <v>46097</v>
      </c>
      <c r="AF527" s="61">
        <v>0.57464120370370375</v>
      </c>
      <c r="AH527" t="s">
        <v>795</v>
      </c>
      <c r="AI527" s="31">
        <v>46098</v>
      </c>
      <c r="AJ527" s="61">
        <v>0.4019212962962963</v>
      </c>
      <c r="AK527" t="s">
        <v>5392</v>
      </c>
      <c r="AL527" t="s">
        <v>5762</v>
      </c>
      <c r="AO527" t="s">
        <v>44</v>
      </c>
      <c r="AR527" s="31">
        <v>46098</v>
      </c>
      <c r="AS527">
        <v>30</v>
      </c>
      <c r="AX527">
        <v>1</v>
      </c>
    </row>
    <row r="528" spans="1:50" x14ac:dyDescent="0.3">
      <c r="A528" t="s">
        <v>31</v>
      </c>
      <c r="B528">
        <v>1021</v>
      </c>
      <c r="D528">
        <v>3384</v>
      </c>
      <c r="E528" t="s">
        <v>5023</v>
      </c>
      <c r="G528" t="s">
        <v>5024</v>
      </c>
      <c r="J528" t="s">
        <v>5025</v>
      </c>
      <c r="K528" t="s">
        <v>5764</v>
      </c>
      <c r="M528" t="s">
        <v>5026</v>
      </c>
      <c r="S528" t="s">
        <v>2541</v>
      </c>
      <c r="V528" t="s">
        <v>5631</v>
      </c>
      <c r="W528" t="s">
        <v>780</v>
      </c>
      <c r="X528" t="s">
        <v>897</v>
      </c>
      <c r="Z528" s="31">
        <v>46112</v>
      </c>
      <c r="AC528">
        <v>3</v>
      </c>
      <c r="AD528" t="s">
        <v>22</v>
      </c>
      <c r="AE528" s="31">
        <v>46097</v>
      </c>
      <c r="AF528" s="61">
        <v>0.5755555555555556</v>
      </c>
      <c r="AH528" t="s">
        <v>795</v>
      </c>
      <c r="AI528" s="31">
        <v>46100</v>
      </c>
      <c r="AJ528" s="61">
        <v>0.48016203703703703</v>
      </c>
      <c r="AK528" t="s">
        <v>5347</v>
      </c>
      <c r="AO528" t="s">
        <v>31</v>
      </c>
      <c r="AR528" s="31">
        <v>46098</v>
      </c>
      <c r="AS528">
        <v>30</v>
      </c>
      <c r="AX528">
        <v>1</v>
      </c>
    </row>
    <row r="529" spans="1:50" x14ac:dyDescent="0.3">
      <c r="A529" t="s">
        <v>44</v>
      </c>
      <c r="B529">
        <v>1022</v>
      </c>
      <c r="D529">
        <v>3385</v>
      </c>
      <c r="E529" t="s">
        <v>5765</v>
      </c>
      <c r="G529" t="s">
        <v>5028</v>
      </c>
      <c r="J529" t="s">
        <v>5029</v>
      </c>
      <c r="K529" t="s">
        <v>5766</v>
      </c>
      <c r="M529" t="s">
        <v>5030</v>
      </c>
      <c r="S529" t="s">
        <v>2541</v>
      </c>
      <c r="V529" t="s">
        <v>5631</v>
      </c>
      <c r="W529" t="s">
        <v>780</v>
      </c>
      <c r="X529" t="s">
        <v>897</v>
      </c>
      <c r="Z529" s="31">
        <v>46112</v>
      </c>
      <c r="AC529">
        <v>1</v>
      </c>
      <c r="AD529" t="s">
        <v>22</v>
      </c>
      <c r="AE529" s="31">
        <v>46097</v>
      </c>
      <c r="AF529" s="61">
        <v>0.57633101851851853</v>
      </c>
      <c r="AH529" t="s">
        <v>795</v>
      </c>
      <c r="AI529" s="31">
        <v>46098</v>
      </c>
      <c r="AJ529" s="61">
        <v>0.40364583333333331</v>
      </c>
      <c r="AK529" t="s">
        <v>5392</v>
      </c>
      <c r="AL529" t="s">
        <v>5765</v>
      </c>
      <c r="AO529" t="s">
        <v>44</v>
      </c>
      <c r="AR529" s="31">
        <v>46098</v>
      </c>
      <c r="AS529">
        <v>30</v>
      </c>
      <c r="AX529">
        <v>1</v>
      </c>
    </row>
    <row r="530" spans="1:50" x14ac:dyDescent="0.3">
      <c r="A530" t="s">
        <v>31</v>
      </c>
      <c r="B530">
        <v>1023</v>
      </c>
      <c r="D530">
        <v>3386</v>
      </c>
      <c r="E530" t="s">
        <v>5767</v>
      </c>
      <c r="G530" t="s">
        <v>424</v>
      </c>
      <c r="H530">
        <v>57769346000176</v>
      </c>
      <c r="J530" t="s">
        <v>5032</v>
      </c>
      <c r="K530" t="s">
        <v>5033</v>
      </c>
      <c r="M530" t="s">
        <v>5034</v>
      </c>
      <c r="Q530" t="s">
        <v>5035</v>
      </c>
      <c r="R530" t="s">
        <v>973</v>
      </c>
      <c r="S530" t="s">
        <v>2541</v>
      </c>
      <c r="V530" t="s">
        <v>5650</v>
      </c>
      <c r="W530" t="s">
        <v>780</v>
      </c>
      <c r="X530" t="s">
        <v>857</v>
      </c>
      <c r="Z530" s="31">
        <v>46234</v>
      </c>
      <c r="AC530">
        <v>22</v>
      </c>
      <c r="AD530" t="s">
        <v>22</v>
      </c>
      <c r="AE530" s="31">
        <v>46097</v>
      </c>
      <c r="AF530" s="61">
        <v>0.57715277777777774</v>
      </c>
      <c r="AH530" t="s">
        <v>795</v>
      </c>
      <c r="AI530" s="31">
        <v>46119</v>
      </c>
      <c r="AJ530" s="61">
        <v>0.44837962962962957</v>
      </c>
      <c r="AK530" t="s">
        <v>5392</v>
      </c>
      <c r="AN530" t="s">
        <v>4788</v>
      </c>
      <c r="AO530" t="s">
        <v>31</v>
      </c>
      <c r="AP530" t="s">
        <v>4788</v>
      </c>
      <c r="AR530" s="31">
        <v>46119</v>
      </c>
      <c r="AS530">
        <v>30</v>
      </c>
      <c r="AX530">
        <v>1</v>
      </c>
    </row>
    <row r="531" spans="1:50" x14ac:dyDescent="0.3">
      <c r="A531" t="s">
        <v>22</v>
      </c>
      <c r="B531">
        <v>1024</v>
      </c>
      <c r="D531">
        <v>3388</v>
      </c>
      <c r="E531" t="s">
        <v>5036</v>
      </c>
      <c r="G531" t="s">
        <v>5037</v>
      </c>
      <c r="J531" t="s">
        <v>4086</v>
      </c>
      <c r="K531" t="s">
        <v>5768</v>
      </c>
      <c r="M531" t="s">
        <v>5038</v>
      </c>
      <c r="S531" t="s">
        <v>2541</v>
      </c>
      <c r="V531" t="s">
        <v>5650</v>
      </c>
      <c r="W531" t="s">
        <v>780</v>
      </c>
      <c r="X531" t="s">
        <v>897</v>
      </c>
      <c r="Z531" s="31">
        <v>46112</v>
      </c>
      <c r="AC531">
        <v>54</v>
      </c>
      <c r="AD531" t="s">
        <v>22</v>
      </c>
      <c r="AE531" s="31">
        <v>46097</v>
      </c>
      <c r="AF531" s="61">
        <v>0.57785879629629633</v>
      </c>
      <c r="AH531" t="s">
        <v>795</v>
      </c>
      <c r="AI531" s="31">
        <v>46151</v>
      </c>
      <c r="AJ531" s="61">
        <v>0.33232638888888888</v>
      </c>
      <c r="AK531" t="s">
        <v>5657</v>
      </c>
      <c r="AO531" t="s">
        <v>22</v>
      </c>
      <c r="AR531" s="31">
        <v>46101</v>
      </c>
      <c r="AS531">
        <v>30</v>
      </c>
      <c r="AX531">
        <v>1</v>
      </c>
    </row>
    <row r="532" spans="1:50" x14ac:dyDescent="0.3">
      <c r="A532" t="s">
        <v>22</v>
      </c>
      <c r="B532">
        <v>1025</v>
      </c>
      <c r="D532">
        <v>3389</v>
      </c>
      <c r="E532" t="s">
        <v>5039</v>
      </c>
      <c r="G532" t="s">
        <v>5040</v>
      </c>
      <c r="J532" t="s">
        <v>5041</v>
      </c>
      <c r="K532" t="s">
        <v>5769</v>
      </c>
      <c r="M532" t="s">
        <v>5042</v>
      </c>
      <c r="S532" t="s">
        <v>2541</v>
      </c>
      <c r="V532" t="s">
        <v>5650</v>
      </c>
      <c r="W532" t="s">
        <v>780</v>
      </c>
      <c r="X532" t="s">
        <v>857</v>
      </c>
      <c r="Z532" s="31">
        <v>46112</v>
      </c>
      <c r="AC532">
        <v>25</v>
      </c>
      <c r="AD532" t="s">
        <v>22</v>
      </c>
      <c r="AE532" s="31">
        <v>46097</v>
      </c>
      <c r="AF532" s="61">
        <v>0.57847222222222228</v>
      </c>
      <c r="AH532" t="s">
        <v>795</v>
      </c>
      <c r="AI532" s="31">
        <v>46122</v>
      </c>
      <c r="AJ532" s="61">
        <v>0.61157407407407405</v>
      </c>
      <c r="AK532" t="s">
        <v>5338</v>
      </c>
      <c r="AO532" t="s">
        <v>22</v>
      </c>
      <c r="AR532" s="31">
        <v>46101</v>
      </c>
      <c r="AS532">
        <v>30</v>
      </c>
      <c r="AU532" t="s">
        <v>321</v>
      </c>
      <c r="AX532">
        <v>1</v>
      </c>
    </row>
    <row r="533" spans="1:50" x14ac:dyDescent="0.3">
      <c r="A533" t="s">
        <v>44</v>
      </c>
      <c r="B533">
        <v>1026</v>
      </c>
      <c r="D533">
        <v>3390</v>
      </c>
      <c r="E533" t="s">
        <v>5770</v>
      </c>
      <c r="G533" t="s">
        <v>5044</v>
      </c>
      <c r="H533">
        <v>35511300000110</v>
      </c>
      <c r="J533" t="s">
        <v>5045</v>
      </c>
      <c r="K533" t="s">
        <v>5771</v>
      </c>
      <c r="M533" t="s">
        <v>5046</v>
      </c>
      <c r="S533" t="s">
        <v>2541</v>
      </c>
      <c r="V533" t="s">
        <v>5650</v>
      </c>
      <c r="W533" t="s">
        <v>780</v>
      </c>
      <c r="X533" t="s">
        <v>897</v>
      </c>
      <c r="Z533" s="31">
        <v>46112</v>
      </c>
      <c r="AC533">
        <v>54</v>
      </c>
      <c r="AD533" t="s">
        <v>22</v>
      </c>
      <c r="AE533" s="31">
        <v>46097</v>
      </c>
      <c r="AF533" s="61">
        <v>0.57913194444444449</v>
      </c>
      <c r="AH533" t="s">
        <v>795</v>
      </c>
      <c r="AI533" s="31">
        <v>46151</v>
      </c>
      <c r="AJ533" s="61">
        <v>0.33273148148148152</v>
      </c>
      <c r="AK533" t="s">
        <v>5657</v>
      </c>
      <c r="AO533" t="s">
        <v>44</v>
      </c>
      <c r="AR533" s="31">
        <v>46118</v>
      </c>
      <c r="AS533">
        <v>30</v>
      </c>
      <c r="AX533">
        <v>1</v>
      </c>
    </row>
    <row r="534" spans="1:50" x14ac:dyDescent="0.3">
      <c r="A534" t="s">
        <v>31</v>
      </c>
      <c r="B534">
        <v>1027</v>
      </c>
      <c r="D534">
        <v>3391</v>
      </c>
      <c r="G534" t="s">
        <v>5048</v>
      </c>
      <c r="J534" t="s">
        <v>5049</v>
      </c>
      <c r="K534" t="s">
        <v>5772</v>
      </c>
      <c r="M534" t="s">
        <v>5050</v>
      </c>
      <c r="S534" t="s">
        <v>2541</v>
      </c>
      <c r="V534" t="s">
        <v>5650</v>
      </c>
      <c r="W534" t="s">
        <v>780</v>
      </c>
      <c r="X534" t="s">
        <v>781</v>
      </c>
      <c r="Z534" s="31">
        <v>46234</v>
      </c>
      <c r="AC534">
        <v>54</v>
      </c>
      <c r="AD534" t="s">
        <v>22</v>
      </c>
      <c r="AE534" s="31">
        <v>46097</v>
      </c>
      <c r="AF534" s="61">
        <v>0.57983796296296297</v>
      </c>
      <c r="AH534" t="s">
        <v>795</v>
      </c>
      <c r="AI534" s="31">
        <v>46151</v>
      </c>
      <c r="AJ534" s="61">
        <v>0.88386574074074076</v>
      </c>
      <c r="AK534" t="s">
        <v>5657</v>
      </c>
      <c r="AO534" t="s">
        <v>31</v>
      </c>
      <c r="AR534" s="31">
        <v>46098</v>
      </c>
      <c r="AS534">
        <v>30</v>
      </c>
      <c r="AX534">
        <v>1</v>
      </c>
    </row>
    <row r="535" spans="1:50" x14ac:dyDescent="0.3">
      <c r="A535" t="s">
        <v>31</v>
      </c>
      <c r="B535">
        <v>1029</v>
      </c>
      <c r="D535">
        <v>3395</v>
      </c>
      <c r="E535" t="s">
        <v>5051</v>
      </c>
      <c r="G535" t="s">
        <v>5052</v>
      </c>
      <c r="H535">
        <v>6864286000130</v>
      </c>
      <c r="J535" t="s">
        <v>4704</v>
      </c>
      <c r="K535" t="s">
        <v>5053</v>
      </c>
      <c r="M535" t="s">
        <v>5054</v>
      </c>
      <c r="Q535" t="s">
        <v>5055</v>
      </c>
      <c r="S535" t="s">
        <v>814</v>
      </c>
      <c r="W535" t="s">
        <v>780</v>
      </c>
      <c r="X535" t="s">
        <v>857</v>
      </c>
      <c r="Z535" s="31">
        <v>46173</v>
      </c>
      <c r="AC535">
        <v>13</v>
      </c>
      <c r="AD535" t="s">
        <v>22</v>
      </c>
      <c r="AE535" s="31">
        <v>46098</v>
      </c>
      <c r="AF535" s="61">
        <v>0.65673611111111108</v>
      </c>
      <c r="AH535" t="s">
        <v>795</v>
      </c>
      <c r="AI535" s="31">
        <v>46111</v>
      </c>
      <c r="AJ535" s="61">
        <v>0.66320601851851857</v>
      </c>
      <c r="AK535" t="s">
        <v>5353</v>
      </c>
      <c r="AO535" t="s">
        <v>31</v>
      </c>
      <c r="AR535" s="31">
        <v>46111</v>
      </c>
      <c r="AS535">
        <v>30</v>
      </c>
      <c r="AU535" t="s">
        <v>5056</v>
      </c>
      <c r="AX535">
        <v>1</v>
      </c>
    </row>
    <row r="536" spans="1:50" x14ac:dyDescent="0.3">
      <c r="A536" t="s">
        <v>44</v>
      </c>
      <c r="B536">
        <v>1030</v>
      </c>
      <c r="D536">
        <v>3396</v>
      </c>
      <c r="E536" t="s">
        <v>5773</v>
      </c>
      <c r="G536" t="s">
        <v>5058</v>
      </c>
      <c r="J536" t="s">
        <v>5059</v>
      </c>
      <c r="K536" t="s">
        <v>5774</v>
      </c>
      <c r="M536" t="s">
        <v>5060</v>
      </c>
      <c r="S536" t="s">
        <v>2541</v>
      </c>
      <c r="V536" t="s">
        <v>5631</v>
      </c>
      <c r="W536" t="s">
        <v>780</v>
      </c>
      <c r="X536" t="s">
        <v>897</v>
      </c>
      <c r="Z536" s="31">
        <v>46112</v>
      </c>
      <c r="AC536">
        <v>22</v>
      </c>
      <c r="AD536" t="s">
        <v>22</v>
      </c>
      <c r="AE536" s="31">
        <v>46098</v>
      </c>
      <c r="AF536" s="61">
        <v>0.65770833333333334</v>
      </c>
      <c r="AH536" t="s">
        <v>795</v>
      </c>
      <c r="AI536" s="31">
        <v>46120</v>
      </c>
      <c r="AJ536" s="61">
        <v>0.72315972222222225</v>
      </c>
      <c r="AK536" t="s">
        <v>5392</v>
      </c>
      <c r="AL536" t="s">
        <v>5773</v>
      </c>
      <c r="AO536" t="s">
        <v>44</v>
      </c>
      <c r="AR536" s="31">
        <v>46104</v>
      </c>
      <c r="AS536">
        <v>30</v>
      </c>
      <c r="AX536">
        <v>1</v>
      </c>
    </row>
    <row r="537" spans="1:50" x14ac:dyDescent="0.3">
      <c r="A537" t="s">
        <v>22</v>
      </c>
      <c r="B537">
        <v>1031</v>
      </c>
      <c r="D537">
        <v>3397</v>
      </c>
      <c r="E537" t="s">
        <v>5062</v>
      </c>
      <c r="G537" t="s">
        <v>5063</v>
      </c>
      <c r="H537">
        <v>27742655000191</v>
      </c>
      <c r="J537" t="s">
        <v>844</v>
      </c>
      <c r="K537" t="s">
        <v>5775</v>
      </c>
      <c r="M537" t="s">
        <v>5064</v>
      </c>
      <c r="S537" t="s">
        <v>2541</v>
      </c>
      <c r="V537" t="s">
        <v>5650</v>
      </c>
      <c r="W537" t="s">
        <v>780</v>
      </c>
      <c r="X537" t="s">
        <v>897</v>
      </c>
      <c r="Z537" s="31">
        <v>46112</v>
      </c>
      <c r="AC537">
        <v>3</v>
      </c>
      <c r="AD537" t="s">
        <v>22</v>
      </c>
      <c r="AE537" s="31">
        <v>46098</v>
      </c>
      <c r="AF537" s="61">
        <v>0.65940972222222227</v>
      </c>
      <c r="AH537" t="s">
        <v>795</v>
      </c>
      <c r="AI537" s="31">
        <v>46101</v>
      </c>
      <c r="AJ537" s="61">
        <v>0.65554398148148152</v>
      </c>
      <c r="AK537" t="s">
        <v>5392</v>
      </c>
      <c r="AO537" t="s">
        <v>22</v>
      </c>
      <c r="AR537" s="31"/>
      <c r="AS537">
        <v>30</v>
      </c>
      <c r="AX537">
        <v>1</v>
      </c>
    </row>
    <row r="538" spans="1:50" x14ac:dyDescent="0.3">
      <c r="A538" t="s">
        <v>31</v>
      </c>
      <c r="B538">
        <v>1032</v>
      </c>
      <c r="D538">
        <v>3402</v>
      </c>
      <c r="E538" t="s">
        <v>5776</v>
      </c>
      <c r="G538" t="s">
        <v>5066</v>
      </c>
      <c r="H538">
        <v>27742655000191</v>
      </c>
      <c r="J538" t="s">
        <v>844</v>
      </c>
      <c r="K538" t="s">
        <v>5067</v>
      </c>
      <c r="M538" t="s">
        <v>5068</v>
      </c>
      <c r="Q538" t="s">
        <v>1633</v>
      </c>
      <c r="R538" t="s">
        <v>848</v>
      </c>
      <c r="W538" t="s">
        <v>780</v>
      </c>
      <c r="X538" t="s">
        <v>781</v>
      </c>
      <c r="Z538" s="31">
        <v>46234</v>
      </c>
      <c r="AC538">
        <v>35</v>
      </c>
      <c r="AD538" t="s">
        <v>31</v>
      </c>
      <c r="AE538" s="31">
        <v>46099</v>
      </c>
      <c r="AF538" s="61">
        <v>0.48501157407407408</v>
      </c>
      <c r="AH538" t="s">
        <v>795</v>
      </c>
      <c r="AI538" s="31">
        <v>46134</v>
      </c>
      <c r="AJ538" s="61">
        <v>0.71966435185185185</v>
      </c>
      <c r="AK538" t="s">
        <v>5642</v>
      </c>
      <c r="AO538" t="s">
        <v>31</v>
      </c>
      <c r="AR538" s="31">
        <v>46134</v>
      </c>
      <c r="AS538">
        <v>30</v>
      </c>
      <c r="AX538">
        <v>1</v>
      </c>
    </row>
    <row r="539" spans="1:50" x14ac:dyDescent="0.3">
      <c r="A539" t="s">
        <v>31</v>
      </c>
      <c r="B539">
        <v>1033</v>
      </c>
      <c r="D539">
        <v>3401</v>
      </c>
      <c r="E539" t="s">
        <v>5069</v>
      </c>
      <c r="G539" t="s">
        <v>5070</v>
      </c>
      <c r="H539">
        <v>27251864000132</v>
      </c>
      <c r="J539" t="s">
        <v>5071</v>
      </c>
      <c r="K539" t="s">
        <v>5072</v>
      </c>
      <c r="M539" t="s">
        <v>5073</v>
      </c>
      <c r="Q539" t="s">
        <v>2685</v>
      </c>
      <c r="S539" t="s">
        <v>814</v>
      </c>
      <c r="V539" t="s">
        <v>1186</v>
      </c>
      <c r="W539" t="s">
        <v>780</v>
      </c>
      <c r="X539" t="s">
        <v>857</v>
      </c>
      <c r="Z539" s="31">
        <v>46203</v>
      </c>
      <c r="AC539">
        <v>12</v>
      </c>
      <c r="AD539" t="s">
        <v>22</v>
      </c>
      <c r="AE539" s="31">
        <v>46099</v>
      </c>
      <c r="AF539" s="61">
        <v>0.64248842592592592</v>
      </c>
      <c r="AH539" t="s">
        <v>795</v>
      </c>
      <c r="AI539" s="31">
        <v>46111</v>
      </c>
      <c r="AJ539" s="61">
        <v>0.66197916666666667</v>
      </c>
      <c r="AK539" t="s">
        <v>5338</v>
      </c>
      <c r="AO539" t="s">
        <v>31</v>
      </c>
      <c r="AR539" s="31">
        <v>46111</v>
      </c>
      <c r="AS539">
        <v>30</v>
      </c>
      <c r="AU539" t="s">
        <v>47</v>
      </c>
      <c r="AX539">
        <v>1</v>
      </c>
    </row>
    <row r="540" spans="1:50" x14ac:dyDescent="0.3">
      <c r="A540" t="s">
        <v>44</v>
      </c>
      <c r="B540">
        <v>1034</v>
      </c>
      <c r="D540">
        <v>3400</v>
      </c>
      <c r="E540" t="s">
        <v>5777</v>
      </c>
      <c r="G540" t="s">
        <v>5075</v>
      </c>
      <c r="J540" t="s">
        <v>5076</v>
      </c>
      <c r="K540" t="s">
        <v>5778</v>
      </c>
      <c r="M540" t="s">
        <v>5077</v>
      </c>
      <c r="S540" t="s">
        <v>2541</v>
      </c>
      <c r="V540" t="s">
        <v>5631</v>
      </c>
      <c r="W540" t="s">
        <v>780</v>
      </c>
      <c r="X540" t="s">
        <v>897</v>
      </c>
      <c r="Z540" s="31">
        <v>46112</v>
      </c>
      <c r="AC540">
        <v>21</v>
      </c>
      <c r="AD540" t="s">
        <v>22</v>
      </c>
      <c r="AE540" s="31">
        <v>46099</v>
      </c>
      <c r="AF540" s="61">
        <v>0.64361111111111113</v>
      </c>
      <c r="AH540" t="s">
        <v>795</v>
      </c>
      <c r="AI540" s="31">
        <v>46120</v>
      </c>
      <c r="AJ540" s="61">
        <v>0.72401620370370368</v>
      </c>
      <c r="AK540" t="s">
        <v>5392</v>
      </c>
      <c r="AL540" t="s">
        <v>5779</v>
      </c>
      <c r="AO540" t="s">
        <v>44</v>
      </c>
      <c r="AR540" s="31">
        <v>46108</v>
      </c>
      <c r="AS540">
        <v>30</v>
      </c>
      <c r="AX540">
        <v>1</v>
      </c>
    </row>
    <row r="541" spans="1:50" x14ac:dyDescent="0.3">
      <c r="A541" t="s">
        <v>22</v>
      </c>
      <c r="B541">
        <v>1035</v>
      </c>
      <c r="D541">
        <v>3399</v>
      </c>
      <c r="E541" t="s">
        <v>5079</v>
      </c>
      <c r="G541" t="s">
        <v>5080</v>
      </c>
      <c r="J541" t="s">
        <v>5081</v>
      </c>
      <c r="K541" t="s">
        <v>5780</v>
      </c>
      <c r="M541" t="s">
        <v>5082</v>
      </c>
      <c r="S541" t="s">
        <v>2541</v>
      </c>
      <c r="V541" t="s">
        <v>5650</v>
      </c>
      <c r="W541" t="s">
        <v>780</v>
      </c>
      <c r="X541" t="s">
        <v>897</v>
      </c>
      <c r="Z541" s="31">
        <v>46112</v>
      </c>
      <c r="AC541">
        <v>52</v>
      </c>
      <c r="AD541" t="s">
        <v>22</v>
      </c>
      <c r="AE541" s="31">
        <v>46099</v>
      </c>
      <c r="AF541" s="61">
        <v>0.64436342592592588</v>
      </c>
      <c r="AH541" t="s">
        <v>795</v>
      </c>
      <c r="AI541" s="31">
        <v>46151</v>
      </c>
      <c r="AJ541" s="61">
        <v>0.33498842592592593</v>
      </c>
      <c r="AK541" t="s">
        <v>5657</v>
      </c>
      <c r="AO541" t="s">
        <v>22</v>
      </c>
      <c r="AR541" s="31">
        <v>46101</v>
      </c>
      <c r="AS541">
        <v>30</v>
      </c>
      <c r="AX541">
        <v>1</v>
      </c>
    </row>
    <row r="542" spans="1:50" x14ac:dyDescent="0.3">
      <c r="A542" t="s">
        <v>31</v>
      </c>
      <c r="B542">
        <v>1037</v>
      </c>
      <c r="D542">
        <v>3404</v>
      </c>
      <c r="E542" t="s">
        <v>5083</v>
      </c>
      <c r="G542" t="s">
        <v>431</v>
      </c>
      <c r="J542" t="s">
        <v>5084</v>
      </c>
      <c r="K542" t="s">
        <v>5781</v>
      </c>
      <c r="M542" t="s">
        <v>5085</v>
      </c>
      <c r="S542" t="s">
        <v>2541</v>
      </c>
      <c r="V542" t="s">
        <v>5650</v>
      </c>
      <c r="W542" t="s">
        <v>780</v>
      </c>
      <c r="X542" t="s">
        <v>857</v>
      </c>
      <c r="Z542" s="31">
        <v>46112</v>
      </c>
      <c r="AC542">
        <v>51</v>
      </c>
      <c r="AD542" t="s">
        <v>22</v>
      </c>
      <c r="AE542" s="31">
        <v>46100</v>
      </c>
      <c r="AF542" s="61">
        <v>0.43497685185185192</v>
      </c>
      <c r="AH542" t="s">
        <v>795</v>
      </c>
      <c r="AI542" s="31">
        <v>46151</v>
      </c>
      <c r="AJ542" s="61">
        <v>0.88013888888888892</v>
      </c>
      <c r="AK542" t="s">
        <v>5347</v>
      </c>
      <c r="AN542" t="s">
        <v>5010</v>
      </c>
      <c r="AO542" t="s">
        <v>31</v>
      </c>
      <c r="AP542" t="s">
        <v>5010</v>
      </c>
      <c r="AR542" s="31">
        <v>46105</v>
      </c>
      <c r="AS542">
        <v>30</v>
      </c>
      <c r="AX542">
        <v>1</v>
      </c>
    </row>
    <row r="543" spans="1:50" x14ac:dyDescent="0.3">
      <c r="A543" t="s">
        <v>44</v>
      </c>
      <c r="B543">
        <v>1038</v>
      </c>
      <c r="D543">
        <v>3405</v>
      </c>
      <c r="E543" t="s">
        <v>5086</v>
      </c>
      <c r="G543" t="s">
        <v>5087</v>
      </c>
      <c r="J543" t="s">
        <v>5088</v>
      </c>
      <c r="K543" t="s">
        <v>5782</v>
      </c>
      <c r="M543" t="s">
        <v>5089</v>
      </c>
      <c r="S543" t="s">
        <v>2541</v>
      </c>
      <c r="V543" t="s">
        <v>5631</v>
      </c>
      <c r="W543" t="s">
        <v>780</v>
      </c>
      <c r="X543" t="s">
        <v>897</v>
      </c>
      <c r="Z543" s="31"/>
      <c r="AC543">
        <v>0</v>
      </c>
      <c r="AD543" t="s">
        <v>22</v>
      </c>
      <c r="AE543" s="31">
        <v>46100</v>
      </c>
      <c r="AF543" s="61">
        <v>0.43748842592592591</v>
      </c>
      <c r="AH543" t="s">
        <v>795</v>
      </c>
      <c r="AI543" s="31">
        <v>46100</v>
      </c>
      <c r="AJ543" s="61">
        <v>0.51109953703703703</v>
      </c>
      <c r="AK543" t="s">
        <v>5392</v>
      </c>
      <c r="AL543" t="s">
        <v>5783</v>
      </c>
      <c r="AO543" t="s">
        <v>44</v>
      </c>
      <c r="AR543" s="31"/>
      <c r="AS543">
        <v>30</v>
      </c>
      <c r="AX543">
        <v>1</v>
      </c>
    </row>
    <row r="544" spans="1:50" x14ac:dyDescent="0.3">
      <c r="A544" t="s">
        <v>31</v>
      </c>
      <c r="B544">
        <v>1040</v>
      </c>
      <c r="D544">
        <v>3408</v>
      </c>
      <c r="E544" t="s">
        <v>5784</v>
      </c>
      <c r="G544" t="s">
        <v>5092</v>
      </c>
      <c r="H544">
        <v>40707794000142</v>
      </c>
      <c r="J544" t="s">
        <v>5093</v>
      </c>
      <c r="K544" t="s">
        <v>5785</v>
      </c>
      <c r="M544" t="s">
        <v>5094</v>
      </c>
      <c r="S544" t="s">
        <v>2541</v>
      </c>
      <c r="V544" t="s">
        <v>5631</v>
      </c>
      <c r="W544" t="s">
        <v>780</v>
      </c>
      <c r="X544" t="s">
        <v>781</v>
      </c>
      <c r="Z544" s="31">
        <v>46142</v>
      </c>
      <c r="AC544">
        <v>33</v>
      </c>
      <c r="AD544" t="s">
        <v>22</v>
      </c>
      <c r="AE544" s="31">
        <v>46101</v>
      </c>
      <c r="AF544" s="61">
        <v>0.39078703703703699</v>
      </c>
      <c r="AH544" t="s">
        <v>795</v>
      </c>
      <c r="AI544" s="31">
        <v>46134</v>
      </c>
      <c r="AJ544" s="61">
        <v>0.71796296296296291</v>
      </c>
      <c r="AK544" t="s">
        <v>5392</v>
      </c>
      <c r="AO544" t="s">
        <v>31</v>
      </c>
      <c r="AR544" s="31">
        <v>46134</v>
      </c>
      <c r="AS544">
        <v>30</v>
      </c>
      <c r="AX544">
        <v>1</v>
      </c>
    </row>
    <row r="545" spans="1:50" x14ac:dyDescent="0.3">
      <c r="A545" t="s">
        <v>31</v>
      </c>
      <c r="B545">
        <v>1041</v>
      </c>
      <c r="D545">
        <v>3409</v>
      </c>
      <c r="E545" t="s">
        <v>5786</v>
      </c>
      <c r="G545" t="s">
        <v>5096</v>
      </c>
      <c r="J545" t="s">
        <v>5097</v>
      </c>
      <c r="K545" t="s">
        <v>5787</v>
      </c>
      <c r="M545" t="s">
        <v>5098</v>
      </c>
      <c r="S545" t="s">
        <v>2541</v>
      </c>
      <c r="V545" t="s">
        <v>5631</v>
      </c>
      <c r="W545" t="s">
        <v>780</v>
      </c>
      <c r="X545" t="s">
        <v>781</v>
      </c>
      <c r="Z545" s="31"/>
      <c r="AC545">
        <v>50</v>
      </c>
      <c r="AD545" t="s">
        <v>22</v>
      </c>
      <c r="AE545" s="31">
        <v>46101</v>
      </c>
      <c r="AF545" s="61">
        <v>0.64495370370370375</v>
      </c>
      <c r="AH545" t="s">
        <v>795</v>
      </c>
      <c r="AI545" s="31">
        <v>46151</v>
      </c>
      <c r="AJ545" s="61">
        <v>0.88168981481481479</v>
      </c>
      <c r="AK545" t="s">
        <v>5392</v>
      </c>
      <c r="AO545" t="s">
        <v>31</v>
      </c>
      <c r="AR545" s="31">
        <v>46104</v>
      </c>
      <c r="AS545">
        <v>30</v>
      </c>
      <c r="AX545">
        <v>1</v>
      </c>
    </row>
    <row r="546" spans="1:50" x14ac:dyDescent="0.3">
      <c r="A546" t="s">
        <v>44</v>
      </c>
      <c r="B546">
        <v>1044</v>
      </c>
      <c r="D546">
        <v>3414</v>
      </c>
      <c r="E546" t="s">
        <v>5788</v>
      </c>
      <c r="G546" t="s">
        <v>5100</v>
      </c>
      <c r="J546" t="s">
        <v>5101</v>
      </c>
      <c r="K546" t="s">
        <v>5789</v>
      </c>
      <c r="M546" t="s">
        <v>5102</v>
      </c>
      <c r="R546" t="s">
        <v>5103</v>
      </c>
      <c r="S546" t="s">
        <v>1191</v>
      </c>
      <c r="V546" t="s">
        <v>5790</v>
      </c>
      <c r="W546" t="s">
        <v>780</v>
      </c>
      <c r="X546" t="s">
        <v>897</v>
      </c>
      <c r="Z546" s="31">
        <v>46105</v>
      </c>
      <c r="AC546">
        <v>16</v>
      </c>
      <c r="AD546" t="s">
        <v>22</v>
      </c>
      <c r="AE546" s="31">
        <v>46104</v>
      </c>
      <c r="AF546" s="61">
        <v>0.57486111111111116</v>
      </c>
      <c r="AH546" t="s">
        <v>795</v>
      </c>
      <c r="AI546" s="31">
        <v>46120</v>
      </c>
      <c r="AJ546" s="61">
        <v>0.72234953703703708</v>
      </c>
      <c r="AK546" t="s">
        <v>5392</v>
      </c>
      <c r="AL546" t="s">
        <v>5791</v>
      </c>
      <c r="AO546" t="s">
        <v>44</v>
      </c>
      <c r="AR546" s="31">
        <v>46104</v>
      </c>
      <c r="AS546">
        <v>30</v>
      </c>
      <c r="AX546">
        <v>1</v>
      </c>
    </row>
    <row r="547" spans="1:50" x14ac:dyDescent="0.3">
      <c r="A547" t="s">
        <v>31</v>
      </c>
      <c r="B547">
        <v>1045</v>
      </c>
      <c r="D547">
        <v>3412</v>
      </c>
      <c r="E547" t="s">
        <v>5792</v>
      </c>
      <c r="G547" t="s">
        <v>5107</v>
      </c>
      <c r="J547" t="s">
        <v>5108</v>
      </c>
      <c r="K547" t="s">
        <v>5793</v>
      </c>
      <c r="M547" t="s">
        <v>5109</v>
      </c>
      <c r="S547" t="s">
        <v>2541</v>
      </c>
      <c r="V547" t="s">
        <v>5631</v>
      </c>
      <c r="W547" t="s">
        <v>780</v>
      </c>
      <c r="X547" t="s">
        <v>781</v>
      </c>
      <c r="Z547" s="31">
        <v>46142</v>
      </c>
      <c r="AC547">
        <v>15</v>
      </c>
      <c r="AD547" t="s">
        <v>22</v>
      </c>
      <c r="AE547" s="31">
        <v>46104</v>
      </c>
      <c r="AF547" s="61">
        <v>0.57579861111111108</v>
      </c>
      <c r="AH547" t="s">
        <v>795</v>
      </c>
      <c r="AI547" s="31">
        <v>46119</v>
      </c>
      <c r="AJ547" s="61">
        <v>0.40035879629629628</v>
      </c>
      <c r="AK547" t="s">
        <v>5392</v>
      </c>
      <c r="AO547" t="s">
        <v>31</v>
      </c>
      <c r="AR547" s="31">
        <v>46119</v>
      </c>
      <c r="AS547">
        <v>30</v>
      </c>
      <c r="AX547">
        <v>1</v>
      </c>
    </row>
    <row r="548" spans="1:50" x14ac:dyDescent="0.3">
      <c r="A548" t="s">
        <v>44</v>
      </c>
      <c r="B548">
        <v>1046</v>
      </c>
      <c r="D548">
        <v>3411</v>
      </c>
      <c r="E548" t="s">
        <v>5794</v>
      </c>
      <c r="G548" t="s">
        <v>5111</v>
      </c>
      <c r="H548">
        <v>32354207000150</v>
      </c>
      <c r="J548" t="s">
        <v>5112</v>
      </c>
      <c r="K548" t="s">
        <v>5795</v>
      </c>
      <c r="M548" t="s">
        <v>5113</v>
      </c>
      <c r="Q548" t="s">
        <v>5114</v>
      </c>
      <c r="R548" t="s">
        <v>5115</v>
      </c>
      <c r="S548" t="s">
        <v>2541</v>
      </c>
      <c r="V548" t="s">
        <v>5650</v>
      </c>
      <c r="W548" t="s">
        <v>780</v>
      </c>
      <c r="X548" t="s">
        <v>897</v>
      </c>
      <c r="Z548" s="31">
        <v>46112</v>
      </c>
      <c r="AC548">
        <v>47</v>
      </c>
      <c r="AD548" t="s">
        <v>22</v>
      </c>
      <c r="AE548" s="31">
        <v>46104</v>
      </c>
      <c r="AF548" s="61">
        <v>0.57660879629629624</v>
      </c>
      <c r="AH548" t="s">
        <v>795</v>
      </c>
      <c r="AI548" s="31">
        <v>46151</v>
      </c>
      <c r="AJ548" s="61">
        <v>0.33533564814814809</v>
      </c>
      <c r="AK548" t="s">
        <v>5657</v>
      </c>
      <c r="AO548" t="s">
        <v>44</v>
      </c>
      <c r="AR548" s="31">
        <v>46108</v>
      </c>
      <c r="AS548">
        <v>30</v>
      </c>
      <c r="AX548">
        <v>1</v>
      </c>
    </row>
    <row r="549" spans="1:50" x14ac:dyDescent="0.3">
      <c r="A549" t="s">
        <v>44</v>
      </c>
      <c r="B549">
        <v>1047</v>
      </c>
      <c r="D549">
        <v>3417</v>
      </c>
      <c r="G549" t="s">
        <v>446</v>
      </c>
      <c r="J549" t="s">
        <v>5117</v>
      </c>
      <c r="K549" t="s">
        <v>2261</v>
      </c>
      <c r="M549" t="s">
        <v>2262</v>
      </c>
      <c r="W549" t="s">
        <v>780</v>
      </c>
      <c r="X549" t="s">
        <v>816</v>
      </c>
      <c r="Z549" s="31"/>
      <c r="AA549">
        <v>1652929</v>
      </c>
      <c r="AB549">
        <v>0</v>
      </c>
      <c r="AC549">
        <v>0</v>
      </c>
      <c r="AD549" t="s">
        <v>44</v>
      </c>
      <c r="AE549" s="31">
        <v>46105</v>
      </c>
      <c r="AF549" s="61">
        <v>0.67167824074074078</v>
      </c>
      <c r="AH549" t="s">
        <v>818</v>
      </c>
      <c r="AI549" s="31">
        <v>46105</v>
      </c>
      <c r="AJ549" s="61">
        <v>0.67298611111111106</v>
      </c>
      <c r="AN549" t="s">
        <v>4654</v>
      </c>
      <c r="AR549" s="31"/>
      <c r="AS549">
        <v>90</v>
      </c>
      <c r="AX549">
        <v>1</v>
      </c>
    </row>
    <row r="550" spans="1:50" x14ac:dyDescent="0.3">
      <c r="A550" t="s">
        <v>44</v>
      </c>
      <c r="B550">
        <v>1049</v>
      </c>
      <c r="D550">
        <v>3420</v>
      </c>
      <c r="E550" t="s">
        <v>5796</v>
      </c>
      <c r="G550" t="s">
        <v>5119</v>
      </c>
      <c r="H550">
        <v>33582253000170</v>
      </c>
      <c r="J550" t="s">
        <v>5797</v>
      </c>
      <c r="K550" t="s">
        <v>5121</v>
      </c>
      <c r="M550" t="s">
        <v>5122</v>
      </c>
      <c r="Q550" t="s">
        <v>5123</v>
      </c>
      <c r="R550" t="s">
        <v>1105</v>
      </c>
      <c r="S550" t="s">
        <v>814</v>
      </c>
      <c r="V550" t="s">
        <v>5124</v>
      </c>
      <c r="W550" t="s">
        <v>780</v>
      </c>
      <c r="X550" t="s">
        <v>897</v>
      </c>
      <c r="Z550" s="31">
        <v>46112</v>
      </c>
      <c r="AC550">
        <v>7</v>
      </c>
      <c r="AD550" t="s">
        <v>22</v>
      </c>
      <c r="AE550" s="31">
        <v>46106</v>
      </c>
      <c r="AF550" s="61">
        <v>0.68858796296296299</v>
      </c>
      <c r="AH550" t="s">
        <v>795</v>
      </c>
      <c r="AI550" s="31">
        <v>46113</v>
      </c>
      <c r="AJ550" s="61">
        <v>0.4372685185185185</v>
      </c>
      <c r="AK550" t="s">
        <v>5392</v>
      </c>
      <c r="AL550" t="s">
        <v>5796</v>
      </c>
      <c r="AO550" t="s">
        <v>44</v>
      </c>
      <c r="AR550" s="31">
        <v>46112</v>
      </c>
      <c r="AS550">
        <v>30</v>
      </c>
      <c r="AX550">
        <v>1</v>
      </c>
    </row>
    <row r="551" spans="1:50" x14ac:dyDescent="0.3">
      <c r="A551" t="s">
        <v>44</v>
      </c>
      <c r="B551">
        <v>1050</v>
      </c>
      <c r="D551">
        <v>3427</v>
      </c>
      <c r="E551" t="s">
        <v>4917</v>
      </c>
      <c r="G551" t="s">
        <v>5798</v>
      </c>
      <c r="J551" t="s">
        <v>5799</v>
      </c>
      <c r="K551" t="s">
        <v>5800</v>
      </c>
      <c r="M551" t="s">
        <v>4916</v>
      </c>
      <c r="W551" t="s">
        <v>780</v>
      </c>
      <c r="X551" t="s">
        <v>857</v>
      </c>
      <c r="Z551" s="31"/>
      <c r="AA551">
        <v>1600</v>
      </c>
      <c r="AB551">
        <v>252471</v>
      </c>
      <c r="AC551">
        <v>20</v>
      </c>
      <c r="AD551" t="s">
        <v>44</v>
      </c>
      <c r="AE551" s="31">
        <v>46107</v>
      </c>
      <c r="AF551" s="61">
        <v>0.6632986111111111</v>
      </c>
      <c r="AH551" t="s">
        <v>795</v>
      </c>
      <c r="AI551" s="31">
        <v>46127</v>
      </c>
      <c r="AJ551" s="61">
        <v>0.40313657407407399</v>
      </c>
      <c r="AK551" t="s">
        <v>934</v>
      </c>
      <c r="AL551" t="s">
        <v>4917</v>
      </c>
      <c r="AN551" t="s">
        <v>4918</v>
      </c>
      <c r="AP551" t="s">
        <v>4679</v>
      </c>
      <c r="AR551" s="31">
        <v>46127</v>
      </c>
      <c r="AS551">
        <v>50</v>
      </c>
      <c r="AX551">
        <v>1</v>
      </c>
    </row>
    <row r="552" spans="1:50" x14ac:dyDescent="0.3">
      <c r="A552" t="s">
        <v>44</v>
      </c>
      <c r="B552">
        <v>1051</v>
      </c>
      <c r="D552">
        <v>3428</v>
      </c>
      <c r="E552" t="s">
        <v>4917</v>
      </c>
      <c r="G552" t="s">
        <v>461</v>
      </c>
      <c r="J552" t="s">
        <v>5126</v>
      </c>
      <c r="K552" t="s">
        <v>5800</v>
      </c>
      <c r="M552" t="s">
        <v>4916</v>
      </c>
      <c r="W552" t="s">
        <v>780</v>
      </c>
      <c r="X552" t="s">
        <v>857</v>
      </c>
      <c r="Z552" s="31"/>
      <c r="AA552">
        <v>13100</v>
      </c>
      <c r="AB552">
        <v>1800</v>
      </c>
      <c r="AC552">
        <v>20</v>
      </c>
      <c r="AD552" t="s">
        <v>44</v>
      </c>
      <c r="AE552" s="31">
        <v>46107</v>
      </c>
      <c r="AF552" s="61">
        <v>0.66609953703703706</v>
      </c>
      <c r="AH552" t="s">
        <v>795</v>
      </c>
      <c r="AI552" s="31">
        <v>46127</v>
      </c>
      <c r="AJ552" s="61">
        <v>0.40047453703703711</v>
      </c>
      <c r="AK552" t="s">
        <v>934</v>
      </c>
      <c r="AL552" t="s">
        <v>4917</v>
      </c>
      <c r="AN552" t="s">
        <v>4918</v>
      </c>
      <c r="AP552" t="s">
        <v>4612</v>
      </c>
      <c r="AR552" s="31">
        <v>46127</v>
      </c>
      <c r="AS552">
        <v>50</v>
      </c>
      <c r="AX552">
        <v>1</v>
      </c>
    </row>
    <row r="553" spans="1:50" x14ac:dyDescent="0.3">
      <c r="A553" t="s">
        <v>31</v>
      </c>
      <c r="B553">
        <v>1052</v>
      </c>
      <c r="D553">
        <v>3423</v>
      </c>
      <c r="E553" t="s">
        <v>5127</v>
      </c>
      <c r="G553" t="s">
        <v>5128</v>
      </c>
      <c r="H553">
        <v>48440778000148</v>
      </c>
      <c r="J553" t="s">
        <v>5129</v>
      </c>
      <c r="K553" t="s">
        <v>5801</v>
      </c>
      <c r="M553" t="s">
        <v>5130</v>
      </c>
      <c r="R553" t="s">
        <v>5131</v>
      </c>
      <c r="S553" t="s">
        <v>1191</v>
      </c>
      <c r="V553" t="s">
        <v>5650</v>
      </c>
      <c r="W553" t="s">
        <v>780</v>
      </c>
      <c r="X553" t="s">
        <v>781</v>
      </c>
      <c r="Z553" s="31">
        <v>46112</v>
      </c>
      <c r="AC553">
        <v>44</v>
      </c>
      <c r="AD553" t="s">
        <v>22</v>
      </c>
      <c r="AE553" s="31">
        <v>46107</v>
      </c>
      <c r="AF553" s="61">
        <v>0.70391203703703709</v>
      </c>
      <c r="AH553" t="s">
        <v>795</v>
      </c>
      <c r="AI553" s="31">
        <v>46151</v>
      </c>
      <c r="AJ553" s="61">
        <v>0.35934027777777777</v>
      </c>
      <c r="AK553" t="s">
        <v>5657</v>
      </c>
      <c r="AO553" t="s">
        <v>31</v>
      </c>
      <c r="AR553" s="31">
        <v>46119</v>
      </c>
      <c r="AS553">
        <v>30</v>
      </c>
      <c r="AX553">
        <v>1</v>
      </c>
    </row>
    <row r="554" spans="1:50" x14ac:dyDescent="0.3">
      <c r="A554" t="s">
        <v>44</v>
      </c>
      <c r="B554">
        <v>1053</v>
      </c>
      <c r="D554">
        <v>3424</v>
      </c>
      <c r="E554" t="s">
        <v>5802</v>
      </c>
      <c r="G554" t="s">
        <v>5133</v>
      </c>
      <c r="H554">
        <v>4486490000139</v>
      </c>
      <c r="J554" t="s">
        <v>5134</v>
      </c>
      <c r="K554" t="s">
        <v>5803</v>
      </c>
      <c r="M554" t="s">
        <v>5135</v>
      </c>
      <c r="S554" t="s">
        <v>2541</v>
      </c>
      <c r="V554" t="s">
        <v>5650</v>
      </c>
      <c r="W554" t="s">
        <v>780</v>
      </c>
      <c r="X554" t="s">
        <v>897</v>
      </c>
      <c r="Z554" s="31">
        <v>46107</v>
      </c>
      <c r="AC554">
        <v>55</v>
      </c>
      <c r="AD554" t="s">
        <v>22</v>
      </c>
      <c r="AE554" s="31">
        <v>46107</v>
      </c>
      <c r="AF554" s="61">
        <v>0.7056365740740741</v>
      </c>
      <c r="AH554" t="s">
        <v>782</v>
      </c>
      <c r="AI554" s="31"/>
      <c r="AJ554" s="61"/>
      <c r="AO554" t="s">
        <v>44</v>
      </c>
      <c r="AR554" s="31"/>
      <c r="AS554">
        <v>30</v>
      </c>
      <c r="AX554">
        <v>1</v>
      </c>
    </row>
    <row r="555" spans="1:50" x14ac:dyDescent="0.3">
      <c r="A555" t="s">
        <v>31</v>
      </c>
      <c r="B555">
        <v>1054</v>
      </c>
      <c r="D555">
        <v>3425</v>
      </c>
      <c r="E555" t="s">
        <v>5136</v>
      </c>
      <c r="G555" t="s">
        <v>5137</v>
      </c>
      <c r="J555" t="s">
        <v>5138</v>
      </c>
      <c r="K555" t="s">
        <v>5804</v>
      </c>
      <c r="M555" t="s">
        <v>5139</v>
      </c>
      <c r="R555" t="s">
        <v>5140</v>
      </c>
      <c r="S555" t="s">
        <v>1191</v>
      </c>
      <c r="V555" t="s">
        <v>5631</v>
      </c>
      <c r="W555" t="s">
        <v>780</v>
      </c>
      <c r="X555" t="s">
        <v>781</v>
      </c>
      <c r="Z555" s="31">
        <v>46107</v>
      </c>
      <c r="AC555">
        <v>11</v>
      </c>
      <c r="AD555" t="s">
        <v>22</v>
      </c>
      <c r="AE555" s="31">
        <v>46107</v>
      </c>
      <c r="AF555" s="61">
        <v>0.70751157407407406</v>
      </c>
      <c r="AH555" t="s">
        <v>795</v>
      </c>
      <c r="AI555" s="31">
        <v>46118</v>
      </c>
      <c r="AJ555" s="61">
        <v>0.53096064814814814</v>
      </c>
      <c r="AK555" t="s">
        <v>5392</v>
      </c>
      <c r="AO555" t="s">
        <v>31</v>
      </c>
      <c r="AR555" s="31">
        <v>46113</v>
      </c>
      <c r="AS555">
        <v>30</v>
      </c>
      <c r="AX555">
        <v>1</v>
      </c>
    </row>
    <row r="556" spans="1:50" x14ac:dyDescent="0.3">
      <c r="A556" t="s">
        <v>31</v>
      </c>
      <c r="B556">
        <v>1055</v>
      </c>
      <c r="D556">
        <v>3429</v>
      </c>
      <c r="E556" t="s">
        <v>5141</v>
      </c>
      <c r="G556" t="s">
        <v>5142</v>
      </c>
      <c r="J556" t="s">
        <v>5143</v>
      </c>
      <c r="K556" t="s">
        <v>5805</v>
      </c>
      <c r="M556" t="s">
        <v>5144</v>
      </c>
      <c r="S556" t="s">
        <v>2541</v>
      </c>
      <c r="V556" t="s">
        <v>5631</v>
      </c>
      <c r="W556" t="s">
        <v>780</v>
      </c>
      <c r="X556" t="s">
        <v>781</v>
      </c>
      <c r="Z556" s="31">
        <v>46112</v>
      </c>
      <c r="AC556">
        <v>3</v>
      </c>
      <c r="AD556" t="s">
        <v>22</v>
      </c>
      <c r="AE556" s="31">
        <v>46108</v>
      </c>
      <c r="AF556" s="61">
        <v>0.4294560185185185</v>
      </c>
      <c r="AH556" t="s">
        <v>795</v>
      </c>
      <c r="AI556" s="31">
        <v>46111</v>
      </c>
      <c r="AJ556" s="61">
        <v>0.73829861111111106</v>
      </c>
      <c r="AK556" t="s">
        <v>5392</v>
      </c>
      <c r="AO556" t="s">
        <v>31</v>
      </c>
      <c r="AR556" s="31">
        <v>46111</v>
      </c>
      <c r="AS556">
        <v>30</v>
      </c>
      <c r="AX556">
        <v>1</v>
      </c>
    </row>
    <row r="557" spans="1:50" x14ac:dyDescent="0.3">
      <c r="A557" t="s">
        <v>44</v>
      </c>
      <c r="B557">
        <v>1059</v>
      </c>
      <c r="D557">
        <v>3455</v>
      </c>
      <c r="E557" t="s">
        <v>5806</v>
      </c>
      <c r="G557" t="s">
        <v>5807</v>
      </c>
      <c r="J557" t="s">
        <v>5808</v>
      </c>
      <c r="K557" t="s">
        <v>5809</v>
      </c>
      <c r="M557" t="s">
        <v>4972</v>
      </c>
      <c r="W557" t="s">
        <v>780</v>
      </c>
      <c r="X557" t="s">
        <v>807</v>
      </c>
      <c r="Z557" s="31"/>
      <c r="AA557">
        <v>1600</v>
      </c>
      <c r="AB557">
        <v>384454</v>
      </c>
      <c r="AC557">
        <v>51</v>
      </c>
      <c r="AD557" t="s">
        <v>44</v>
      </c>
      <c r="AE557" s="31">
        <v>46111</v>
      </c>
      <c r="AF557" s="61">
        <v>0.63893518518518522</v>
      </c>
      <c r="AH557" t="s">
        <v>782</v>
      </c>
      <c r="AI557" s="31"/>
      <c r="AJ557" s="61"/>
      <c r="AN557" t="s">
        <v>4973</v>
      </c>
      <c r="AP557" t="s">
        <v>4644</v>
      </c>
      <c r="AR557" s="31">
        <v>46111</v>
      </c>
      <c r="AS557">
        <v>50</v>
      </c>
      <c r="AX557">
        <v>1</v>
      </c>
    </row>
    <row r="558" spans="1:50" x14ac:dyDescent="0.3">
      <c r="A558" t="s">
        <v>44</v>
      </c>
      <c r="B558">
        <v>1060</v>
      </c>
      <c r="D558">
        <v>3460</v>
      </c>
      <c r="G558" t="s">
        <v>5810</v>
      </c>
      <c r="J558" t="s">
        <v>5811</v>
      </c>
      <c r="K558" t="s">
        <v>5812</v>
      </c>
      <c r="M558" t="s">
        <v>1111</v>
      </c>
      <c r="W558" t="s">
        <v>780</v>
      </c>
      <c r="X558" t="s">
        <v>807</v>
      </c>
      <c r="Z558" s="31"/>
      <c r="AA558">
        <v>34236</v>
      </c>
      <c r="AB558">
        <v>42768</v>
      </c>
      <c r="AC558">
        <v>51</v>
      </c>
      <c r="AD558" t="s">
        <v>44</v>
      </c>
      <c r="AE558" s="31">
        <v>46111</v>
      </c>
      <c r="AF558" s="61">
        <v>0.67641203703703701</v>
      </c>
      <c r="AH558" t="s">
        <v>782</v>
      </c>
      <c r="AI558" s="31"/>
      <c r="AJ558" s="61"/>
      <c r="AN558" t="s">
        <v>5148</v>
      </c>
      <c r="AP558" t="s">
        <v>5149</v>
      </c>
      <c r="AR558" s="31"/>
      <c r="AS558">
        <v>50</v>
      </c>
      <c r="AX558">
        <v>1</v>
      </c>
    </row>
    <row r="559" spans="1:50" x14ac:dyDescent="0.3">
      <c r="A559" t="s">
        <v>44</v>
      </c>
      <c r="B559">
        <v>1061</v>
      </c>
      <c r="D559">
        <v>3466</v>
      </c>
      <c r="E559" t="s">
        <v>5813</v>
      </c>
      <c r="G559" t="s">
        <v>5814</v>
      </c>
      <c r="J559" t="s">
        <v>5815</v>
      </c>
      <c r="K559" t="s">
        <v>5816</v>
      </c>
      <c r="M559" t="s">
        <v>1111</v>
      </c>
      <c r="W559" t="s">
        <v>780</v>
      </c>
      <c r="X559" t="s">
        <v>793</v>
      </c>
      <c r="Z559" s="31"/>
      <c r="AA559">
        <v>13568</v>
      </c>
      <c r="AB559">
        <v>0</v>
      </c>
      <c r="AC559">
        <v>25</v>
      </c>
      <c r="AD559" t="s">
        <v>44</v>
      </c>
      <c r="AE559" s="31">
        <v>46111</v>
      </c>
      <c r="AF559" s="61">
        <v>0.69383101851851847</v>
      </c>
      <c r="AH559" t="s">
        <v>795</v>
      </c>
      <c r="AI559" s="31">
        <v>46136</v>
      </c>
      <c r="AJ559" s="61">
        <v>0.42457175925925927</v>
      </c>
      <c r="AK559" t="s">
        <v>934</v>
      </c>
      <c r="AL559" t="s">
        <v>5813</v>
      </c>
      <c r="AN559" t="s">
        <v>4680</v>
      </c>
      <c r="AP559" t="s">
        <v>4680</v>
      </c>
      <c r="AR559" s="31">
        <v>46136</v>
      </c>
      <c r="AS559">
        <v>30</v>
      </c>
      <c r="AX559">
        <v>1</v>
      </c>
    </row>
    <row r="560" spans="1:50" x14ac:dyDescent="0.3">
      <c r="A560" t="s">
        <v>44</v>
      </c>
      <c r="B560">
        <v>1062</v>
      </c>
      <c r="D560">
        <v>3093</v>
      </c>
      <c r="G560" t="s">
        <v>483</v>
      </c>
      <c r="H560">
        <v>53629067000156</v>
      </c>
      <c r="J560" t="s">
        <v>3010</v>
      </c>
      <c r="K560" t="s">
        <v>2826</v>
      </c>
      <c r="M560" t="s">
        <v>2827</v>
      </c>
      <c r="Q560" t="s">
        <v>2828</v>
      </c>
      <c r="R560" t="s">
        <v>1699</v>
      </c>
      <c r="S560" t="s">
        <v>814</v>
      </c>
      <c r="V560" t="s">
        <v>1186</v>
      </c>
      <c r="W560" t="s">
        <v>780</v>
      </c>
      <c r="X560" t="s">
        <v>793</v>
      </c>
      <c r="Z560" s="31"/>
      <c r="AA560">
        <v>68743</v>
      </c>
      <c r="AB560">
        <v>143186</v>
      </c>
      <c r="AC560">
        <v>0</v>
      </c>
      <c r="AD560" t="s">
        <v>44</v>
      </c>
      <c r="AE560" s="31">
        <v>46111</v>
      </c>
      <c r="AF560" s="61">
        <v>0.72445601851851849</v>
      </c>
      <c r="AH560" t="s">
        <v>795</v>
      </c>
      <c r="AI560" s="31">
        <v>46111</v>
      </c>
      <c r="AJ560" s="61">
        <v>0.74094907407407407</v>
      </c>
      <c r="AK560" t="s">
        <v>934</v>
      </c>
      <c r="AL560" t="s">
        <v>5817</v>
      </c>
      <c r="AN560" t="s">
        <v>4714</v>
      </c>
      <c r="AP560" t="s">
        <v>4714</v>
      </c>
      <c r="AR560" s="31"/>
      <c r="AS560">
        <v>30</v>
      </c>
      <c r="AX560">
        <v>1</v>
      </c>
    </row>
    <row r="561" spans="1:50" x14ac:dyDescent="0.3">
      <c r="A561" t="s">
        <v>44</v>
      </c>
      <c r="B561">
        <v>1063</v>
      </c>
      <c r="D561">
        <v>3467</v>
      </c>
      <c r="G561" t="s">
        <v>5818</v>
      </c>
      <c r="J561" t="s">
        <v>5819</v>
      </c>
      <c r="K561" t="s">
        <v>3011</v>
      </c>
      <c r="M561" t="s">
        <v>1111</v>
      </c>
      <c r="W561" t="s">
        <v>780</v>
      </c>
      <c r="X561" t="s">
        <v>793</v>
      </c>
      <c r="Z561" s="31"/>
      <c r="AA561">
        <v>1600</v>
      </c>
      <c r="AB561">
        <v>252471</v>
      </c>
      <c r="AC561">
        <v>0</v>
      </c>
      <c r="AD561" t="s">
        <v>44</v>
      </c>
      <c r="AE561" s="31">
        <v>46111</v>
      </c>
      <c r="AF561" s="61">
        <v>0.73722222222222222</v>
      </c>
      <c r="AH561" t="s">
        <v>795</v>
      </c>
      <c r="AI561" s="31">
        <v>46111</v>
      </c>
      <c r="AJ561" s="61">
        <v>0.74140046296296291</v>
      </c>
      <c r="AK561" t="s">
        <v>934</v>
      </c>
      <c r="AL561" t="s">
        <v>5817</v>
      </c>
      <c r="AN561" t="s">
        <v>4691</v>
      </c>
      <c r="AP561" t="s">
        <v>4714</v>
      </c>
      <c r="AQ561" t="s">
        <v>4691</v>
      </c>
      <c r="AR561" s="31"/>
      <c r="AS561">
        <v>30</v>
      </c>
      <c r="AX561">
        <v>1</v>
      </c>
    </row>
    <row r="562" spans="1:50" x14ac:dyDescent="0.3">
      <c r="A562" t="s">
        <v>31</v>
      </c>
      <c r="B562">
        <v>1064</v>
      </c>
      <c r="D562">
        <v>3446</v>
      </c>
      <c r="E562" t="s">
        <v>5153</v>
      </c>
      <c r="G562" t="s">
        <v>5154</v>
      </c>
      <c r="J562" t="s">
        <v>5155</v>
      </c>
      <c r="K562" t="s">
        <v>5820</v>
      </c>
      <c r="M562" t="s">
        <v>5156</v>
      </c>
      <c r="S562" t="s">
        <v>2541</v>
      </c>
      <c r="V562" t="s">
        <v>5631</v>
      </c>
      <c r="W562" t="s">
        <v>780</v>
      </c>
      <c r="X562" t="s">
        <v>781</v>
      </c>
      <c r="Z562" s="31">
        <v>46142</v>
      </c>
      <c r="AC562">
        <v>7</v>
      </c>
      <c r="AD562" t="s">
        <v>22</v>
      </c>
      <c r="AE562" s="31">
        <v>46112</v>
      </c>
      <c r="AF562" s="61">
        <v>0.42952546296296301</v>
      </c>
      <c r="AH562" t="s">
        <v>795</v>
      </c>
      <c r="AI562" s="31">
        <v>46119</v>
      </c>
      <c r="AJ562" s="61">
        <v>0.38395833333333329</v>
      </c>
      <c r="AK562" t="s">
        <v>5392</v>
      </c>
      <c r="AO562" t="s">
        <v>31</v>
      </c>
      <c r="AR562" s="31">
        <v>46113</v>
      </c>
      <c r="AS562">
        <v>30</v>
      </c>
      <c r="AX562">
        <v>1</v>
      </c>
    </row>
    <row r="563" spans="1:50" x14ac:dyDescent="0.3">
      <c r="A563" t="s">
        <v>44</v>
      </c>
      <c r="B563">
        <v>1065</v>
      </c>
      <c r="D563">
        <v>3447</v>
      </c>
      <c r="E563" t="s">
        <v>5821</v>
      </c>
      <c r="G563" t="s">
        <v>5158</v>
      </c>
      <c r="J563" t="s">
        <v>5158</v>
      </c>
      <c r="K563" t="s">
        <v>5822</v>
      </c>
      <c r="M563" t="s">
        <v>5159</v>
      </c>
      <c r="R563" t="s">
        <v>5160</v>
      </c>
      <c r="S563" t="s">
        <v>1191</v>
      </c>
      <c r="V563" t="s">
        <v>5631</v>
      </c>
      <c r="W563" t="s">
        <v>780</v>
      </c>
      <c r="X563" t="s">
        <v>781</v>
      </c>
      <c r="Z563" s="31">
        <v>46112</v>
      </c>
      <c r="AC563">
        <v>0</v>
      </c>
      <c r="AD563" t="s">
        <v>22</v>
      </c>
      <c r="AE563" s="31">
        <v>46112</v>
      </c>
      <c r="AF563" s="61">
        <v>0.4331712962962963</v>
      </c>
      <c r="AH563" t="s">
        <v>795</v>
      </c>
      <c r="AI563" s="31">
        <v>46112</v>
      </c>
      <c r="AJ563" s="61">
        <v>0.62230324074074073</v>
      </c>
      <c r="AK563" t="s">
        <v>5392</v>
      </c>
      <c r="AL563" t="s">
        <v>5821</v>
      </c>
      <c r="AO563" t="s">
        <v>44</v>
      </c>
      <c r="AR563" s="31"/>
      <c r="AS563">
        <v>30</v>
      </c>
      <c r="AX563">
        <v>1</v>
      </c>
    </row>
    <row r="564" spans="1:50" x14ac:dyDescent="0.3">
      <c r="A564" t="s">
        <v>44</v>
      </c>
      <c r="B564">
        <v>1066</v>
      </c>
      <c r="D564">
        <v>3448</v>
      </c>
      <c r="E564" t="s">
        <v>5823</v>
      </c>
      <c r="G564" t="s">
        <v>5162</v>
      </c>
      <c r="H564">
        <v>4827674000115</v>
      </c>
      <c r="J564" t="s">
        <v>5163</v>
      </c>
      <c r="K564" t="s">
        <v>5164</v>
      </c>
      <c r="M564" t="s">
        <v>5165</v>
      </c>
      <c r="Q564" t="s">
        <v>5166</v>
      </c>
      <c r="R564" t="s">
        <v>874</v>
      </c>
      <c r="S564" t="s">
        <v>2541</v>
      </c>
      <c r="V564" t="s">
        <v>5650</v>
      </c>
      <c r="W564" t="s">
        <v>780</v>
      </c>
      <c r="X564" t="s">
        <v>897</v>
      </c>
      <c r="Z564" s="31"/>
      <c r="AC564">
        <v>39</v>
      </c>
      <c r="AD564" t="s">
        <v>22</v>
      </c>
      <c r="AE564" s="31">
        <v>46112</v>
      </c>
      <c r="AF564" s="61">
        <v>0.43893518518518521</v>
      </c>
      <c r="AH564" t="s">
        <v>795</v>
      </c>
      <c r="AI564" s="31">
        <v>46151</v>
      </c>
      <c r="AJ564" s="61">
        <v>0.33603009259259259</v>
      </c>
      <c r="AK564" t="s">
        <v>5657</v>
      </c>
      <c r="AO564" t="s">
        <v>44</v>
      </c>
      <c r="AR564" s="31">
        <v>46118</v>
      </c>
      <c r="AS564">
        <v>30</v>
      </c>
      <c r="AX564">
        <v>1</v>
      </c>
    </row>
    <row r="565" spans="1:50" x14ac:dyDescent="0.3">
      <c r="A565" t="s">
        <v>31</v>
      </c>
      <c r="B565">
        <v>1067</v>
      </c>
      <c r="D565">
        <v>3468</v>
      </c>
      <c r="E565" t="s">
        <v>5168</v>
      </c>
      <c r="G565" t="s">
        <v>5169</v>
      </c>
      <c r="H565">
        <v>50649054000150</v>
      </c>
      <c r="J565" t="s">
        <v>5170</v>
      </c>
      <c r="K565" t="s">
        <v>5171</v>
      </c>
      <c r="M565" t="s">
        <v>5172</v>
      </c>
      <c r="Q565" t="s">
        <v>847</v>
      </c>
      <c r="R565" t="s">
        <v>848</v>
      </c>
      <c r="S565" t="s">
        <v>1191</v>
      </c>
      <c r="V565" t="s">
        <v>5631</v>
      </c>
      <c r="W565" t="s">
        <v>780</v>
      </c>
      <c r="X565" t="s">
        <v>781</v>
      </c>
      <c r="Z565" s="31"/>
      <c r="AC565">
        <v>0</v>
      </c>
      <c r="AD565" t="s">
        <v>22</v>
      </c>
      <c r="AE565" s="31">
        <v>46112</v>
      </c>
      <c r="AF565" s="61">
        <v>0.44137731481481479</v>
      </c>
      <c r="AH565" t="s">
        <v>795</v>
      </c>
      <c r="AI565" s="31">
        <v>46112</v>
      </c>
      <c r="AJ565" s="61">
        <v>0.63928240740740738</v>
      </c>
      <c r="AK565" t="s">
        <v>5392</v>
      </c>
      <c r="AO565" t="s">
        <v>31</v>
      </c>
      <c r="AR565" s="31"/>
      <c r="AS565">
        <v>30</v>
      </c>
      <c r="AX565">
        <v>1</v>
      </c>
    </row>
    <row r="566" spans="1:50" x14ac:dyDescent="0.3">
      <c r="A566" t="s">
        <v>44</v>
      </c>
      <c r="B566">
        <v>1068</v>
      </c>
      <c r="D566">
        <v>3471</v>
      </c>
      <c r="E566" t="s">
        <v>5824</v>
      </c>
      <c r="G566" t="s">
        <v>5825</v>
      </c>
      <c r="J566" t="s">
        <v>5826</v>
      </c>
      <c r="K566" t="s">
        <v>5174</v>
      </c>
      <c r="M566" t="s">
        <v>1111</v>
      </c>
      <c r="W566" t="s">
        <v>780</v>
      </c>
      <c r="X566" t="s">
        <v>793</v>
      </c>
      <c r="Z566" s="31"/>
      <c r="AA566">
        <v>1600</v>
      </c>
      <c r="AB566">
        <v>384454</v>
      </c>
      <c r="AC566">
        <v>20</v>
      </c>
      <c r="AD566" t="s">
        <v>44</v>
      </c>
      <c r="AE566" s="31">
        <v>46112</v>
      </c>
      <c r="AF566" s="61">
        <v>0.63679398148148147</v>
      </c>
      <c r="AH566" t="s">
        <v>795</v>
      </c>
      <c r="AI566" s="31">
        <v>46132</v>
      </c>
      <c r="AJ566" s="61">
        <v>0.49424768518518519</v>
      </c>
      <c r="AK566" t="s">
        <v>934</v>
      </c>
      <c r="AL566" t="s">
        <v>5824</v>
      </c>
      <c r="AN566" t="s">
        <v>4918</v>
      </c>
      <c r="AP566" t="s">
        <v>4918</v>
      </c>
      <c r="AR566" s="31">
        <v>46132</v>
      </c>
      <c r="AS566">
        <v>50</v>
      </c>
      <c r="AX566">
        <v>1</v>
      </c>
    </row>
    <row r="567" spans="1:50" x14ac:dyDescent="0.3">
      <c r="A567" t="s">
        <v>44</v>
      </c>
      <c r="B567">
        <v>1069</v>
      </c>
      <c r="D567">
        <v>3472</v>
      </c>
      <c r="G567" t="s">
        <v>495</v>
      </c>
      <c r="J567" t="s">
        <v>5175</v>
      </c>
      <c r="K567" t="s">
        <v>2369</v>
      </c>
      <c r="M567" t="s">
        <v>1111</v>
      </c>
      <c r="W567" t="s">
        <v>780</v>
      </c>
      <c r="X567" t="s">
        <v>793</v>
      </c>
      <c r="Z567" s="31"/>
      <c r="AA567">
        <v>8480</v>
      </c>
      <c r="AB567">
        <v>3564</v>
      </c>
      <c r="AC567">
        <v>24</v>
      </c>
      <c r="AD567" t="s">
        <v>44</v>
      </c>
      <c r="AE567" s="31">
        <v>46112</v>
      </c>
      <c r="AF567" s="61">
        <v>0.65101851851851855</v>
      </c>
      <c r="AH567" t="s">
        <v>795</v>
      </c>
      <c r="AI567" s="31">
        <v>46136</v>
      </c>
      <c r="AJ567" s="61">
        <v>0.42104166666666659</v>
      </c>
      <c r="AK567" t="s">
        <v>934</v>
      </c>
      <c r="AL567" t="s">
        <v>5827</v>
      </c>
      <c r="AN567" t="s">
        <v>5176</v>
      </c>
      <c r="AP567" t="s">
        <v>5176</v>
      </c>
      <c r="AR567" s="31"/>
      <c r="AS567">
        <v>30</v>
      </c>
      <c r="AX567">
        <v>1</v>
      </c>
    </row>
    <row r="568" spans="1:50" x14ac:dyDescent="0.3">
      <c r="A568" t="s">
        <v>44</v>
      </c>
      <c r="B568">
        <v>1072</v>
      </c>
      <c r="D568">
        <v>3474</v>
      </c>
      <c r="E568" t="s">
        <v>5828</v>
      </c>
      <c r="G568" t="s">
        <v>5178</v>
      </c>
      <c r="H568">
        <v>27728774000190</v>
      </c>
      <c r="J568" t="s">
        <v>5179</v>
      </c>
      <c r="K568" t="s">
        <v>5180</v>
      </c>
      <c r="M568" t="s">
        <v>5181</v>
      </c>
      <c r="Q568" t="s">
        <v>5182</v>
      </c>
      <c r="R568" t="s">
        <v>5183</v>
      </c>
      <c r="S568" t="s">
        <v>1191</v>
      </c>
      <c r="V568" t="s">
        <v>5631</v>
      </c>
      <c r="W568" t="s">
        <v>780</v>
      </c>
      <c r="X568" t="s">
        <v>781</v>
      </c>
      <c r="Z568" s="31"/>
      <c r="AC568">
        <v>0</v>
      </c>
      <c r="AD568" t="s">
        <v>22</v>
      </c>
      <c r="AE568" s="31">
        <v>46113</v>
      </c>
      <c r="AF568" s="61">
        <v>0.48964120370370368</v>
      </c>
      <c r="AH568" t="s">
        <v>795</v>
      </c>
      <c r="AI568" s="31">
        <v>46113</v>
      </c>
      <c r="AJ568" s="61">
        <v>0.64266203703703706</v>
      </c>
      <c r="AK568" t="s">
        <v>5392</v>
      </c>
      <c r="AL568" t="s">
        <v>5828</v>
      </c>
      <c r="AO568" t="s">
        <v>44</v>
      </c>
      <c r="AR568" s="31"/>
      <c r="AS568">
        <v>30</v>
      </c>
      <c r="AX568">
        <v>1</v>
      </c>
    </row>
    <row r="569" spans="1:50" x14ac:dyDescent="0.3">
      <c r="A569" t="s">
        <v>44</v>
      </c>
      <c r="B569">
        <v>1073</v>
      </c>
      <c r="D569">
        <v>3479</v>
      </c>
      <c r="E569" t="s">
        <v>5829</v>
      </c>
      <c r="G569" t="s">
        <v>5185</v>
      </c>
      <c r="H569">
        <v>667476000261</v>
      </c>
      <c r="J569" t="s">
        <v>5186</v>
      </c>
      <c r="K569" t="s">
        <v>5830</v>
      </c>
      <c r="M569" t="s">
        <v>5187</v>
      </c>
      <c r="S569" t="s">
        <v>2541</v>
      </c>
      <c r="V569" t="s">
        <v>5631</v>
      </c>
      <c r="W569" t="s">
        <v>780</v>
      </c>
      <c r="X569" t="s">
        <v>897</v>
      </c>
      <c r="Z569" s="31"/>
      <c r="AC569">
        <v>1</v>
      </c>
      <c r="AD569" t="s">
        <v>22</v>
      </c>
      <c r="AE569" s="31">
        <v>46118</v>
      </c>
      <c r="AF569" s="61">
        <v>0.47232638888888889</v>
      </c>
      <c r="AH569" t="s">
        <v>795</v>
      </c>
      <c r="AI569" s="31">
        <v>46119</v>
      </c>
      <c r="AJ569" s="61">
        <v>0.68859953703703702</v>
      </c>
      <c r="AK569" t="s">
        <v>5392</v>
      </c>
      <c r="AL569" t="s">
        <v>5829</v>
      </c>
      <c r="AO569" t="s">
        <v>44</v>
      </c>
      <c r="AR569" s="31">
        <v>46119</v>
      </c>
      <c r="AS569">
        <v>30</v>
      </c>
      <c r="AX569">
        <v>1</v>
      </c>
    </row>
    <row r="570" spans="1:50" x14ac:dyDescent="0.3">
      <c r="A570" t="s">
        <v>31</v>
      </c>
      <c r="B570">
        <v>1074</v>
      </c>
      <c r="D570">
        <v>3478</v>
      </c>
      <c r="E570" t="s">
        <v>5188</v>
      </c>
      <c r="G570" t="s">
        <v>5189</v>
      </c>
      <c r="H570">
        <v>34777766000107</v>
      </c>
      <c r="J570" t="s">
        <v>5190</v>
      </c>
      <c r="K570" t="s">
        <v>5191</v>
      </c>
      <c r="M570" t="s">
        <v>5192</v>
      </c>
      <c r="Q570" t="s">
        <v>5193</v>
      </c>
      <c r="R570" t="s">
        <v>1105</v>
      </c>
      <c r="S570" t="s">
        <v>2541</v>
      </c>
      <c r="V570" t="s">
        <v>5631</v>
      </c>
      <c r="W570" t="s">
        <v>780</v>
      </c>
      <c r="X570" t="s">
        <v>781</v>
      </c>
      <c r="Z570" s="31"/>
      <c r="AC570">
        <v>33</v>
      </c>
      <c r="AD570" t="s">
        <v>22</v>
      </c>
      <c r="AE570" s="31">
        <v>46118</v>
      </c>
      <c r="AF570" s="61">
        <v>0.47351851851851851</v>
      </c>
      <c r="AH570" t="s">
        <v>795</v>
      </c>
      <c r="AI570" s="31">
        <v>46151</v>
      </c>
      <c r="AJ570" s="61">
        <v>0.36001157407407408</v>
      </c>
      <c r="AK570" t="s">
        <v>5657</v>
      </c>
      <c r="AO570" t="s">
        <v>31</v>
      </c>
      <c r="AR570" s="31">
        <v>46119</v>
      </c>
      <c r="AS570">
        <v>27</v>
      </c>
      <c r="AX570">
        <v>1</v>
      </c>
    </row>
    <row r="571" spans="1:50" x14ac:dyDescent="0.3">
      <c r="A571" t="s">
        <v>44</v>
      </c>
      <c r="B571">
        <v>1075</v>
      </c>
      <c r="D571">
        <v>3480</v>
      </c>
      <c r="E571" t="s">
        <v>5831</v>
      </c>
      <c r="G571" t="s">
        <v>5196</v>
      </c>
      <c r="J571" t="s">
        <v>5197</v>
      </c>
      <c r="K571" t="s">
        <v>5832</v>
      </c>
      <c r="M571" t="s">
        <v>5198</v>
      </c>
      <c r="S571" t="s">
        <v>2541</v>
      </c>
      <c r="V571" t="s">
        <v>5631</v>
      </c>
      <c r="W571" t="s">
        <v>780</v>
      </c>
      <c r="X571" t="s">
        <v>781</v>
      </c>
      <c r="Z571" s="31"/>
      <c r="AC571">
        <v>0</v>
      </c>
      <c r="AD571" t="s">
        <v>22</v>
      </c>
      <c r="AE571" s="31">
        <v>46118</v>
      </c>
      <c r="AF571" s="61">
        <v>0.47479166666666672</v>
      </c>
      <c r="AH571" t="s">
        <v>795</v>
      </c>
      <c r="AI571" s="31">
        <v>46118</v>
      </c>
      <c r="AJ571" s="61">
        <v>0.72045138888888893</v>
      </c>
      <c r="AK571" t="s">
        <v>5392</v>
      </c>
      <c r="AL571" t="s">
        <v>5833</v>
      </c>
      <c r="AO571" t="s">
        <v>44</v>
      </c>
      <c r="AR571" s="31"/>
      <c r="AS571">
        <v>30</v>
      </c>
      <c r="AX571">
        <v>1</v>
      </c>
    </row>
    <row r="572" spans="1:50" x14ac:dyDescent="0.3">
      <c r="A572" t="s">
        <v>31</v>
      </c>
      <c r="B572">
        <v>1076</v>
      </c>
      <c r="D572">
        <v>3482</v>
      </c>
      <c r="E572" t="s">
        <v>5200</v>
      </c>
      <c r="G572" t="s">
        <v>5201</v>
      </c>
      <c r="J572" t="s">
        <v>5201</v>
      </c>
      <c r="K572" t="s">
        <v>5834</v>
      </c>
      <c r="M572" t="s">
        <v>5202</v>
      </c>
      <c r="S572" t="s">
        <v>2541</v>
      </c>
      <c r="V572" t="s">
        <v>5631</v>
      </c>
      <c r="W572" t="s">
        <v>780</v>
      </c>
      <c r="X572" t="s">
        <v>781</v>
      </c>
      <c r="Z572" s="31"/>
      <c r="AC572">
        <v>1</v>
      </c>
      <c r="AD572" t="s">
        <v>22</v>
      </c>
      <c r="AE572" s="31">
        <v>46118</v>
      </c>
      <c r="AF572" s="61">
        <v>0.47599537037037037</v>
      </c>
      <c r="AH572" t="s">
        <v>795</v>
      </c>
      <c r="AI572" s="31">
        <v>46119</v>
      </c>
      <c r="AJ572" s="61">
        <v>0.3805324074074074</v>
      </c>
      <c r="AK572" t="s">
        <v>5392</v>
      </c>
      <c r="AO572" t="s">
        <v>31</v>
      </c>
      <c r="AR572" s="31"/>
      <c r="AS572">
        <v>30</v>
      </c>
      <c r="AX572">
        <v>1</v>
      </c>
    </row>
    <row r="573" spans="1:50" x14ac:dyDescent="0.3">
      <c r="A573" t="s">
        <v>44</v>
      </c>
      <c r="B573">
        <v>1077</v>
      </c>
      <c r="D573">
        <v>3483</v>
      </c>
      <c r="E573" t="s">
        <v>5835</v>
      </c>
      <c r="G573" t="s">
        <v>5204</v>
      </c>
      <c r="H573">
        <v>2861273000156</v>
      </c>
      <c r="J573" t="s">
        <v>5205</v>
      </c>
      <c r="K573" t="s">
        <v>5836</v>
      </c>
      <c r="M573" t="s">
        <v>5206</v>
      </c>
      <c r="S573" t="s">
        <v>2541</v>
      </c>
      <c r="V573" t="s">
        <v>5631</v>
      </c>
      <c r="W573" t="s">
        <v>780</v>
      </c>
      <c r="X573" t="s">
        <v>781</v>
      </c>
      <c r="Z573" s="31"/>
      <c r="AC573">
        <v>0</v>
      </c>
      <c r="AD573" t="s">
        <v>22</v>
      </c>
      <c r="AE573" s="31">
        <v>46118</v>
      </c>
      <c r="AF573" s="61">
        <v>0.47758101851851847</v>
      </c>
      <c r="AH573" t="s">
        <v>795</v>
      </c>
      <c r="AI573" s="31">
        <v>46118</v>
      </c>
      <c r="AJ573" s="61">
        <v>0.70814814814814819</v>
      </c>
      <c r="AK573" t="s">
        <v>5392</v>
      </c>
      <c r="AL573" t="s">
        <v>5835</v>
      </c>
      <c r="AO573" t="s">
        <v>44</v>
      </c>
      <c r="AR573" s="31"/>
      <c r="AS573">
        <v>28</v>
      </c>
      <c r="AX573">
        <v>1</v>
      </c>
    </row>
    <row r="574" spans="1:50" x14ac:dyDescent="0.3">
      <c r="A574" t="s">
        <v>44</v>
      </c>
      <c r="B574">
        <v>1078</v>
      </c>
      <c r="D574">
        <v>3497</v>
      </c>
      <c r="E574" t="s">
        <v>5827</v>
      </c>
      <c r="G574" t="s">
        <v>418</v>
      </c>
      <c r="J574" t="s">
        <v>5837</v>
      </c>
      <c r="K574" t="s">
        <v>2369</v>
      </c>
      <c r="M574" t="s">
        <v>5209</v>
      </c>
      <c r="W574" t="s">
        <v>780</v>
      </c>
      <c r="X574" t="s">
        <v>793</v>
      </c>
      <c r="Z574" s="31"/>
      <c r="AA574">
        <v>8100</v>
      </c>
      <c r="AB574">
        <v>1080</v>
      </c>
      <c r="AC574">
        <v>16</v>
      </c>
      <c r="AD574" t="s">
        <v>44</v>
      </c>
      <c r="AE574" s="31">
        <v>46120</v>
      </c>
      <c r="AF574" s="61">
        <v>0.70204861111111116</v>
      </c>
      <c r="AH574" t="s">
        <v>795</v>
      </c>
      <c r="AI574" s="31">
        <v>46136</v>
      </c>
      <c r="AJ574" s="61">
        <v>0.4127777777777778</v>
      </c>
      <c r="AK574" t="s">
        <v>934</v>
      </c>
      <c r="AL574" t="s">
        <v>5827</v>
      </c>
      <c r="AN574" t="s">
        <v>5210</v>
      </c>
      <c r="AP574" t="s">
        <v>4952</v>
      </c>
      <c r="AR574" s="31">
        <v>46136</v>
      </c>
      <c r="AS574">
        <v>50</v>
      </c>
      <c r="AX574">
        <v>1</v>
      </c>
    </row>
    <row r="575" spans="1:50" x14ac:dyDescent="0.3">
      <c r="A575" t="s">
        <v>44</v>
      </c>
      <c r="B575">
        <v>1079</v>
      </c>
      <c r="D575">
        <v>3501</v>
      </c>
      <c r="E575" t="s">
        <v>5838</v>
      </c>
      <c r="G575" t="s">
        <v>5212</v>
      </c>
      <c r="H575">
        <v>48260432000168</v>
      </c>
      <c r="J575" t="s">
        <v>5213</v>
      </c>
      <c r="S575" t="s">
        <v>805</v>
      </c>
      <c r="W575" t="s">
        <v>780</v>
      </c>
      <c r="X575" t="s">
        <v>897</v>
      </c>
      <c r="Z575" s="31"/>
      <c r="AC575">
        <v>41</v>
      </c>
      <c r="AD575" t="s">
        <v>44</v>
      </c>
      <c r="AE575" s="31">
        <v>46121</v>
      </c>
      <c r="AF575" s="61">
        <v>0.3903935185185185</v>
      </c>
      <c r="AH575" t="s">
        <v>782</v>
      </c>
      <c r="AI575" s="31"/>
      <c r="AJ575" s="61"/>
      <c r="AR575" s="31">
        <v>46148</v>
      </c>
      <c r="AS575">
        <v>30</v>
      </c>
      <c r="AX575">
        <v>1</v>
      </c>
    </row>
    <row r="576" spans="1:50" x14ac:dyDescent="0.3">
      <c r="A576" t="s">
        <v>44</v>
      </c>
      <c r="B576">
        <v>1080</v>
      </c>
      <c r="D576">
        <v>3502</v>
      </c>
      <c r="E576" t="s">
        <v>5214</v>
      </c>
      <c r="G576" t="s">
        <v>5215</v>
      </c>
      <c r="H576">
        <v>19398581000190</v>
      </c>
      <c r="J576" t="s">
        <v>5839</v>
      </c>
      <c r="K576" t="s">
        <v>5840</v>
      </c>
      <c r="M576" t="s">
        <v>5217</v>
      </c>
      <c r="Q576" t="s">
        <v>5218</v>
      </c>
      <c r="R576" t="s">
        <v>932</v>
      </c>
      <c r="W576" t="s">
        <v>780</v>
      </c>
      <c r="X576" t="s">
        <v>897</v>
      </c>
      <c r="Z576" s="31"/>
      <c r="AC576">
        <v>41</v>
      </c>
      <c r="AD576" t="s">
        <v>44</v>
      </c>
      <c r="AE576" s="31">
        <v>46121</v>
      </c>
      <c r="AF576" s="61">
        <v>0.42430555555555549</v>
      </c>
      <c r="AH576" t="s">
        <v>782</v>
      </c>
      <c r="AI576" s="31"/>
      <c r="AJ576" s="61"/>
      <c r="AR576" s="31">
        <v>46148</v>
      </c>
      <c r="AS576">
        <v>30</v>
      </c>
      <c r="AX576">
        <v>1</v>
      </c>
    </row>
    <row r="577" spans="1:50" x14ac:dyDescent="0.3">
      <c r="A577" t="s">
        <v>44</v>
      </c>
      <c r="B577">
        <v>1081</v>
      </c>
      <c r="D577">
        <v>3504</v>
      </c>
      <c r="E577" t="s">
        <v>5219</v>
      </c>
      <c r="F577" t="s">
        <v>5220</v>
      </c>
      <c r="G577" t="s">
        <v>5221</v>
      </c>
      <c r="H577">
        <v>73445454000654</v>
      </c>
      <c r="J577" t="s">
        <v>5220</v>
      </c>
      <c r="K577" t="s">
        <v>5222</v>
      </c>
      <c r="M577" t="s">
        <v>5223</v>
      </c>
      <c r="Q577" t="s">
        <v>1094</v>
      </c>
      <c r="R577" t="s">
        <v>790</v>
      </c>
      <c r="S577" t="s">
        <v>805</v>
      </c>
      <c r="W577" t="s">
        <v>780</v>
      </c>
      <c r="X577" t="s">
        <v>897</v>
      </c>
      <c r="Z577" s="31"/>
      <c r="AC577">
        <v>41</v>
      </c>
      <c r="AD577" t="s">
        <v>44</v>
      </c>
      <c r="AE577" s="31">
        <v>46121</v>
      </c>
      <c r="AF577" s="61">
        <v>0.44763888888888892</v>
      </c>
      <c r="AH577" t="s">
        <v>782</v>
      </c>
      <c r="AI577" s="31"/>
      <c r="AJ577" s="61"/>
      <c r="AR577" s="31">
        <v>46148</v>
      </c>
      <c r="AS577">
        <v>30</v>
      </c>
      <c r="AX577">
        <v>1</v>
      </c>
    </row>
    <row r="578" spans="1:50" x14ac:dyDescent="0.3">
      <c r="A578" t="s">
        <v>31</v>
      </c>
      <c r="B578">
        <v>1082</v>
      </c>
      <c r="D578">
        <v>3488</v>
      </c>
      <c r="E578" t="s">
        <v>5841</v>
      </c>
      <c r="G578" t="s">
        <v>5225</v>
      </c>
      <c r="J578" t="s">
        <v>5226</v>
      </c>
      <c r="K578" t="s">
        <v>5842</v>
      </c>
      <c r="M578" t="s">
        <v>5227</v>
      </c>
      <c r="S578" t="s">
        <v>2541</v>
      </c>
      <c r="V578" t="s">
        <v>5631</v>
      </c>
      <c r="W578" t="s">
        <v>780</v>
      </c>
      <c r="X578" t="s">
        <v>781</v>
      </c>
      <c r="Z578" s="31">
        <v>46142</v>
      </c>
      <c r="AC578">
        <v>29</v>
      </c>
      <c r="AD578" t="s">
        <v>22</v>
      </c>
      <c r="AE578" s="31">
        <v>46122</v>
      </c>
      <c r="AF578" s="61">
        <v>0.36518518518518522</v>
      </c>
      <c r="AH578" t="s">
        <v>795</v>
      </c>
      <c r="AI578" s="31">
        <v>46151</v>
      </c>
      <c r="AJ578" s="61">
        <v>0.36026620370370371</v>
      </c>
      <c r="AK578" t="s">
        <v>5657</v>
      </c>
      <c r="AO578" t="s">
        <v>31</v>
      </c>
      <c r="AR578" s="31">
        <v>46135</v>
      </c>
      <c r="AS578">
        <v>28</v>
      </c>
      <c r="AX578">
        <v>1</v>
      </c>
    </row>
    <row r="579" spans="1:50" x14ac:dyDescent="0.3">
      <c r="A579" t="s">
        <v>44</v>
      </c>
      <c r="B579">
        <v>1083</v>
      </c>
      <c r="D579">
        <v>3491</v>
      </c>
      <c r="E579" t="s">
        <v>5843</v>
      </c>
      <c r="G579" t="s">
        <v>5229</v>
      </c>
      <c r="H579">
        <v>91241034000123</v>
      </c>
      <c r="J579" t="s">
        <v>5230</v>
      </c>
      <c r="K579" t="s">
        <v>5231</v>
      </c>
      <c r="M579" t="s">
        <v>5232</v>
      </c>
      <c r="Q579" t="s">
        <v>1912</v>
      </c>
      <c r="R579" t="s">
        <v>1027</v>
      </c>
      <c r="S579" t="s">
        <v>2541</v>
      </c>
      <c r="V579" t="s">
        <v>5631</v>
      </c>
      <c r="W579" t="s">
        <v>780</v>
      </c>
      <c r="X579" t="s">
        <v>781</v>
      </c>
      <c r="Z579" s="31"/>
      <c r="AC579">
        <v>29</v>
      </c>
      <c r="AD579" t="s">
        <v>22</v>
      </c>
      <c r="AE579" s="31">
        <v>46122</v>
      </c>
      <c r="AF579" s="61">
        <v>0.36634259259259261</v>
      </c>
      <c r="AH579" t="s">
        <v>795</v>
      </c>
      <c r="AI579" s="31">
        <v>46151</v>
      </c>
      <c r="AJ579" s="61">
        <v>0.36170138888888892</v>
      </c>
      <c r="AK579" t="s">
        <v>5657</v>
      </c>
      <c r="AO579" t="s">
        <v>44</v>
      </c>
      <c r="AR579" s="31"/>
      <c r="AS579">
        <v>30</v>
      </c>
      <c r="AX579">
        <v>1</v>
      </c>
    </row>
    <row r="580" spans="1:50" x14ac:dyDescent="0.3">
      <c r="A580" t="s">
        <v>44</v>
      </c>
      <c r="B580">
        <v>1084</v>
      </c>
      <c r="D580">
        <v>3492</v>
      </c>
      <c r="E580" t="s">
        <v>5844</v>
      </c>
      <c r="G580" t="s">
        <v>5235</v>
      </c>
      <c r="J580" t="s">
        <v>5236</v>
      </c>
      <c r="K580" t="s">
        <v>5845</v>
      </c>
      <c r="M580" t="s">
        <v>5237</v>
      </c>
      <c r="S580" t="s">
        <v>2541</v>
      </c>
      <c r="V580" t="s">
        <v>5650</v>
      </c>
      <c r="W580" t="s">
        <v>780</v>
      </c>
      <c r="X580" t="s">
        <v>897</v>
      </c>
      <c r="Z580" s="31"/>
      <c r="AC580">
        <v>40</v>
      </c>
      <c r="AD580" t="s">
        <v>22</v>
      </c>
      <c r="AE580" s="31">
        <v>46122</v>
      </c>
      <c r="AF580" s="61">
        <v>0.36747685185185192</v>
      </c>
      <c r="AH580" t="s">
        <v>782</v>
      </c>
      <c r="AI580" s="31"/>
      <c r="AJ580" s="61"/>
      <c r="AO580" t="s">
        <v>44</v>
      </c>
      <c r="AR580" s="31"/>
      <c r="AS580">
        <v>29</v>
      </c>
      <c r="AX580">
        <v>1</v>
      </c>
    </row>
    <row r="581" spans="1:50" x14ac:dyDescent="0.3">
      <c r="A581" t="s">
        <v>31</v>
      </c>
      <c r="B581">
        <v>1085</v>
      </c>
      <c r="D581">
        <v>3494</v>
      </c>
      <c r="G581" t="s">
        <v>5238</v>
      </c>
      <c r="H581">
        <v>21233195000190</v>
      </c>
      <c r="J581" t="s">
        <v>5239</v>
      </c>
      <c r="K581" t="s">
        <v>5240</v>
      </c>
      <c r="M581" t="s">
        <v>5241</v>
      </c>
      <c r="Q581" t="s">
        <v>5242</v>
      </c>
      <c r="R581" t="s">
        <v>790</v>
      </c>
      <c r="S581" t="s">
        <v>2541</v>
      </c>
      <c r="V581" t="s">
        <v>5631</v>
      </c>
      <c r="W581" t="s">
        <v>780</v>
      </c>
      <c r="X581" t="s">
        <v>781</v>
      </c>
      <c r="Z581" s="31">
        <v>46142</v>
      </c>
      <c r="AC581">
        <v>13</v>
      </c>
      <c r="AD581" t="s">
        <v>22</v>
      </c>
      <c r="AE581" s="31">
        <v>46122</v>
      </c>
      <c r="AF581" s="61">
        <v>0.36834490740740738</v>
      </c>
      <c r="AH581" t="s">
        <v>795</v>
      </c>
      <c r="AI581" s="31">
        <v>46135</v>
      </c>
      <c r="AJ581" s="61">
        <v>0.46049768518518519</v>
      </c>
      <c r="AK581" t="s">
        <v>5392</v>
      </c>
      <c r="AO581" t="s">
        <v>31</v>
      </c>
      <c r="AR581" s="31">
        <v>46135</v>
      </c>
      <c r="AS581">
        <v>30</v>
      </c>
      <c r="AX581">
        <v>1</v>
      </c>
    </row>
    <row r="582" spans="1:50" x14ac:dyDescent="0.3">
      <c r="A582" t="s">
        <v>31</v>
      </c>
      <c r="B582">
        <v>1086</v>
      </c>
      <c r="D582">
        <v>3496</v>
      </c>
      <c r="E582" t="s">
        <v>5846</v>
      </c>
      <c r="G582" t="s">
        <v>417</v>
      </c>
      <c r="H582">
        <v>3634113000137</v>
      </c>
      <c r="J582" t="s">
        <v>5245</v>
      </c>
      <c r="M582" t="s">
        <v>5246</v>
      </c>
      <c r="Q582" t="s">
        <v>3141</v>
      </c>
      <c r="S582" t="s">
        <v>1191</v>
      </c>
      <c r="V582" t="s">
        <v>5247</v>
      </c>
      <c r="W582" t="s">
        <v>780</v>
      </c>
      <c r="X582" t="s">
        <v>807</v>
      </c>
      <c r="Z582" s="31">
        <v>46122</v>
      </c>
      <c r="AA582">
        <v>6000</v>
      </c>
      <c r="AB582">
        <v>2000</v>
      </c>
      <c r="AC582">
        <v>40</v>
      </c>
      <c r="AD582" t="s">
        <v>22</v>
      </c>
      <c r="AE582" s="31">
        <v>46122</v>
      </c>
      <c r="AF582" s="61">
        <v>0.36944444444444452</v>
      </c>
      <c r="AH582" t="s">
        <v>782</v>
      </c>
      <c r="AI582" s="31"/>
      <c r="AJ582" s="61"/>
      <c r="AN582" t="s">
        <v>5847</v>
      </c>
      <c r="AO582" t="s">
        <v>31</v>
      </c>
      <c r="AP582" t="s">
        <v>5848</v>
      </c>
      <c r="AR582" s="31">
        <v>46155</v>
      </c>
      <c r="AS582">
        <v>30</v>
      </c>
      <c r="AX582">
        <v>1</v>
      </c>
    </row>
    <row r="583" spans="1:50" x14ac:dyDescent="0.3">
      <c r="A583" t="s">
        <v>22</v>
      </c>
      <c r="B583">
        <v>1087</v>
      </c>
      <c r="D583">
        <v>3495</v>
      </c>
      <c r="G583" t="s">
        <v>5248</v>
      </c>
      <c r="J583" t="s">
        <v>5249</v>
      </c>
      <c r="K583" t="s">
        <v>5849</v>
      </c>
      <c r="M583" t="s">
        <v>5250</v>
      </c>
      <c r="S583" t="s">
        <v>2541</v>
      </c>
      <c r="V583" t="s">
        <v>5631</v>
      </c>
      <c r="W583" t="s">
        <v>780</v>
      </c>
      <c r="X583" t="s">
        <v>781</v>
      </c>
      <c r="Z583" s="31">
        <v>46142</v>
      </c>
      <c r="AC583">
        <v>0</v>
      </c>
      <c r="AD583" t="s">
        <v>22</v>
      </c>
      <c r="AE583" s="31">
        <v>46122</v>
      </c>
      <c r="AF583" s="61">
        <v>0.37062499999999998</v>
      </c>
      <c r="AH583" t="s">
        <v>795</v>
      </c>
      <c r="AI583" s="31">
        <v>46122</v>
      </c>
      <c r="AJ583" s="61">
        <v>0.5893518518518519</v>
      </c>
      <c r="AK583" t="s">
        <v>5347</v>
      </c>
      <c r="AO583" t="s">
        <v>22</v>
      </c>
      <c r="AR583" s="31"/>
      <c r="AS583">
        <v>30</v>
      </c>
      <c r="AX583">
        <v>1</v>
      </c>
    </row>
    <row r="584" spans="1:50" x14ac:dyDescent="0.3">
      <c r="A584" t="s">
        <v>22</v>
      </c>
      <c r="B584">
        <v>1088</v>
      </c>
      <c r="D584">
        <v>3498</v>
      </c>
      <c r="G584" t="s">
        <v>5251</v>
      </c>
      <c r="J584" t="s">
        <v>5252</v>
      </c>
      <c r="K584" t="s">
        <v>5850</v>
      </c>
      <c r="M584" t="s">
        <v>5253</v>
      </c>
      <c r="S584" t="s">
        <v>2541</v>
      </c>
      <c r="V584" t="s">
        <v>5631</v>
      </c>
      <c r="W584" t="s">
        <v>780</v>
      </c>
      <c r="X584" t="s">
        <v>781</v>
      </c>
      <c r="Z584" s="31"/>
      <c r="AC584">
        <v>29</v>
      </c>
      <c r="AD584" t="s">
        <v>22</v>
      </c>
      <c r="AE584" s="31">
        <v>46122</v>
      </c>
      <c r="AF584" s="61">
        <v>0.37111111111111111</v>
      </c>
      <c r="AH584" t="s">
        <v>795</v>
      </c>
      <c r="AI584" s="31">
        <v>46151</v>
      </c>
      <c r="AJ584" s="61">
        <v>0.36211805555555548</v>
      </c>
      <c r="AK584" t="s">
        <v>5377</v>
      </c>
      <c r="AO584" t="s">
        <v>22</v>
      </c>
      <c r="AR584" s="31"/>
      <c r="AS584">
        <v>30</v>
      </c>
      <c r="AX584">
        <v>1</v>
      </c>
    </row>
    <row r="585" spans="1:50" x14ac:dyDescent="0.3">
      <c r="A585" t="s">
        <v>44</v>
      </c>
      <c r="B585">
        <v>1089</v>
      </c>
      <c r="D585">
        <v>3509</v>
      </c>
      <c r="G585" t="s">
        <v>5254</v>
      </c>
      <c r="H585">
        <v>3654966000130</v>
      </c>
      <c r="J585" t="s">
        <v>5255</v>
      </c>
      <c r="K585" t="s">
        <v>5851</v>
      </c>
      <c r="M585" t="s">
        <v>5256</v>
      </c>
      <c r="R585" t="s">
        <v>5257</v>
      </c>
      <c r="S585" t="s">
        <v>1191</v>
      </c>
      <c r="V585" t="s">
        <v>5631</v>
      </c>
      <c r="W585" t="s">
        <v>780</v>
      </c>
      <c r="X585" t="s">
        <v>781</v>
      </c>
      <c r="Z585" s="31"/>
      <c r="AC585">
        <v>0</v>
      </c>
      <c r="AD585" t="s">
        <v>22</v>
      </c>
      <c r="AE585" s="31">
        <v>46122</v>
      </c>
      <c r="AF585" s="61">
        <v>0.37174768518518519</v>
      </c>
      <c r="AH585" t="s">
        <v>795</v>
      </c>
      <c r="AI585" s="31">
        <v>46122</v>
      </c>
      <c r="AJ585" s="61">
        <v>0.43357638888888889</v>
      </c>
      <c r="AK585" t="s">
        <v>5392</v>
      </c>
      <c r="AL585" t="s">
        <v>5852</v>
      </c>
      <c r="AO585" t="s">
        <v>44</v>
      </c>
      <c r="AR585" s="31"/>
      <c r="AS585">
        <v>30</v>
      </c>
      <c r="AX585">
        <v>1</v>
      </c>
    </row>
    <row r="586" spans="1:50" x14ac:dyDescent="0.3">
      <c r="A586" t="s">
        <v>31</v>
      </c>
      <c r="B586">
        <v>1090</v>
      </c>
      <c r="D586">
        <v>3508</v>
      </c>
      <c r="E586" t="s">
        <v>5259</v>
      </c>
      <c r="G586" t="s">
        <v>5260</v>
      </c>
      <c r="J586" t="s">
        <v>5261</v>
      </c>
      <c r="K586" t="s">
        <v>5853</v>
      </c>
      <c r="M586" t="s">
        <v>5262</v>
      </c>
      <c r="S586" t="s">
        <v>2541</v>
      </c>
      <c r="V586" t="s">
        <v>5631</v>
      </c>
      <c r="W586" t="s">
        <v>780</v>
      </c>
      <c r="X586" t="s">
        <v>781</v>
      </c>
      <c r="Z586" s="31">
        <v>46142</v>
      </c>
      <c r="AC586">
        <v>0</v>
      </c>
      <c r="AD586" t="s">
        <v>22</v>
      </c>
      <c r="AE586" s="31">
        <v>46122</v>
      </c>
      <c r="AF586" s="61">
        <v>0.37243055555555549</v>
      </c>
      <c r="AH586" t="s">
        <v>795</v>
      </c>
      <c r="AI586" s="31">
        <v>46122</v>
      </c>
      <c r="AJ586" s="61">
        <v>0.44673611111111111</v>
      </c>
      <c r="AK586" t="s">
        <v>5392</v>
      </c>
      <c r="AL586" t="s">
        <v>5263</v>
      </c>
      <c r="AO586" t="s">
        <v>31</v>
      </c>
      <c r="AR586" s="31"/>
      <c r="AS586">
        <v>30</v>
      </c>
      <c r="AX586">
        <v>1</v>
      </c>
    </row>
    <row r="587" spans="1:50" x14ac:dyDescent="0.3">
      <c r="A587" t="s">
        <v>44</v>
      </c>
      <c r="B587">
        <v>1091</v>
      </c>
      <c r="D587">
        <v>3507</v>
      </c>
      <c r="E587" t="s">
        <v>5854</v>
      </c>
      <c r="G587" t="s">
        <v>5265</v>
      </c>
      <c r="J587" t="s">
        <v>5266</v>
      </c>
      <c r="K587" t="s">
        <v>5855</v>
      </c>
      <c r="M587" t="s">
        <v>5267</v>
      </c>
      <c r="S587" t="s">
        <v>2541</v>
      </c>
      <c r="V587" t="s">
        <v>5631</v>
      </c>
      <c r="W587" t="s">
        <v>780</v>
      </c>
      <c r="X587" t="s">
        <v>897</v>
      </c>
      <c r="Z587" s="31">
        <v>46142</v>
      </c>
      <c r="AC587">
        <v>0</v>
      </c>
      <c r="AD587" t="s">
        <v>22</v>
      </c>
      <c r="AE587" s="31">
        <v>46122</v>
      </c>
      <c r="AF587" s="61">
        <v>0.37309027777777781</v>
      </c>
      <c r="AH587" t="s">
        <v>795</v>
      </c>
      <c r="AI587" s="31">
        <v>46122</v>
      </c>
      <c r="AJ587" s="61">
        <v>0.43474537037037042</v>
      </c>
      <c r="AK587" t="s">
        <v>5392</v>
      </c>
      <c r="AL587" t="s">
        <v>5856</v>
      </c>
      <c r="AO587" t="s">
        <v>44</v>
      </c>
      <c r="AR587" s="31"/>
      <c r="AS587">
        <v>30</v>
      </c>
      <c r="AX587">
        <v>1</v>
      </c>
    </row>
    <row r="588" spans="1:50" x14ac:dyDescent="0.3">
      <c r="A588" t="s">
        <v>31</v>
      </c>
      <c r="B588">
        <v>1092</v>
      </c>
      <c r="D588">
        <v>3506</v>
      </c>
      <c r="E588" t="s">
        <v>5857</v>
      </c>
      <c r="G588" t="s">
        <v>5858</v>
      </c>
      <c r="H588">
        <v>34731194000117</v>
      </c>
      <c r="J588" t="s">
        <v>5270</v>
      </c>
      <c r="K588" t="s">
        <v>5859</v>
      </c>
      <c r="M588" t="s">
        <v>5860</v>
      </c>
      <c r="Q588" t="s">
        <v>5861</v>
      </c>
      <c r="R588" t="s">
        <v>790</v>
      </c>
      <c r="S588" t="s">
        <v>1191</v>
      </c>
      <c r="V588" t="s">
        <v>5650</v>
      </c>
      <c r="W588" t="s">
        <v>780</v>
      </c>
      <c r="X588" t="s">
        <v>857</v>
      </c>
      <c r="Z588" s="31">
        <v>46203</v>
      </c>
      <c r="AC588">
        <v>39</v>
      </c>
      <c r="AD588" t="s">
        <v>22</v>
      </c>
      <c r="AE588" s="31">
        <v>46122</v>
      </c>
      <c r="AF588" s="61">
        <v>0.37375000000000003</v>
      </c>
      <c r="AH588" t="s">
        <v>795</v>
      </c>
      <c r="AI588" s="31">
        <v>46161</v>
      </c>
      <c r="AJ588" s="61">
        <v>0.47699074074074072</v>
      </c>
      <c r="AK588" t="s">
        <v>5338</v>
      </c>
      <c r="AO588" t="s">
        <v>31</v>
      </c>
      <c r="AR588" s="31">
        <v>46161</v>
      </c>
      <c r="AS588">
        <v>30</v>
      </c>
      <c r="AX588">
        <v>1</v>
      </c>
    </row>
    <row r="589" spans="1:50" x14ac:dyDescent="0.3">
      <c r="A589" t="s">
        <v>31</v>
      </c>
      <c r="B589">
        <v>1093</v>
      </c>
      <c r="D589">
        <v>3487</v>
      </c>
      <c r="G589" t="s">
        <v>5273</v>
      </c>
      <c r="H589">
        <v>9313543000133</v>
      </c>
      <c r="J589" t="s">
        <v>5862</v>
      </c>
      <c r="K589" t="s">
        <v>5275</v>
      </c>
      <c r="M589" t="s">
        <v>5276</v>
      </c>
      <c r="Q589" t="s">
        <v>5277</v>
      </c>
      <c r="S589" t="s">
        <v>814</v>
      </c>
      <c r="V589" t="s">
        <v>1198</v>
      </c>
      <c r="W589" t="s">
        <v>780</v>
      </c>
      <c r="X589" t="s">
        <v>781</v>
      </c>
      <c r="Z589" s="31">
        <v>46265</v>
      </c>
      <c r="AC589">
        <v>12</v>
      </c>
      <c r="AD589" t="s">
        <v>22</v>
      </c>
      <c r="AE589" s="31">
        <v>46122</v>
      </c>
      <c r="AF589" s="61">
        <v>0.37526620370370373</v>
      </c>
      <c r="AH589" t="s">
        <v>795</v>
      </c>
      <c r="AI589" s="31">
        <v>46134</v>
      </c>
      <c r="AJ589" s="61">
        <v>0.71144675925925926</v>
      </c>
      <c r="AK589" t="s">
        <v>858</v>
      </c>
      <c r="AO589" t="s">
        <v>31</v>
      </c>
      <c r="AR589" s="31">
        <v>46134</v>
      </c>
      <c r="AS589">
        <v>30</v>
      </c>
      <c r="AX589">
        <v>1</v>
      </c>
    </row>
    <row r="590" spans="1:50" x14ac:dyDescent="0.3">
      <c r="A590" t="s">
        <v>22</v>
      </c>
      <c r="B590">
        <v>1094</v>
      </c>
      <c r="D590">
        <v>3499</v>
      </c>
      <c r="G590" t="s">
        <v>5278</v>
      </c>
      <c r="J590" t="s">
        <v>5279</v>
      </c>
      <c r="K590" t="s">
        <v>5863</v>
      </c>
      <c r="M590" t="s">
        <v>5280</v>
      </c>
      <c r="S590" t="s">
        <v>2541</v>
      </c>
      <c r="V590" t="s">
        <v>5650</v>
      </c>
      <c r="W590" t="s">
        <v>780</v>
      </c>
      <c r="X590" t="s">
        <v>781</v>
      </c>
      <c r="Z590" s="31">
        <v>46142</v>
      </c>
      <c r="AC590">
        <v>29</v>
      </c>
      <c r="AD590" t="s">
        <v>22</v>
      </c>
      <c r="AE590" s="31">
        <v>46122</v>
      </c>
      <c r="AF590" s="61">
        <v>0.37623842592592588</v>
      </c>
      <c r="AH590" t="s">
        <v>795</v>
      </c>
      <c r="AI590" s="31">
        <v>46151</v>
      </c>
      <c r="AJ590" s="61">
        <v>0.3626388888888889</v>
      </c>
      <c r="AK590" t="s">
        <v>5657</v>
      </c>
      <c r="AO590" t="s">
        <v>22</v>
      </c>
      <c r="AR590" s="31"/>
      <c r="AS590">
        <v>30</v>
      </c>
      <c r="AX590">
        <v>1</v>
      </c>
    </row>
    <row r="591" spans="1:50" x14ac:dyDescent="0.3">
      <c r="A591" t="s">
        <v>44</v>
      </c>
      <c r="B591">
        <v>1095</v>
      </c>
      <c r="D591">
        <v>3489</v>
      </c>
      <c r="E591" t="s">
        <v>5864</v>
      </c>
      <c r="G591" t="s">
        <v>389</v>
      </c>
      <c r="H591">
        <v>18564850000188</v>
      </c>
      <c r="J591" t="s">
        <v>5282</v>
      </c>
      <c r="K591" t="s">
        <v>5283</v>
      </c>
      <c r="M591" t="s">
        <v>5284</v>
      </c>
      <c r="Q591" t="s">
        <v>993</v>
      </c>
      <c r="R591" t="s">
        <v>932</v>
      </c>
      <c r="S591" t="s">
        <v>814</v>
      </c>
      <c r="V591" t="s">
        <v>1186</v>
      </c>
      <c r="W591" t="s">
        <v>780</v>
      </c>
      <c r="X591" t="s">
        <v>807</v>
      </c>
      <c r="Z591" s="31">
        <v>46142</v>
      </c>
      <c r="AA591">
        <v>16960</v>
      </c>
      <c r="AB591">
        <v>1150</v>
      </c>
      <c r="AC591">
        <v>40</v>
      </c>
      <c r="AD591" t="s">
        <v>22</v>
      </c>
      <c r="AE591" s="31">
        <v>46122</v>
      </c>
      <c r="AF591" s="61">
        <v>0.37702546296296302</v>
      </c>
      <c r="AH591" t="s">
        <v>782</v>
      </c>
      <c r="AI591" s="31"/>
      <c r="AJ591" s="61"/>
      <c r="AN591" t="s">
        <v>5865</v>
      </c>
      <c r="AO591" t="s">
        <v>44</v>
      </c>
      <c r="AP591" t="s">
        <v>5866</v>
      </c>
      <c r="AQ591" t="s">
        <v>5867</v>
      </c>
      <c r="AR591" s="31"/>
      <c r="AS591">
        <v>30</v>
      </c>
      <c r="AX591">
        <v>1</v>
      </c>
    </row>
    <row r="592" spans="1:50" x14ac:dyDescent="0.3">
      <c r="A592" t="s">
        <v>22</v>
      </c>
      <c r="B592">
        <v>1096</v>
      </c>
      <c r="D592">
        <v>3513</v>
      </c>
      <c r="G592" t="s">
        <v>5286</v>
      </c>
      <c r="J592" t="s">
        <v>5287</v>
      </c>
      <c r="K592" t="s">
        <v>5868</v>
      </c>
      <c r="M592" t="s">
        <v>1111</v>
      </c>
      <c r="W592" t="s">
        <v>780</v>
      </c>
      <c r="X592" t="s">
        <v>807</v>
      </c>
      <c r="Z592" s="31"/>
      <c r="AA592">
        <v>26350</v>
      </c>
      <c r="AB592">
        <v>3450</v>
      </c>
      <c r="AC592">
        <v>38</v>
      </c>
      <c r="AD592" t="s">
        <v>22</v>
      </c>
      <c r="AE592" s="31">
        <v>46122</v>
      </c>
      <c r="AF592" s="61">
        <v>0.38574074074074072</v>
      </c>
      <c r="AH592" t="s">
        <v>795</v>
      </c>
      <c r="AI592" s="31">
        <v>46160</v>
      </c>
      <c r="AJ592" s="61">
        <v>0.70920138888888884</v>
      </c>
      <c r="AK592" t="s">
        <v>5347</v>
      </c>
      <c r="AO592" t="s">
        <v>22</v>
      </c>
      <c r="AR592" s="31">
        <v>46132</v>
      </c>
      <c r="AS592">
        <v>30</v>
      </c>
      <c r="AX592">
        <v>1</v>
      </c>
    </row>
    <row r="593" spans="1:50" x14ac:dyDescent="0.3">
      <c r="A593" t="s">
        <v>31</v>
      </c>
      <c r="B593">
        <v>1097</v>
      </c>
      <c r="D593">
        <v>3514</v>
      </c>
      <c r="F593" t="s">
        <v>5288</v>
      </c>
      <c r="G593" t="s">
        <v>5289</v>
      </c>
      <c r="H593">
        <v>7382350000109</v>
      </c>
      <c r="J593" t="s">
        <v>5288</v>
      </c>
      <c r="K593" t="s">
        <v>2012</v>
      </c>
      <c r="M593" t="s">
        <v>2013</v>
      </c>
      <c r="Q593" t="s">
        <v>1094</v>
      </c>
      <c r="R593" t="s">
        <v>790</v>
      </c>
      <c r="S593" t="s">
        <v>805</v>
      </c>
      <c r="W593" t="s">
        <v>780</v>
      </c>
      <c r="X593" t="s">
        <v>897</v>
      </c>
      <c r="Z593" s="31"/>
      <c r="AC593">
        <v>40</v>
      </c>
      <c r="AD593" t="s">
        <v>31</v>
      </c>
      <c r="AE593" s="31">
        <v>46122</v>
      </c>
      <c r="AF593" s="61">
        <v>0.62817129629629631</v>
      </c>
      <c r="AH593" t="s">
        <v>782</v>
      </c>
      <c r="AI593" s="31"/>
      <c r="AJ593" s="61"/>
      <c r="AO593" t="s">
        <v>31</v>
      </c>
      <c r="AR593" s="31">
        <v>46149</v>
      </c>
      <c r="AS593">
        <v>30</v>
      </c>
      <c r="AX593">
        <v>1</v>
      </c>
    </row>
    <row r="594" spans="1:50" x14ac:dyDescent="0.3">
      <c r="A594" t="s">
        <v>31</v>
      </c>
      <c r="B594">
        <v>1098</v>
      </c>
      <c r="D594">
        <v>3516</v>
      </c>
      <c r="F594" t="s">
        <v>5290</v>
      </c>
      <c r="G594" t="s">
        <v>5291</v>
      </c>
      <c r="H594">
        <v>34355470000190</v>
      </c>
      <c r="J594" t="s">
        <v>5290</v>
      </c>
      <c r="K594" t="s">
        <v>5292</v>
      </c>
      <c r="M594" t="s">
        <v>5293</v>
      </c>
      <c r="Q594" t="s">
        <v>1094</v>
      </c>
      <c r="R594" t="s">
        <v>790</v>
      </c>
      <c r="S594" t="s">
        <v>805</v>
      </c>
      <c r="W594" t="s">
        <v>780</v>
      </c>
      <c r="X594" t="s">
        <v>781</v>
      </c>
      <c r="Z594" s="31"/>
      <c r="AC594">
        <v>0</v>
      </c>
      <c r="AD594" t="s">
        <v>31</v>
      </c>
      <c r="AE594" s="31">
        <v>46122</v>
      </c>
      <c r="AF594" s="61">
        <v>0.65776620370370376</v>
      </c>
      <c r="AH594" t="s">
        <v>795</v>
      </c>
      <c r="AI594" s="31">
        <v>46122</v>
      </c>
      <c r="AJ594" s="61">
        <v>0.65869212962962964</v>
      </c>
      <c r="AK594" t="s">
        <v>5392</v>
      </c>
      <c r="AO594" t="s">
        <v>31</v>
      </c>
      <c r="AR594" s="31"/>
      <c r="AS594">
        <v>30</v>
      </c>
      <c r="AX594">
        <v>1</v>
      </c>
    </row>
    <row r="595" spans="1:50" x14ac:dyDescent="0.3">
      <c r="A595" t="s">
        <v>31</v>
      </c>
      <c r="B595">
        <v>1099</v>
      </c>
      <c r="D595">
        <v>3518</v>
      </c>
      <c r="F595" t="s">
        <v>5294</v>
      </c>
      <c r="G595" t="s">
        <v>5295</v>
      </c>
      <c r="H595">
        <v>527682000195</v>
      </c>
      <c r="J595" t="s">
        <v>5294</v>
      </c>
      <c r="K595" t="s">
        <v>5869</v>
      </c>
      <c r="M595" t="s">
        <v>5297</v>
      </c>
      <c r="Q595" t="s">
        <v>5298</v>
      </c>
      <c r="R595" t="s">
        <v>790</v>
      </c>
      <c r="S595" t="s">
        <v>805</v>
      </c>
      <c r="W595" t="s">
        <v>780</v>
      </c>
      <c r="X595" t="s">
        <v>897</v>
      </c>
      <c r="Z595" s="31"/>
      <c r="AC595">
        <v>27</v>
      </c>
      <c r="AD595" t="s">
        <v>31</v>
      </c>
      <c r="AE595" s="31">
        <v>46122</v>
      </c>
      <c r="AF595" s="61">
        <v>0.71690972222222227</v>
      </c>
      <c r="AH595" t="s">
        <v>795</v>
      </c>
      <c r="AI595" s="31">
        <v>46149</v>
      </c>
      <c r="AJ595" s="61">
        <v>0.42342592592592587</v>
      </c>
      <c r="AK595" t="s">
        <v>5338</v>
      </c>
      <c r="AO595" t="s">
        <v>31</v>
      </c>
      <c r="AR595" s="31"/>
      <c r="AS595">
        <v>28</v>
      </c>
      <c r="AX595">
        <v>1</v>
      </c>
    </row>
    <row r="596" spans="1:50" x14ac:dyDescent="0.3">
      <c r="A596" t="s">
        <v>31</v>
      </c>
      <c r="B596">
        <v>1100</v>
      </c>
      <c r="D596">
        <v>3522</v>
      </c>
      <c r="F596" t="s">
        <v>5299</v>
      </c>
      <c r="G596" t="s">
        <v>5300</v>
      </c>
      <c r="H596">
        <v>28516601000170</v>
      </c>
      <c r="J596" t="s">
        <v>5299</v>
      </c>
      <c r="K596" t="s">
        <v>5301</v>
      </c>
      <c r="M596" t="s">
        <v>5302</v>
      </c>
      <c r="Q596" t="s">
        <v>5303</v>
      </c>
      <c r="R596" t="s">
        <v>790</v>
      </c>
      <c r="S596" t="s">
        <v>805</v>
      </c>
      <c r="W596" t="s">
        <v>780</v>
      </c>
      <c r="X596" t="s">
        <v>897</v>
      </c>
      <c r="Z596" s="31"/>
      <c r="AC596">
        <v>40</v>
      </c>
      <c r="AD596" t="s">
        <v>31</v>
      </c>
      <c r="AE596" s="31">
        <v>46122</v>
      </c>
      <c r="AF596" s="61">
        <v>0.72449074074074071</v>
      </c>
      <c r="AH596" t="s">
        <v>782</v>
      </c>
      <c r="AI596" s="31"/>
      <c r="AJ596" s="61"/>
      <c r="AO596" t="s">
        <v>31</v>
      </c>
      <c r="AR596" s="31"/>
      <c r="AS596">
        <v>30</v>
      </c>
      <c r="AX596">
        <v>1</v>
      </c>
    </row>
    <row r="597" spans="1:50" x14ac:dyDescent="0.3">
      <c r="A597" t="s">
        <v>31</v>
      </c>
      <c r="B597">
        <v>1101</v>
      </c>
      <c r="D597">
        <v>3530</v>
      </c>
      <c r="E597" t="s">
        <v>5870</v>
      </c>
      <c r="F597" t="s">
        <v>5304</v>
      </c>
      <c r="G597" t="s">
        <v>5871</v>
      </c>
      <c r="H597">
        <v>12259254000108</v>
      </c>
      <c r="J597" t="s">
        <v>3600</v>
      </c>
      <c r="K597" t="s">
        <v>5872</v>
      </c>
      <c r="M597" t="s">
        <v>5305</v>
      </c>
      <c r="Q597" t="s">
        <v>1094</v>
      </c>
      <c r="R597" t="s">
        <v>790</v>
      </c>
      <c r="S597" t="s">
        <v>805</v>
      </c>
      <c r="W597" t="s">
        <v>780</v>
      </c>
      <c r="X597" t="s">
        <v>793</v>
      </c>
      <c r="Z597" s="31">
        <v>46234</v>
      </c>
      <c r="AC597">
        <v>37</v>
      </c>
      <c r="AD597" t="s">
        <v>31</v>
      </c>
      <c r="AE597" s="31">
        <v>46125</v>
      </c>
      <c r="AF597" s="61">
        <v>0.52216435185185184</v>
      </c>
      <c r="AH597" t="s">
        <v>782</v>
      </c>
      <c r="AI597" s="31"/>
      <c r="AJ597" s="61"/>
      <c r="AN597" t="s">
        <v>5873</v>
      </c>
      <c r="AO597" t="s">
        <v>31</v>
      </c>
      <c r="AP597" t="s">
        <v>5865</v>
      </c>
      <c r="AQ597" t="s">
        <v>5680</v>
      </c>
      <c r="AR597" s="31">
        <v>46155</v>
      </c>
      <c r="AS597">
        <v>30</v>
      </c>
      <c r="AX597">
        <v>1</v>
      </c>
    </row>
    <row r="598" spans="1:50" x14ac:dyDescent="0.3">
      <c r="A598" t="s">
        <v>44</v>
      </c>
      <c r="B598">
        <v>1102</v>
      </c>
      <c r="D598">
        <v>3533</v>
      </c>
      <c r="E598" t="s">
        <v>5874</v>
      </c>
      <c r="F598" t="s">
        <v>5306</v>
      </c>
      <c r="G598" t="s">
        <v>5307</v>
      </c>
      <c r="H598">
        <v>50306471000524</v>
      </c>
      <c r="J598" t="s">
        <v>5306</v>
      </c>
      <c r="K598" t="s">
        <v>5875</v>
      </c>
      <c r="M598" t="s">
        <v>5309</v>
      </c>
      <c r="Q598" t="s">
        <v>1596</v>
      </c>
      <c r="R598" t="s">
        <v>790</v>
      </c>
      <c r="S598" t="s">
        <v>805</v>
      </c>
      <c r="W598" t="s">
        <v>780</v>
      </c>
      <c r="X598" t="s">
        <v>897</v>
      </c>
      <c r="Z598" s="31"/>
      <c r="AC598">
        <v>37</v>
      </c>
      <c r="AD598" t="s">
        <v>44</v>
      </c>
      <c r="AE598" s="31">
        <v>46125</v>
      </c>
      <c r="AF598" s="61">
        <v>0.63520833333333337</v>
      </c>
      <c r="AH598" t="s">
        <v>782</v>
      </c>
      <c r="AI598" s="31"/>
      <c r="AJ598" s="61"/>
      <c r="AR598" s="31">
        <v>46135</v>
      </c>
      <c r="AS598">
        <v>30</v>
      </c>
      <c r="AV598" t="s">
        <v>4741</v>
      </c>
      <c r="AX598">
        <v>1</v>
      </c>
    </row>
    <row r="599" spans="1:50" x14ac:dyDescent="0.3">
      <c r="A599" t="s">
        <v>31</v>
      </c>
      <c r="B599">
        <v>1103</v>
      </c>
      <c r="D599">
        <v>3534</v>
      </c>
      <c r="E599" t="s">
        <v>5876</v>
      </c>
      <c r="G599" t="s">
        <v>409</v>
      </c>
      <c r="H599">
        <v>8822792000191</v>
      </c>
      <c r="J599" t="s">
        <v>5311</v>
      </c>
      <c r="K599" t="s">
        <v>5312</v>
      </c>
      <c r="M599" t="s">
        <v>5313</v>
      </c>
      <c r="Q599" t="s">
        <v>1094</v>
      </c>
      <c r="R599" t="s">
        <v>790</v>
      </c>
      <c r="S599" t="s">
        <v>814</v>
      </c>
      <c r="V599" t="s">
        <v>5655</v>
      </c>
      <c r="W599" t="s">
        <v>780</v>
      </c>
      <c r="X599" t="s">
        <v>807</v>
      </c>
      <c r="Z599" s="31">
        <v>46295</v>
      </c>
      <c r="AA599">
        <v>85600</v>
      </c>
      <c r="AB599">
        <v>66847</v>
      </c>
      <c r="AC599">
        <v>29</v>
      </c>
      <c r="AD599" t="s">
        <v>22</v>
      </c>
      <c r="AE599" s="31">
        <v>46126</v>
      </c>
      <c r="AF599" s="61">
        <v>0.41895833333333332</v>
      </c>
      <c r="AH599" t="s">
        <v>795</v>
      </c>
      <c r="AI599" s="31">
        <v>46155</v>
      </c>
      <c r="AJ599" s="61">
        <v>0.46946759259259258</v>
      </c>
      <c r="AK599" t="s">
        <v>5877</v>
      </c>
      <c r="AN599" t="s">
        <v>5873</v>
      </c>
      <c r="AO599" t="s">
        <v>31</v>
      </c>
      <c r="AP599" t="s">
        <v>5878</v>
      </c>
      <c r="AR599" s="31">
        <v>46155</v>
      </c>
      <c r="AS599">
        <v>30</v>
      </c>
      <c r="AU599" t="s">
        <v>5879</v>
      </c>
      <c r="AX599">
        <v>1</v>
      </c>
    </row>
    <row r="600" spans="1:50" x14ac:dyDescent="0.3">
      <c r="A600" t="s">
        <v>31</v>
      </c>
      <c r="B600">
        <v>1104</v>
      </c>
      <c r="D600">
        <v>3527</v>
      </c>
      <c r="E600" t="s">
        <v>5314</v>
      </c>
      <c r="G600" t="s">
        <v>5315</v>
      </c>
      <c r="J600" t="s">
        <v>5316</v>
      </c>
      <c r="K600" t="s">
        <v>5880</v>
      </c>
      <c r="M600" t="s">
        <v>5317</v>
      </c>
      <c r="R600" t="s">
        <v>5318</v>
      </c>
      <c r="S600" t="s">
        <v>1191</v>
      </c>
      <c r="V600" t="s">
        <v>5631</v>
      </c>
      <c r="W600" t="s">
        <v>780</v>
      </c>
      <c r="X600" t="s">
        <v>781</v>
      </c>
      <c r="Z600" s="31">
        <v>46142</v>
      </c>
      <c r="AC600">
        <v>0</v>
      </c>
      <c r="AD600" t="s">
        <v>22</v>
      </c>
      <c r="AE600" s="31">
        <v>46126</v>
      </c>
      <c r="AF600" s="61">
        <v>0.4208101851851852</v>
      </c>
      <c r="AH600" t="s">
        <v>795</v>
      </c>
      <c r="AI600" s="31">
        <v>46126</v>
      </c>
      <c r="AJ600" s="61">
        <v>0.43841435185185179</v>
      </c>
      <c r="AK600" t="s">
        <v>5392</v>
      </c>
      <c r="AO600" t="s">
        <v>31</v>
      </c>
      <c r="AR600" s="31"/>
      <c r="AS600">
        <v>30</v>
      </c>
      <c r="AX600">
        <v>1</v>
      </c>
    </row>
    <row r="601" spans="1:50" x14ac:dyDescent="0.3">
      <c r="A601" t="s">
        <v>44</v>
      </c>
      <c r="B601">
        <v>1105</v>
      </c>
      <c r="D601">
        <v>3524</v>
      </c>
      <c r="E601" t="s">
        <v>5881</v>
      </c>
      <c r="G601" t="s">
        <v>5320</v>
      </c>
      <c r="J601" t="s">
        <v>5321</v>
      </c>
      <c r="K601" t="s">
        <v>5882</v>
      </c>
      <c r="M601" t="s">
        <v>5322</v>
      </c>
      <c r="S601" t="s">
        <v>2541</v>
      </c>
      <c r="V601" t="s">
        <v>5631</v>
      </c>
      <c r="W601" t="s">
        <v>780</v>
      </c>
      <c r="X601" t="s">
        <v>897</v>
      </c>
      <c r="Z601" s="31">
        <v>46126</v>
      </c>
      <c r="AC601">
        <v>0</v>
      </c>
      <c r="AD601" t="s">
        <v>22</v>
      </c>
      <c r="AE601" s="31">
        <v>46126</v>
      </c>
      <c r="AF601" s="61">
        <v>0.42281249999999998</v>
      </c>
      <c r="AH601" t="s">
        <v>795</v>
      </c>
      <c r="AI601" s="31">
        <v>46126</v>
      </c>
      <c r="AJ601" s="61">
        <v>0.49921296296296302</v>
      </c>
      <c r="AK601" t="s">
        <v>5392</v>
      </c>
      <c r="AL601" t="s">
        <v>5883</v>
      </c>
      <c r="AO601" t="s">
        <v>44</v>
      </c>
      <c r="AR601" s="31"/>
      <c r="AS601">
        <v>30</v>
      </c>
      <c r="AX601">
        <v>1</v>
      </c>
    </row>
    <row r="602" spans="1:50" x14ac:dyDescent="0.3">
      <c r="A602" t="s">
        <v>44</v>
      </c>
      <c r="B602">
        <v>1106</v>
      </c>
      <c r="D602">
        <v>3525</v>
      </c>
      <c r="G602" t="s">
        <v>5324</v>
      </c>
      <c r="J602" t="s">
        <v>4841</v>
      </c>
      <c r="K602" t="s">
        <v>5884</v>
      </c>
      <c r="M602" t="s">
        <v>5325</v>
      </c>
      <c r="R602" t="s">
        <v>5326</v>
      </c>
      <c r="S602" t="s">
        <v>1191</v>
      </c>
      <c r="V602" t="s">
        <v>5650</v>
      </c>
      <c r="W602" t="s">
        <v>780</v>
      </c>
      <c r="X602" t="s">
        <v>897</v>
      </c>
      <c r="Z602" s="31">
        <v>46126</v>
      </c>
      <c r="AC602">
        <v>36</v>
      </c>
      <c r="AD602" t="s">
        <v>22</v>
      </c>
      <c r="AE602" s="31">
        <v>46126</v>
      </c>
      <c r="AF602" s="61">
        <v>0.42342592592592587</v>
      </c>
      <c r="AH602" t="s">
        <v>782</v>
      </c>
      <c r="AI602" s="31"/>
      <c r="AJ602" s="61"/>
      <c r="AO602" t="s">
        <v>44</v>
      </c>
      <c r="AR602" s="31"/>
      <c r="AS602">
        <v>30</v>
      </c>
      <c r="AX602">
        <v>1</v>
      </c>
    </row>
    <row r="603" spans="1:50" x14ac:dyDescent="0.3">
      <c r="A603" t="s">
        <v>44</v>
      </c>
      <c r="B603">
        <v>1107</v>
      </c>
      <c r="D603">
        <v>3526</v>
      </c>
      <c r="G603" t="s">
        <v>5327</v>
      </c>
      <c r="H603">
        <v>52975803000165</v>
      </c>
      <c r="J603" t="s">
        <v>5328</v>
      </c>
      <c r="K603" t="s">
        <v>5885</v>
      </c>
      <c r="M603" t="s">
        <v>5329</v>
      </c>
      <c r="Q603" t="s">
        <v>5330</v>
      </c>
      <c r="R603" t="s">
        <v>5331</v>
      </c>
      <c r="S603" t="s">
        <v>2541</v>
      </c>
      <c r="V603" t="s">
        <v>5631</v>
      </c>
      <c r="W603" t="s">
        <v>780</v>
      </c>
      <c r="X603" t="s">
        <v>781</v>
      </c>
      <c r="Z603" s="31">
        <v>46126</v>
      </c>
      <c r="AC603">
        <v>25</v>
      </c>
      <c r="AD603" t="s">
        <v>22</v>
      </c>
      <c r="AE603" s="31">
        <v>46126</v>
      </c>
      <c r="AF603" s="61">
        <v>0.42473379629629632</v>
      </c>
      <c r="AH603" t="s">
        <v>795</v>
      </c>
      <c r="AI603" s="31">
        <v>46151</v>
      </c>
      <c r="AJ603" s="61">
        <v>0.3631712962962963</v>
      </c>
      <c r="AK603" t="s">
        <v>5377</v>
      </c>
      <c r="AO603" t="s">
        <v>44</v>
      </c>
      <c r="AR603" s="31"/>
      <c r="AS603">
        <v>30</v>
      </c>
      <c r="AX603">
        <v>1</v>
      </c>
    </row>
    <row r="604" spans="1:50" x14ac:dyDescent="0.3">
      <c r="A604" t="s">
        <v>44</v>
      </c>
      <c r="B604">
        <v>1113</v>
      </c>
      <c r="D604">
        <v>3542</v>
      </c>
      <c r="F604" t="s">
        <v>5332</v>
      </c>
      <c r="G604" t="s">
        <v>399</v>
      </c>
      <c r="H604">
        <v>38116840000197</v>
      </c>
      <c r="J604" t="s">
        <v>5332</v>
      </c>
      <c r="K604" t="s">
        <v>5333</v>
      </c>
      <c r="M604" t="s">
        <v>5334</v>
      </c>
      <c r="Q604" t="s">
        <v>2945</v>
      </c>
      <c r="R604" t="s">
        <v>1105</v>
      </c>
      <c r="S604" t="s">
        <v>805</v>
      </c>
      <c r="W604" t="s">
        <v>780</v>
      </c>
      <c r="X604" t="s">
        <v>857</v>
      </c>
      <c r="Z604" s="31"/>
      <c r="AA604">
        <v>13509779</v>
      </c>
      <c r="AB604">
        <v>899628</v>
      </c>
      <c r="AC604">
        <v>16</v>
      </c>
      <c r="AD604" t="s">
        <v>44</v>
      </c>
      <c r="AE604" s="31">
        <v>46126</v>
      </c>
      <c r="AF604" s="61">
        <v>0.69707175925925924</v>
      </c>
      <c r="AH604" t="s">
        <v>795</v>
      </c>
      <c r="AI604" s="31">
        <v>46142</v>
      </c>
      <c r="AJ604" s="61">
        <v>0.65484953703703708</v>
      </c>
      <c r="AK604" t="s">
        <v>934</v>
      </c>
      <c r="AL604" t="s">
        <v>5886</v>
      </c>
      <c r="AN604" t="s">
        <v>4658</v>
      </c>
      <c r="AP604" t="s">
        <v>4698</v>
      </c>
      <c r="AR604" s="31"/>
      <c r="AS604">
        <v>50</v>
      </c>
      <c r="AX604">
        <v>1</v>
      </c>
    </row>
    <row r="605" spans="1:50" x14ac:dyDescent="0.3">
      <c r="A605" t="s">
        <v>44</v>
      </c>
      <c r="B605">
        <v>1114</v>
      </c>
      <c r="D605">
        <v>3544</v>
      </c>
      <c r="G605" t="s">
        <v>410</v>
      </c>
      <c r="H605">
        <v>38116840000197</v>
      </c>
      <c r="J605" t="s">
        <v>5335</v>
      </c>
      <c r="K605" t="s">
        <v>5887</v>
      </c>
      <c r="M605" t="s">
        <v>5334</v>
      </c>
      <c r="Q605" t="s">
        <v>2945</v>
      </c>
      <c r="R605" t="s">
        <v>1105</v>
      </c>
      <c r="W605" t="s">
        <v>780</v>
      </c>
      <c r="X605" t="s">
        <v>807</v>
      </c>
      <c r="Z605" s="31"/>
      <c r="AC605">
        <v>16</v>
      </c>
      <c r="AD605" t="s">
        <v>44</v>
      </c>
      <c r="AE605" s="31">
        <v>46126</v>
      </c>
      <c r="AF605" s="61">
        <v>0.69881944444444444</v>
      </c>
      <c r="AH605" t="s">
        <v>795</v>
      </c>
      <c r="AI605" s="31">
        <v>46142</v>
      </c>
      <c r="AJ605" s="61">
        <v>0.65424768518518517</v>
      </c>
      <c r="AK605" t="s">
        <v>934</v>
      </c>
      <c r="AL605" t="s">
        <v>5886</v>
      </c>
      <c r="AN605" t="s">
        <v>4658</v>
      </c>
      <c r="AP605" t="s">
        <v>4658</v>
      </c>
      <c r="AR605" s="31"/>
      <c r="AS605">
        <v>50</v>
      </c>
      <c r="AX605">
        <v>1</v>
      </c>
    </row>
    <row r="606" spans="1:50" x14ac:dyDescent="0.3">
      <c r="A606" t="s">
        <v>31</v>
      </c>
      <c r="B606">
        <v>1116</v>
      </c>
      <c r="D606">
        <v>3545</v>
      </c>
      <c r="E606" t="s">
        <v>5888</v>
      </c>
      <c r="G606" t="s">
        <v>5889</v>
      </c>
      <c r="J606" t="s">
        <v>5890</v>
      </c>
      <c r="K606" t="s">
        <v>5891</v>
      </c>
      <c r="M606" t="s">
        <v>5892</v>
      </c>
      <c r="R606" t="s">
        <v>5893</v>
      </c>
      <c r="S606" t="s">
        <v>1191</v>
      </c>
      <c r="V606" t="s">
        <v>5650</v>
      </c>
      <c r="W606" t="s">
        <v>780</v>
      </c>
      <c r="X606" t="s">
        <v>781</v>
      </c>
      <c r="Z606" s="31">
        <v>46127</v>
      </c>
      <c r="AC606">
        <v>24</v>
      </c>
      <c r="AD606" t="s">
        <v>22</v>
      </c>
      <c r="AE606" s="31">
        <v>46127</v>
      </c>
      <c r="AF606" s="61">
        <v>0.51923611111111112</v>
      </c>
      <c r="AH606" t="s">
        <v>795</v>
      </c>
      <c r="AI606" s="31">
        <v>46151</v>
      </c>
      <c r="AJ606" s="61">
        <v>0.35395833333333332</v>
      </c>
      <c r="AK606" t="s">
        <v>5377</v>
      </c>
      <c r="AO606" t="s">
        <v>31</v>
      </c>
      <c r="AR606" s="31">
        <v>46140</v>
      </c>
      <c r="AS606">
        <v>30</v>
      </c>
      <c r="AX606">
        <v>1</v>
      </c>
    </row>
    <row r="607" spans="1:50" x14ac:dyDescent="0.3">
      <c r="A607" t="s">
        <v>44</v>
      </c>
      <c r="B607">
        <v>1117</v>
      </c>
      <c r="D607">
        <v>3546</v>
      </c>
      <c r="E607" t="s">
        <v>5894</v>
      </c>
      <c r="G607" t="s">
        <v>5895</v>
      </c>
      <c r="J607" t="s">
        <v>5896</v>
      </c>
      <c r="K607" t="s">
        <v>5897</v>
      </c>
      <c r="M607" t="s">
        <v>5898</v>
      </c>
      <c r="R607" t="s">
        <v>5899</v>
      </c>
      <c r="S607" t="s">
        <v>1191</v>
      </c>
      <c r="V607" t="s">
        <v>5650</v>
      </c>
      <c r="W607" t="s">
        <v>780</v>
      </c>
      <c r="X607" t="s">
        <v>897</v>
      </c>
      <c r="Z607" s="31">
        <v>46142</v>
      </c>
      <c r="AC607">
        <v>33</v>
      </c>
      <c r="AD607" t="s">
        <v>22</v>
      </c>
      <c r="AE607" s="31">
        <v>46127</v>
      </c>
      <c r="AF607" s="61">
        <v>0.51980324074074069</v>
      </c>
      <c r="AH607" t="s">
        <v>795</v>
      </c>
      <c r="AI607" s="31">
        <v>46160</v>
      </c>
      <c r="AJ607" s="61">
        <v>0.6277314814814815</v>
      </c>
      <c r="AK607" t="s">
        <v>5657</v>
      </c>
      <c r="AL607" t="s">
        <v>5900</v>
      </c>
      <c r="AO607" t="s">
        <v>44</v>
      </c>
      <c r="AR607" s="31">
        <v>46160</v>
      </c>
      <c r="AS607">
        <v>30</v>
      </c>
      <c r="AX607">
        <v>1</v>
      </c>
    </row>
    <row r="608" spans="1:50" x14ac:dyDescent="0.3">
      <c r="A608" t="s">
        <v>44</v>
      </c>
      <c r="B608">
        <v>1120</v>
      </c>
      <c r="D608">
        <v>3556</v>
      </c>
      <c r="E608" t="s">
        <v>5901</v>
      </c>
      <c r="F608" t="s">
        <v>5902</v>
      </c>
      <c r="G608" t="s">
        <v>5903</v>
      </c>
      <c r="H608">
        <v>76639285000339</v>
      </c>
      <c r="J608" t="s">
        <v>5902</v>
      </c>
      <c r="K608" t="s">
        <v>5904</v>
      </c>
      <c r="M608" t="s">
        <v>5905</v>
      </c>
      <c r="Q608" t="s">
        <v>1698</v>
      </c>
      <c r="R608" t="s">
        <v>1699</v>
      </c>
      <c r="S608" t="s">
        <v>805</v>
      </c>
      <c r="W608" t="s">
        <v>780</v>
      </c>
      <c r="X608" t="s">
        <v>897</v>
      </c>
      <c r="Z608" s="31"/>
      <c r="AC608">
        <v>33</v>
      </c>
      <c r="AD608" t="s">
        <v>44</v>
      </c>
      <c r="AE608" s="31">
        <v>46129</v>
      </c>
      <c r="AF608" s="61">
        <v>0.61236111111111113</v>
      </c>
      <c r="AH608" t="s">
        <v>782</v>
      </c>
      <c r="AI608" s="31"/>
      <c r="AJ608" s="61"/>
      <c r="AR608" s="31"/>
      <c r="AS608">
        <v>30</v>
      </c>
      <c r="AX608">
        <v>1</v>
      </c>
    </row>
    <row r="609" spans="1:50" x14ac:dyDescent="0.3">
      <c r="A609" t="s">
        <v>44</v>
      </c>
      <c r="B609">
        <v>1121</v>
      </c>
      <c r="D609">
        <v>3558</v>
      </c>
      <c r="E609" t="s">
        <v>5906</v>
      </c>
      <c r="F609" t="s">
        <v>5907</v>
      </c>
      <c r="G609" t="s">
        <v>5908</v>
      </c>
      <c r="H609">
        <v>74200403001605</v>
      </c>
      <c r="J609" t="s">
        <v>5907</v>
      </c>
      <c r="K609" t="s">
        <v>5909</v>
      </c>
      <c r="M609" t="s">
        <v>5910</v>
      </c>
      <c r="Q609" t="s">
        <v>5911</v>
      </c>
      <c r="R609" t="s">
        <v>5912</v>
      </c>
      <c r="S609" t="s">
        <v>805</v>
      </c>
      <c r="W609" t="s">
        <v>780</v>
      </c>
      <c r="X609" t="s">
        <v>897</v>
      </c>
      <c r="Z609" s="31"/>
      <c r="AC609">
        <v>33</v>
      </c>
      <c r="AD609" t="s">
        <v>44</v>
      </c>
      <c r="AE609" s="31">
        <v>46129</v>
      </c>
      <c r="AF609" s="61">
        <v>0.61905092592592592</v>
      </c>
      <c r="AH609" t="s">
        <v>782</v>
      </c>
      <c r="AI609" s="31"/>
      <c r="AJ609" s="61"/>
      <c r="AR609" s="31">
        <v>46135</v>
      </c>
      <c r="AS609">
        <v>30</v>
      </c>
      <c r="AX609">
        <v>1</v>
      </c>
    </row>
    <row r="610" spans="1:50" x14ac:dyDescent="0.3">
      <c r="A610" t="s">
        <v>44</v>
      </c>
      <c r="B610">
        <v>1122</v>
      </c>
      <c r="D610">
        <v>3560</v>
      </c>
      <c r="F610" t="s">
        <v>5913</v>
      </c>
      <c r="G610" t="s">
        <v>5914</v>
      </c>
      <c r="H610">
        <v>23797376005567</v>
      </c>
      <c r="J610" t="s">
        <v>5913</v>
      </c>
      <c r="K610" t="s">
        <v>5915</v>
      </c>
      <c r="M610" t="s">
        <v>5916</v>
      </c>
      <c r="Q610" t="s">
        <v>5917</v>
      </c>
      <c r="R610" t="s">
        <v>848</v>
      </c>
      <c r="S610" t="s">
        <v>805</v>
      </c>
      <c r="W610" t="s">
        <v>780</v>
      </c>
      <c r="X610" t="s">
        <v>897</v>
      </c>
      <c r="Z610" s="31"/>
      <c r="AC610">
        <v>33</v>
      </c>
      <c r="AD610" t="s">
        <v>44</v>
      </c>
      <c r="AE610" s="31">
        <v>46129</v>
      </c>
      <c r="AF610" s="61">
        <v>0.65067129629629628</v>
      </c>
      <c r="AH610" t="s">
        <v>782</v>
      </c>
      <c r="AI610" s="31"/>
      <c r="AJ610" s="61"/>
      <c r="AR610" s="31">
        <v>46148</v>
      </c>
      <c r="AS610">
        <v>30</v>
      </c>
      <c r="AX610">
        <v>1</v>
      </c>
    </row>
    <row r="611" spans="1:50" x14ac:dyDescent="0.3">
      <c r="A611" t="s">
        <v>44</v>
      </c>
      <c r="B611">
        <v>1123</v>
      </c>
      <c r="D611">
        <v>3562</v>
      </c>
      <c r="F611" t="s">
        <v>5918</v>
      </c>
      <c r="G611" t="s">
        <v>5919</v>
      </c>
      <c r="H611">
        <v>5953543000147</v>
      </c>
      <c r="J611" t="s">
        <v>5918</v>
      </c>
      <c r="K611" t="s">
        <v>5920</v>
      </c>
      <c r="M611" t="s">
        <v>5921</v>
      </c>
      <c r="Q611" t="s">
        <v>847</v>
      </c>
      <c r="R611" t="s">
        <v>848</v>
      </c>
      <c r="S611" t="s">
        <v>805</v>
      </c>
      <c r="W611" t="s">
        <v>780</v>
      </c>
      <c r="X611" t="s">
        <v>897</v>
      </c>
      <c r="Z611" s="31"/>
      <c r="AC611">
        <v>33</v>
      </c>
      <c r="AD611" t="s">
        <v>44</v>
      </c>
      <c r="AE611" s="31">
        <v>46129</v>
      </c>
      <c r="AF611" s="61">
        <v>0.70030092592592597</v>
      </c>
      <c r="AH611" t="s">
        <v>782</v>
      </c>
      <c r="AI611" s="31"/>
      <c r="AJ611" s="61"/>
      <c r="AR611" s="31">
        <v>46148</v>
      </c>
      <c r="AS611">
        <v>30</v>
      </c>
      <c r="AX611">
        <v>1</v>
      </c>
    </row>
    <row r="612" spans="1:50" x14ac:dyDescent="0.3">
      <c r="A612" t="s">
        <v>31</v>
      </c>
      <c r="B612">
        <v>1126</v>
      </c>
      <c r="D612">
        <v>3553</v>
      </c>
      <c r="E612" t="s">
        <v>5922</v>
      </c>
      <c r="G612" t="s">
        <v>5923</v>
      </c>
      <c r="J612" t="s">
        <v>5924</v>
      </c>
      <c r="K612" t="s">
        <v>5925</v>
      </c>
      <c r="M612" t="s">
        <v>5926</v>
      </c>
      <c r="R612" t="s">
        <v>5899</v>
      </c>
      <c r="S612" t="s">
        <v>1191</v>
      </c>
      <c r="V612" t="s">
        <v>5631</v>
      </c>
      <c r="W612" t="s">
        <v>780</v>
      </c>
      <c r="X612" t="s">
        <v>781</v>
      </c>
      <c r="Z612" s="31"/>
      <c r="AC612">
        <v>19</v>
      </c>
      <c r="AD612" t="s">
        <v>22</v>
      </c>
      <c r="AE612" s="31">
        <v>46132</v>
      </c>
      <c r="AF612" s="61">
        <v>0.59508101851851847</v>
      </c>
      <c r="AH612" t="s">
        <v>795</v>
      </c>
      <c r="AI612" s="31">
        <v>46151</v>
      </c>
      <c r="AJ612" s="61">
        <v>0.35306712962962961</v>
      </c>
      <c r="AK612" t="s">
        <v>5657</v>
      </c>
      <c r="AO612" t="s">
        <v>31</v>
      </c>
      <c r="AR612" s="31">
        <v>46142</v>
      </c>
      <c r="AS612">
        <v>30</v>
      </c>
      <c r="AX612">
        <v>1</v>
      </c>
    </row>
    <row r="613" spans="1:50" x14ac:dyDescent="0.3">
      <c r="A613" t="s">
        <v>44</v>
      </c>
      <c r="B613">
        <v>1127</v>
      </c>
      <c r="D613">
        <v>3555</v>
      </c>
      <c r="E613" t="s">
        <v>5927</v>
      </c>
      <c r="G613" t="s">
        <v>5928</v>
      </c>
      <c r="J613" t="s">
        <v>5929</v>
      </c>
      <c r="K613" t="s">
        <v>5930</v>
      </c>
      <c r="M613" t="s">
        <v>5931</v>
      </c>
      <c r="R613" t="s">
        <v>5932</v>
      </c>
      <c r="S613" t="s">
        <v>1191</v>
      </c>
      <c r="V613" t="s">
        <v>5650</v>
      </c>
      <c r="W613" t="s">
        <v>780</v>
      </c>
      <c r="X613" t="s">
        <v>897</v>
      </c>
      <c r="Z613" s="31"/>
      <c r="AC613">
        <v>30</v>
      </c>
      <c r="AD613" t="s">
        <v>22</v>
      </c>
      <c r="AE613" s="31">
        <v>46132</v>
      </c>
      <c r="AF613" s="61">
        <v>0.60204861111111108</v>
      </c>
      <c r="AH613" t="s">
        <v>782</v>
      </c>
      <c r="AI613" s="31"/>
      <c r="AJ613" s="61"/>
      <c r="AO613" t="s">
        <v>44</v>
      </c>
      <c r="AR613" s="31">
        <v>46142</v>
      </c>
      <c r="AS613">
        <v>30</v>
      </c>
      <c r="AX613">
        <v>1</v>
      </c>
    </row>
    <row r="614" spans="1:50" x14ac:dyDescent="0.3">
      <c r="A614" t="s">
        <v>31</v>
      </c>
      <c r="B614">
        <v>1128</v>
      </c>
      <c r="D614">
        <v>3565</v>
      </c>
      <c r="E614" t="s">
        <v>5933</v>
      </c>
      <c r="G614" t="s">
        <v>5934</v>
      </c>
      <c r="J614" t="s">
        <v>5935</v>
      </c>
      <c r="K614" t="s">
        <v>5936</v>
      </c>
      <c r="M614" t="s">
        <v>5937</v>
      </c>
      <c r="S614" t="s">
        <v>2541</v>
      </c>
      <c r="V614" t="s">
        <v>5631</v>
      </c>
      <c r="W614" t="s">
        <v>780</v>
      </c>
      <c r="X614" t="s">
        <v>897</v>
      </c>
      <c r="Z614" s="31">
        <v>46142</v>
      </c>
      <c r="AC614">
        <v>19</v>
      </c>
      <c r="AD614" t="s">
        <v>22</v>
      </c>
      <c r="AE614" s="31">
        <v>46132</v>
      </c>
      <c r="AF614" s="61">
        <v>0.64068287037037042</v>
      </c>
      <c r="AH614" t="s">
        <v>795</v>
      </c>
      <c r="AI614" s="31">
        <v>46151</v>
      </c>
      <c r="AJ614" s="61">
        <v>0.35840277777777779</v>
      </c>
      <c r="AK614" t="s">
        <v>5657</v>
      </c>
      <c r="AO614" t="s">
        <v>31</v>
      </c>
      <c r="AR614" s="31">
        <v>46136</v>
      </c>
      <c r="AS614">
        <v>30</v>
      </c>
      <c r="AX614">
        <v>1</v>
      </c>
    </row>
    <row r="615" spans="1:50" x14ac:dyDescent="0.3">
      <c r="A615" t="s">
        <v>44</v>
      </c>
      <c r="B615">
        <v>1129</v>
      </c>
      <c r="D615">
        <v>3566</v>
      </c>
      <c r="G615" t="s">
        <v>5938</v>
      </c>
      <c r="J615" t="s">
        <v>5939</v>
      </c>
      <c r="K615" t="s">
        <v>5940</v>
      </c>
      <c r="M615" t="s">
        <v>5941</v>
      </c>
      <c r="R615" t="s">
        <v>5942</v>
      </c>
      <c r="S615" t="s">
        <v>1191</v>
      </c>
      <c r="V615" t="s">
        <v>5631</v>
      </c>
      <c r="W615" t="s">
        <v>780</v>
      </c>
      <c r="X615" t="s">
        <v>781</v>
      </c>
      <c r="Z615" s="31"/>
      <c r="AC615">
        <v>0</v>
      </c>
      <c r="AD615" t="s">
        <v>22</v>
      </c>
      <c r="AE615" s="31">
        <v>46132</v>
      </c>
      <c r="AF615" s="61">
        <v>0.6413078703703704</v>
      </c>
      <c r="AH615" t="s">
        <v>795</v>
      </c>
      <c r="AI615" s="31">
        <v>46132</v>
      </c>
      <c r="AJ615" s="61">
        <v>0.6971180555555555</v>
      </c>
      <c r="AK615" t="s">
        <v>5392</v>
      </c>
      <c r="AL615" t="s">
        <v>5943</v>
      </c>
      <c r="AO615" t="s">
        <v>44</v>
      </c>
      <c r="AR615" s="31"/>
      <c r="AS615">
        <v>30</v>
      </c>
      <c r="AX615">
        <v>1</v>
      </c>
    </row>
    <row r="616" spans="1:50" x14ac:dyDescent="0.3">
      <c r="A616" t="s">
        <v>31</v>
      </c>
      <c r="B616">
        <v>1130</v>
      </c>
      <c r="D616">
        <v>3567</v>
      </c>
      <c r="E616" t="s">
        <v>5944</v>
      </c>
      <c r="G616" t="s">
        <v>5945</v>
      </c>
      <c r="J616" t="s">
        <v>5946</v>
      </c>
      <c r="K616" t="s">
        <v>5947</v>
      </c>
      <c r="M616" t="s">
        <v>5948</v>
      </c>
      <c r="S616" t="s">
        <v>2541</v>
      </c>
      <c r="V616" t="s">
        <v>5650</v>
      </c>
      <c r="W616" t="s">
        <v>780</v>
      </c>
      <c r="X616" t="s">
        <v>897</v>
      </c>
      <c r="Z616" s="31"/>
      <c r="AC616">
        <v>30</v>
      </c>
      <c r="AD616" t="s">
        <v>22</v>
      </c>
      <c r="AE616" s="31">
        <v>46132</v>
      </c>
      <c r="AF616" s="61">
        <v>0.64255787037037038</v>
      </c>
      <c r="AH616" t="s">
        <v>782</v>
      </c>
      <c r="AI616" s="31"/>
      <c r="AJ616" s="61"/>
      <c r="AO616" t="s">
        <v>31</v>
      </c>
      <c r="AR616" s="31">
        <v>46149</v>
      </c>
      <c r="AS616">
        <v>30</v>
      </c>
      <c r="AX616">
        <v>1</v>
      </c>
    </row>
    <row r="617" spans="1:50" x14ac:dyDescent="0.3">
      <c r="A617" t="s">
        <v>44</v>
      </c>
      <c r="B617">
        <v>1131</v>
      </c>
      <c r="D617">
        <v>3568</v>
      </c>
      <c r="E617" t="s">
        <v>5949</v>
      </c>
      <c r="G617" t="s">
        <v>5950</v>
      </c>
      <c r="H617">
        <v>36955063000149</v>
      </c>
      <c r="J617" t="s">
        <v>5951</v>
      </c>
      <c r="K617" t="s">
        <v>5952</v>
      </c>
      <c r="M617" t="s">
        <v>5953</v>
      </c>
      <c r="Q617" t="s">
        <v>5954</v>
      </c>
      <c r="R617" t="s">
        <v>2841</v>
      </c>
      <c r="S617" t="s">
        <v>2541</v>
      </c>
      <c r="V617" t="s">
        <v>5650</v>
      </c>
      <c r="W617" t="s">
        <v>780</v>
      </c>
      <c r="X617" t="s">
        <v>897</v>
      </c>
      <c r="Z617" s="31"/>
      <c r="AC617">
        <v>19</v>
      </c>
      <c r="AD617" t="s">
        <v>22</v>
      </c>
      <c r="AE617" s="31">
        <v>46132</v>
      </c>
      <c r="AF617" s="61">
        <v>0.64320601851851855</v>
      </c>
      <c r="AH617" t="s">
        <v>795</v>
      </c>
      <c r="AI617" s="31">
        <v>46151</v>
      </c>
      <c r="AJ617" s="61">
        <v>0.35891203703703711</v>
      </c>
      <c r="AK617" t="s">
        <v>5657</v>
      </c>
      <c r="AO617" t="s">
        <v>44</v>
      </c>
      <c r="AR617" s="31">
        <v>46140</v>
      </c>
      <c r="AS617">
        <v>30</v>
      </c>
      <c r="AX617">
        <v>1</v>
      </c>
    </row>
    <row r="618" spans="1:50" x14ac:dyDescent="0.3">
      <c r="A618" t="s">
        <v>31</v>
      </c>
      <c r="B618">
        <v>1132</v>
      </c>
      <c r="D618">
        <v>3569</v>
      </c>
      <c r="E618" t="s">
        <v>5955</v>
      </c>
      <c r="G618" t="s">
        <v>5956</v>
      </c>
      <c r="J618" t="s">
        <v>5957</v>
      </c>
      <c r="K618" t="s">
        <v>5958</v>
      </c>
      <c r="M618" t="s">
        <v>5959</v>
      </c>
      <c r="R618" t="s">
        <v>5899</v>
      </c>
      <c r="S618" t="s">
        <v>1191</v>
      </c>
      <c r="V618" t="s">
        <v>5631</v>
      </c>
      <c r="W618" t="s">
        <v>780</v>
      </c>
      <c r="X618" t="s">
        <v>781</v>
      </c>
      <c r="Z618" s="31"/>
      <c r="AC618">
        <v>19</v>
      </c>
      <c r="AD618" t="s">
        <v>22</v>
      </c>
      <c r="AE618" s="31">
        <v>46132</v>
      </c>
      <c r="AF618" s="61">
        <v>0.64424768518518516</v>
      </c>
      <c r="AH618" t="s">
        <v>795</v>
      </c>
      <c r="AI618" s="31">
        <v>46151</v>
      </c>
      <c r="AJ618" s="61">
        <v>0.36378472222222219</v>
      </c>
      <c r="AK618" t="s">
        <v>5657</v>
      </c>
      <c r="AO618" t="s">
        <v>31</v>
      </c>
      <c r="AR618" s="31">
        <v>46141</v>
      </c>
      <c r="AS618">
        <v>30</v>
      </c>
      <c r="AX618">
        <v>1</v>
      </c>
    </row>
    <row r="619" spans="1:50" x14ac:dyDescent="0.3">
      <c r="A619" t="s">
        <v>44</v>
      </c>
      <c r="B619">
        <v>1133</v>
      </c>
      <c r="D619">
        <v>3571</v>
      </c>
      <c r="E619" t="s">
        <v>5960</v>
      </c>
      <c r="G619" t="s">
        <v>5961</v>
      </c>
      <c r="J619" t="s">
        <v>5962</v>
      </c>
      <c r="K619" t="s">
        <v>5963</v>
      </c>
      <c r="M619" t="s">
        <v>5964</v>
      </c>
      <c r="R619" t="s">
        <v>5965</v>
      </c>
      <c r="S619" t="s">
        <v>1191</v>
      </c>
      <c r="V619" t="s">
        <v>5631</v>
      </c>
      <c r="W619" t="s">
        <v>780</v>
      </c>
      <c r="X619" t="s">
        <v>781</v>
      </c>
      <c r="Z619" s="31"/>
      <c r="AC619">
        <v>19</v>
      </c>
      <c r="AD619" t="s">
        <v>22</v>
      </c>
      <c r="AE619" s="31">
        <v>46132</v>
      </c>
      <c r="AF619" s="61">
        <v>0.64526620370370369</v>
      </c>
      <c r="AH619" t="s">
        <v>795</v>
      </c>
      <c r="AI619" s="31">
        <v>46151</v>
      </c>
      <c r="AJ619" s="61">
        <v>0.36486111111111108</v>
      </c>
      <c r="AK619" t="s">
        <v>5377</v>
      </c>
      <c r="AO619" t="s">
        <v>44</v>
      </c>
      <c r="AR619" s="31"/>
      <c r="AS619">
        <v>30</v>
      </c>
      <c r="AX619">
        <v>1</v>
      </c>
    </row>
    <row r="620" spans="1:50" x14ac:dyDescent="0.3">
      <c r="A620" t="s">
        <v>22</v>
      </c>
      <c r="B620">
        <v>1134</v>
      </c>
      <c r="D620">
        <v>3575</v>
      </c>
      <c r="G620" t="s">
        <v>251</v>
      </c>
      <c r="H620">
        <v>67846790000100</v>
      </c>
      <c r="J620" t="s">
        <v>5966</v>
      </c>
      <c r="K620" t="s">
        <v>5967</v>
      </c>
      <c r="M620" t="s">
        <v>5968</v>
      </c>
      <c r="Q620" t="s">
        <v>2589</v>
      </c>
      <c r="R620" t="s">
        <v>790</v>
      </c>
      <c r="W620" t="s">
        <v>780</v>
      </c>
      <c r="X620" t="s">
        <v>807</v>
      </c>
      <c r="Z620" s="31">
        <v>46173</v>
      </c>
      <c r="AA620">
        <v>1364029</v>
      </c>
      <c r="AB620">
        <v>563118</v>
      </c>
      <c r="AC620">
        <v>30</v>
      </c>
      <c r="AD620" t="s">
        <v>22</v>
      </c>
      <c r="AE620" s="31">
        <v>46132</v>
      </c>
      <c r="AF620" s="61">
        <v>0.66668981481481482</v>
      </c>
      <c r="AH620" t="s">
        <v>782</v>
      </c>
      <c r="AI620" s="31"/>
      <c r="AJ620" s="61"/>
      <c r="AN620" t="s">
        <v>5691</v>
      </c>
      <c r="AO620" t="s">
        <v>22</v>
      </c>
      <c r="AP620" t="s">
        <v>5969</v>
      </c>
      <c r="AR620" s="31">
        <v>46160</v>
      </c>
      <c r="AS620">
        <v>30</v>
      </c>
      <c r="AX620">
        <v>1</v>
      </c>
    </row>
    <row r="621" spans="1:50" x14ac:dyDescent="0.3">
      <c r="A621" t="s">
        <v>22</v>
      </c>
      <c r="B621">
        <v>1135</v>
      </c>
      <c r="D621">
        <v>3578</v>
      </c>
      <c r="G621" t="s">
        <v>390</v>
      </c>
      <c r="H621">
        <v>7730144000142</v>
      </c>
      <c r="J621" t="s">
        <v>1243</v>
      </c>
      <c r="K621" t="s">
        <v>5970</v>
      </c>
      <c r="M621" t="s">
        <v>5971</v>
      </c>
      <c r="Q621" t="s">
        <v>5972</v>
      </c>
      <c r="R621" t="s">
        <v>790</v>
      </c>
      <c r="W621" t="s">
        <v>780</v>
      </c>
      <c r="X621" t="s">
        <v>793</v>
      </c>
      <c r="Z621" s="31">
        <v>46173</v>
      </c>
      <c r="AC621">
        <v>21</v>
      </c>
      <c r="AD621" t="s">
        <v>22</v>
      </c>
      <c r="AE621" s="31">
        <v>46132</v>
      </c>
      <c r="AF621" s="61">
        <v>0.70337962962962963</v>
      </c>
      <c r="AH621" t="s">
        <v>795</v>
      </c>
      <c r="AI621" s="31">
        <v>46153</v>
      </c>
      <c r="AJ621" s="61">
        <v>0.49863425925925919</v>
      </c>
      <c r="AK621" t="s">
        <v>5338</v>
      </c>
      <c r="AN621" t="s">
        <v>1243</v>
      </c>
      <c r="AO621" t="s">
        <v>22</v>
      </c>
      <c r="AP621" t="s">
        <v>5969</v>
      </c>
      <c r="AR621" s="31"/>
      <c r="AS621">
        <v>30</v>
      </c>
      <c r="AX621">
        <v>1</v>
      </c>
    </row>
    <row r="622" spans="1:50" x14ac:dyDescent="0.3">
      <c r="A622" t="s">
        <v>44</v>
      </c>
      <c r="B622">
        <v>1136</v>
      </c>
      <c r="D622">
        <v>3582</v>
      </c>
      <c r="E622" t="s">
        <v>5973</v>
      </c>
      <c r="G622" t="s">
        <v>5974</v>
      </c>
      <c r="H622">
        <v>25356414000189</v>
      </c>
      <c r="J622" t="s">
        <v>5975</v>
      </c>
      <c r="K622" t="s">
        <v>5976</v>
      </c>
      <c r="M622" t="s">
        <v>5977</v>
      </c>
      <c r="Q622" t="s">
        <v>5978</v>
      </c>
      <c r="R622" t="s">
        <v>874</v>
      </c>
      <c r="S622" t="s">
        <v>2541</v>
      </c>
      <c r="V622" t="s">
        <v>5650</v>
      </c>
      <c r="W622" t="s">
        <v>780</v>
      </c>
      <c r="X622" t="s">
        <v>857</v>
      </c>
      <c r="Z622" s="31"/>
      <c r="AC622">
        <v>27</v>
      </c>
      <c r="AD622" t="s">
        <v>22</v>
      </c>
      <c r="AE622" s="31">
        <v>46135</v>
      </c>
      <c r="AF622" s="61">
        <v>0.58747685185185183</v>
      </c>
      <c r="AH622" t="s">
        <v>782</v>
      </c>
      <c r="AI622" s="31"/>
      <c r="AJ622" s="61"/>
      <c r="AO622" t="s">
        <v>44</v>
      </c>
      <c r="AR622" s="31"/>
      <c r="AS622">
        <v>30</v>
      </c>
      <c r="AX622">
        <v>1</v>
      </c>
    </row>
    <row r="623" spans="1:50" x14ac:dyDescent="0.3">
      <c r="A623" t="s">
        <v>31</v>
      </c>
      <c r="B623">
        <v>1137</v>
      </c>
      <c r="D623">
        <v>3581</v>
      </c>
      <c r="G623" t="s">
        <v>5979</v>
      </c>
      <c r="J623" t="s">
        <v>5980</v>
      </c>
      <c r="K623" t="s">
        <v>5981</v>
      </c>
      <c r="M623" t="s">
        <v>5982</v>
      </c>
      <c r="S623" t="s">
        <v>2541</v>
      </c>
      <c r="V623" t="s">
        <v>5650</v>
      </c>
      <c r="W623" t="s">
        <v>780</v>
      </c>
      <c r="X623" t="s">
        <v>897</v>
      </c>
      <c r="Z623" s="31"/>
      <c r="AC623">
        <v>27</v>
      </c>
      <c r="AD623" t="s">
        <v>22</v>
      </c>
      <c r="AE623" s="31">
        <v>46135</v>
      </c>
      <c r="AF623" s="61">
        <v>0.58898148148148144</v>
      </c>
      <c r="AH623" t="s">
        <v>782</v>
      </c>
      <c r="AI623" s="31"/>
      <c r="AJ623" s="61"/>
      <c r="AO623" t="s">
        <v>31</v>
      </c>
      <c r="AR623" s="31">
        <v>46149</v>
      </c>
      <c r="AS623">
        <v>30</v>
      </c>
      <c r="AX623">
        <v>1</v>
      </c>
    </row>
    <row r="624" spans="1:50" x14ac:dyDescent="0.3">
      <c r="A624" t="s">
        <v>31</v>
      </c>
      <c r="B624">
        <v>1138</v>
      </c>
      <c r="D624">
        <v>3586</v>
      </c>
      <c r="G624" t="s">
        <v>5983</v>
      </c>
      <c r="J624" t="s">
        <v>2815</v>
      </c>
      <c r="K624" t="s">
        <v>5984</v>
      </c>
      <c r="M624" t="s">
        <v>5985</v>
      </c>
      <c r="S624" t="s">
        <v>2541</v>
      </c>
      <c r="V624" t="s">
        <v>5631</v>
      </c>
      <c r="W624" t="s">
        <v>780</v>
      </c>
      <c r="X624" t="s">
        <v>781</v>
      </c>
      <c r="Z624" s="31"/>
      <c r="AC624">
        <v>15</v>
      </c>
      <c r="AD624" t="s">
        <v>22</v>
      </c>
      <c r="AE624" s="31">
        <v>46136</v>
      </c>
      <c r="AF624" s="61">
        <v>0.4246064814814815</v>
      </c>
      <c r="AH624" t="s">
        <v>795</v>
      </c>
      <c r="AI624" s="31">
        <v>46151</v>
      </c>
      <c r="AJ624" s="61">
        <v>0.36520833333333341</v>
      </c>
      <c r="AK624" t="s">
        <v>5657</v>
      </c>
      <c r="AO624" t="s">
        <v>31</v>
      </c>
      <c r="AR624" s="31"/>
      <c r="AS624">
        <v>30</v>
      </c>
      <c r="AX624">
        <v>1</v>
      </c>
    </row>
    <row r="625" spans="1:50" x14ac:dyDescent="0.3">
      <c r="A625" t="s">
        <v>44</v>
      </c>
      <c r="B625">
        <v>1139</v>
      </c>
      <c r="D625">
        <v>3603</v>
      </c>
      <c r="E625" t="s">
        <v>5986</v>
      </c>
      <c r="G625" t="s">
        <v>5987</v>
      </c>
      <c r="H625">
        <v>7598229000119</v>
      </c>
      <c r="J625" t="s">
        <v>5988</v>
      </c>
      <c r="K625" t="s">
        <v>5989</v>
      </c>
      <c r="M625" t="s">
        <v>5990</v>
      </c>
      <c r="Q625" t="s">
        <v>5991</v>
      </c>
      <c r="R625" t="s">
        <v>1105</v>
      </c>
      <c r="S625" t="s">
        <v>1191</v>
      </c>
      <c r="V625" t="s">
        <v>5650</v>
      </c>
      <c r="W625" t="s">
        <v>780</v>
      </c>
      <c r="X625" t="s">
        <v>897</v>
      </c>
      <c r="Z625" s="31"/>
      <c r="AC625">
        <v>23</v>
      </c>
      <c r="AD625" t="s">
        <v>22</v>
      </c>
      <c r="AE625" s="31">
        <v>46139</v>
      </c>
      <c r="AF625" s="61">
        <v>0.64777777777777779</v>
      </c>
      <c r="AH625" t="s">
        <v>782</v>
      </c>
      <c r="AI625" s="31"/>
      <c r="AJ625" s="61"/>
      <c r="AO625" t="s">
        <v>44</v>
      </c>
      <c r="AR625" s="31"/>
      <c r="AS625">
        <v>30</v>
      </c>
      <c r="AX625">
        <v>1</v>
      </c>
    </row>
    <row r="626" spans="1:50" x14ac:dyDescent="0.3">
      <c r="A626" t="s">
        <v>31</v>
      </c>
      <c r="B626">
        <v>1140</v>
      </c>
      <c r="D626">
        <v>3588</v>
      </c>
      <c r="G626" t="s">
        <v>5992</v>
      </c>
      <c r="H626">
        <v>7403402000186</v>
      </c>
      <c r="J626" t="s">
        <v>5993</v>
      </c>
      <c r="K626" t="s">
        <v>5994</v>
      </c>
      <c r="M626" t="s">
        <v>5995</v>
      </c>
      <c r="S626" t="s">
        <v>2541</v>
      </c>
      <c r="V626" t="s">
        <v>5790</v>
      </c>
      <c r="W626" t="s">
        <v>780</v>
      </c>
      <c r="X626" t="s">
        <v>897</v>
      </c>
      <c r="Z626" s="31"/>
      <c r="AC626">
        <v>10</v>
      </c>
      <c r="AD626" t="s">
        <v>22</v>
      </c>
      <c r="AE626" s="31">
        <v>46139</v>
      </c>
      <c r="AF626" s="61">
        <v>0.65891203703703705</v>
      </c>
      <c r="AH626" t="s">
        <v>795</v>
      </c>
      <c r="AI626" s="31">
        <v>46149</v>
      </c>
      <c r="AJ626" s="61">
        <v>0.4450115740740741</v>
      </c>
      <c r="AK626" t="s">
        <v>5392</v>
      </c>
      <c r="AO626" t="s">
        <v>31</v>
      </c>
      <c r="AR626" s="31">
        <v>46141</v>
      </c>
      <c r="AS626">
        <v>30</v>
      </c>
      <c r="AX626">
        <v>1</v>
      </c>
    </row>
    <row r="627" spans="1:50" x14ac:dyDescent="0.3">
      <c r="A627" t="s">
        <v>31</v>
      </c>
      <c r="B627">
        <v>1141</v>
      </c>
      <c r="D627">
        <v>3589</v>
      </c>
      <c r="G627" t="s">
        <v>221</v>
      </c>
      <c r="H627">
        <v>24094663000180</v>
      </c>
      <c r="J627" t="s">
        <v>5996</v>
      </c>
      <c r="K627" t="s">
        <v>5997</v>
      </c>
      <c r="M627" t="s">
        <v>5998</v>
      </c>
      <c r="Q627" t="s">
        <v>1094</v>
      </c>
      <c r="R627" t="s">
        <v>790</v>
      </c>
      <c r="S627" t="s">
        <v>2541</v>
      </c>
      <c r="V627" t="s">
        <v>5650</v>
      </c>
      <c r="W627" t="s">
        <v>780</v>
      </c>
      <c r="X627" t="s">
        <v>857</v>
      </c>
      <c r="Z627" s="31"/>
      <c r="AC627">
        <v>23</v>
      </c>
      <c r="AD627" t="s">
        <v>22</v>
      </c>
      <c r="AE627" s="31">
        <v>46139</v>
      </c>
      <c r="AF627" s="61">
        <v>0.65967592592592594</v>
      </c>
      <c r="AH627" t="s">
        <v>782</v>
      </c>
      <c r="AI627" s="31"/>
      <c r="AJ627" s="61"/>
      <c r="AO627" t="s">
        <v>31</v>
      </c>
      <c r="AP627" t="s">
        <v>5999</v>
      </c>
      <c r="AR627" s="31">
        <v>46160</v>
      </c>
      <c r="AS627">
        <v>30</v>
      </c>
      <c r="AX627">
        <v>1</v>
      </c>
    </row>
    <row r="628" spans="1:50" x14ac:dyDescent="0.3">
      <c r="A628" t="s">
        <v>44</v>
      </c>
      <c r="B628">
        <v>1142</v>
      </c>
      <c r="D628">
        <v>3590</v>
      </c>
      <c r="G628" t="s">
        <v>6000</v>
      </c>
      <c r="J628" t="s">
        <v>6001</v>
      </c>
      <c r="K628" t="s">
        <v>6002</v>
      </c>
      <c r="M628" t="s">
        <v>6003</v>
      </c>
      <c r="S628" t="s">
        <v>2541</v>
      </c>
      <c r="V628" t="s">
        <v>5650</v>
      </c>
      <c r="W628" t="s">
        <v>780</v>
      </c>
      <c r="X628" t="s">
        <v>897</v>
      </c>
      <c r="Z628" s="31"/>
      <c r="AC628">
        <v>23</v>
      </c>
      <c r="AD628" t="s">
        <v>22</v>
      </c>
      <c r="AE628" s="31">
        <v>46139</v>
      </c>
      <c r="AF628" s="61">
        <v>0.66146990740740741</v>
      </c>
      <c r="AH628" t="s">
        <v>782</v>
      </c>
      <c r="AI628" s="31"/>
      <c r="AJ628" s="61"/>
      <c r="AO628" t="s">
        <v>44</v>
      </c>
      <c r="AR628" s="31">
        <v>46148</v>
      </c>
      <c r="AS628">
        <v>30</v>
      </c>
      <c r="AX628">
        <v>1</v>
      </c>
    </row>
    <row r="629" spans="1:50" x14ac:dyDescent="0.3">
      <c r="A629" t="s">
        <v>31</v>
      </c>
      <c r="B629">
        <v>1143</v>
      </c>
      <c r="D629">
        <v>3591</v>
      </c>
      <c r="E629" t="s">
        <v>6004</v>
      </c>
      <c r="G629" t="s">
        <v>6005</v>
      </c>
      <c r="H629">
        <v>3098281000155</v>
      </c>
      <c r="J629" t="s">
        <v>6006</v>
      </c>
      <c r="M629" t="s">
        <v>6007</v>
      </c>
      <c r="Q629" t="s">
        <v>3244</v>
      </c>
      <c r="S629" t="s">
        <v>1191</v>
      </c>
      <c r="W629" t="s">
        <v>780</v>
      </c>
      <c r="X629" t="s">
        <v>857</v>
      </c>
      <c r="Z629" s="31"/>
      <c r="AC629">
        <v>23</v>
      </c>
      <c r="AD629" t="s">
        <v>22</v>
      </c>
      <c r="AE629" s="31">
        <v>46139</v>
      </c>
      <c r="AF629" s="61">
        <v>0.66239583333333329</v>
      </c>
      <c r="AH629" t="s">
        <v>782</v>
      </c>
      <c r="AI629" s="31"/>
      <c r="AJ629" s="61"/>
      <c r="AO629" t="s">
        <v>31</v>
      </c>
      <c r="AR629" s="31">
        <v>46161</v>
      </c>
      <c r="AS629">
        <v>30</v>
      </c>
      <c r="AX629">
        <v>1</v>
      </c>
    </row>
    <row r="630" spans="1:50" x14ac:dyDescent="0.3">
      <c r="A630" t="s">
        <v>44</v>
      </c>
      <c r="B630">
        <v>1144</v>
      </c>
      <c r="D630">
        <v>3592</v>
      </c>
      <c r="E630" t="s">
        <v>6008</v>
      </c>
      <c r="G630" t="s">
        <v>6009</v>
      </c>
      <c r="J630" t="s">
        <v>6010</v>
      </c>
      <c r="K630" t="s">
        <v>6011</v>
      </c>
      <c r="M630" t="s">
        <v>6012</v>
      </c>
      <c r="S630" t="s">
        <v>2541</v>
      </c>
      <c r="V630" t="s">
        <v>5650</v>
      </c>
      <c r="W630" t="s">
        <v>780</v>
      </c>
      <c r="X630" t="s">
        <v>781</v>
      </c>
      <c r="Z630" s="31"/>
      <c r="AC630">
        <v>12</v>
      </c>
      <c r="AD630" t="s">
        <v>22</v>
      </c>
      <c r="AE630" s="31">
        <v>46139</v>
      </c>
      <c r="AF630" s="61">
        <v>0.66317129629629634</v>
      </c>
      <c r="AH630" t="s">
        <v>795</v>
      </c>
      <c r="AI630" s="31">
        <v>46151</v>
      </c>
      <c r="AJ630" s="61">
        <v>0.36556712962962962</v>
      </c>
      <c r="AK630" t="s">
        <v>5657</v>
      </c>
      <c r="AO630" t="s">
        <v>44</v>
      </c>
      <c r="AR630" s="31">
        <v>46148</v>
      </c>
      <c r="AS630">
        <v>32</v>
      </c>
      <c r="AX630">
        <v>1</v>
      </c>
    </row>
    <row r="631" spans="1:50" x14ac:dyDescent="0.3">
      <c r="A631" t="s">
        <v>31</v>
      </c>
      <c r="B631">
        <v>1145</v>
      </c>
      <c r="D631">
        <v>3599</v>
      </c>
      <c r="F631" t="s">
        <v>6013</v>
      </c>
      <c r="G631" t="s">
        <v>6014</v>
      </c>
      <c r="H631">
        <v>58846435000131</v>
      </c>
      <c r="J631" t="s">
        <v>6013</v>
      </c>
      <c r="K631" t="s">
        <v>6015</v>
      </c>
      <c r="M631" t="s">
        <v>6016</v>
      </c>
      <c r="Q631" t="s">
        <v>1094</v>
      </c>
      <c r="R631" t="s">
        <v>790</v>
      </c>
      <c r="S631" t="s">
        <v>805</v>
      </c>
      <c r="W631" t="s">
        <v>780</v>
      </c>
      <c r="X631" t="s">
        <v>897</v>
      </c>
      <c r="Z631" s="31"/>
      <c r="AC631">
        <v>23</v>
      </c>
      <c r="AD631" t="s">
        <v>31</v>
      </c>
      <c r="AE631" s="31">
        <v>46139</v>
      </c>
      <c r="AF631" s="61">
        <v>0.66343750000000001</v>
      </c>
      <c r="AH631" t="s">
        <v>782</v>
      </c>
      <c r="AI631" s="31"/>
      <c r="AJ631" s="61"/>
      <c r="AO631" t="s">
        <v>31</v>
      </c>
      <c r="AR631" s="31">
        <v>46155</v>
      </c>
      <c r="AS631">
        <v>30</v>
      </c>
      <c r="AU631" t="s">
        <v>47</v>
      </c>
      <c r="AX631">
        <v>1</v>
      </c>
    </row>
    <row r="632" spans="1:50" x14ac:dyDescent="0.3">
      <c r="A632" t="s">
        <v>31</v>
      </c>
      <c r="B632">
        <v>1146</v>
      </c>
      <c r="D632">
        <v>3593</v>
      </c>
      <c r="G632" t="s">
        <v>6017</v>
      </c>
      <c r="J632" t="s">
        <v>6018</v>
      </c>
      <c r="K632" t="s">
        <v>6019</v>
      </c>
      <c r="M632" t="s">
        <v>6020</v>
      </c>
      <c r="S632" t="s">
        <v>2541</v>
      </c>
      <c r="V632" t="s">
        <v>5650</v>
      </c>
      <c r="W632" t="s">
        <v>780</v>
      </c>
      <c r="X632" t="s">
        <v>897</v>
      </c>
      <c r="Z632" s="31"/>
      <c r="AC632">
        <v>16</v>
      </c>
      <c r="AD632" t="s">
        <v>22</v>
      </c>
      <c r="AE632" s="31">
        <v>46139</v>
      </c>
      <c r="AF632" s="61">
        <v>0.66416666666666668</v>
      </c>
      <c r="AH632" t="s">
        <v>795</v>
      </c>
      <c r="AI632" s="31">
        <v>46155</v>
      </c>
      <c r="AJ632" s="61">
        <v>0.54056712962962961</v>
      </c>
      <c r="AK632" t="s">
        <v>5657</v>
      </c>
      <c r="AO632" t="s">
        <v>31</v>
      </c>
      <c r="AR632" s="31">
        <v>46155</v>
      </c>
      <c r="AS632">
        <v>30</v>
      </c>
      <c r="AX632">
        <v>1</v>
      </c>
    </row>
    <row r="633" spans="1:50" x14ac:dyDescent="0.3">
      <c r="A633" t="s">
        <v>44</v>
      </c>
      <c r="B633">
        <v>1147</v>
      </c>
      <c r="D633">
        <v>3594</v>
      </c>
      <c r="E633" t="s">
        <v>6021</v>
      </c>
      <c r="G633" t="s">
        <v>6022</v>
      </c>
      <c r="J633" t="s">
        <v>6023</v>
      </c>
      <c r="K633" t="s">
        <v>6024</v>
      </c>
      <c r="M633" t="s">
        <v>6025</v>
      </c>
      <c r="S633" t="s">
        <v>2541</v>
      </c>
      <c r="V633" t="s">
        <v>5631</v>
      </c>
      <c r="W633" t="s">
        <v>780</v>
      </c>
      <c r="X633" t="s">
        <v>781</v>
      </c>
      <c r="Z633" s="31"/>
      <c r="AC633">
        <v>1</v>
      </c>
      <c r="AD633" t="s">
        <v>22</v>
      </c>
      <c r="AE633" s="31">
        <v>46139</v>
      </c>
      <c r="AF633" s="61">
        <v>0.66495370370370366</v>
      </c>
      <c r="AH633" t="s">
        <v>795</v>
      </c>
      <c r="AI633" s="31">
        <v>46140</v>
      </c>
      <c r="AJ633" s="61">
        <v>0.48800925925925931</v>
      </c>
      <c r="AK633" t="s">
        <v>5392</v>
      </c>
      <c r="AL633" t="s">
        <v>6026</v>
      </c>
      <c r="AO633" t="s">
        <v>44</v>
      </c>
      <c r="AR633" s="31"/>
      <c r="AS633">
        <v>30</v>
      </c>
      <c r="AX633">
        <v>1</v>
      </c>
    </row>
    <row r="634" spans="1:50" x14ac:dyDescent="0.3">
      <c r="A634" t="s">
        <v>31</v>
      </c>
      <c r="B634">
        <v>1148</v>
      </c>
      <c r="D634">
        <v>3595</v>
      </c>
      <c r="G634" t="s">
        <v>6027</v>
      </c>
      <c r="H634">
        <v>10255338000148</v>
      </c>
      <c r="J634" t="s">
        <v>6028</v>
      </c>
      <c r="K634" t="s">
        <v>6029</v>
      </c>
      <c r="M634" t="s">
        <v>6030</v>
      </c>
      <c r="S634" t="s">
        <v>2541</v>
      </c>
      <c r="V634" t="s">
        <v>5650</v>
      </c>
      <c r="W634" t="s">
        <v>780</v>
      </c>
      <c r="X634" t="s">
        <v>897</v>
      </c>
      <c r="Z634" s="31"/>
      <c r="AC634">
        <v>23</v>
      </c>
      <c r="AD634" t="s">
        <v>22</v>
      </c>
      <c r="AE634" s="31">
        <v>46139</v>
      </c>
      <c r="AF634" s="61">
        <v>0.6658680555555555</v>
      </c>
      <c r="AH634" t="s">
        <v>782</v>
      </c>
      <c r="AI634" s="31"/>
      <c r="AJ634" s="61"/>
      <c r="AO634" t="s">
        <v>31</v>
      </c>
      <c r="AR634" s="31">
        <v>46155</v>
      </c>
      <c r="AS634">
        <v>30</v>
      </c>
      <c r="AX634">
        <v>1</v>
      </c>
    </row>
    <row r="635" spans="1:50" x14ac:dyDescent="0.3">
      <c r="A635" t="s">
        <v>31</v>
      </c>
      <c r="B635">
        <v>1149</v>
      </c>
      <c r="D635">
        <v>3596</v>
      </c>
      <c r="G635" t="s">
        <v>6031</v>
      </c>
      <c r="H635">
        <v>44922087000120</v>
      </c>
      <c r="J635" t="s">
        <v>6032</v>
      </c>
      <c r="K635" t="s">
        <v>6033</v>
      </c>
      <c r="M635" t="s">
        <v>6034</v>
      </c>
      <c r="Q635" t="s">
        <v>6035</v>
      </c>
      <c r="R635" t="s">
        <v>1105</v>
      </c>
      <c r="S635" t="s">
        <v>2541</v>
      </c>
      <c r="V635" t="s">
        <v>5631</v>
      </c>
      <c r="W635" t="s">
        <v>780</v>
      </c>
      <c r="X635" t="s">
        <v>781</v>
      </c>
      <c r="Z635" s="31"/>
      <c r="AC635">
        <v>12</v>
      </c>
      <c r="AD635" t="s">
        <v>22</v>
      </c>
      <c r="AE635" s="31">
        <v>46139</v>
      </c>
      <c r="AF635" s="61">
        <v>0.66692129629629626</v>
      </c>
      <c r="AH635" t="s">
        <v>795</v>
      </c>
      <c r="AI635" s="31">
        <v>46151</v>
      </c>
      <c r="AJ635" s="61">
        <v>0.36835648148148148</v>
      </c>
      <c r="AK635" t="s">
        <v>5377</v>
      </c>
      <c r="AO635" t="s">
        <v>31</v>
      </c>
      <c r="AR635" s="31"/>
      <c r="AS635">
        <v>30</v>
      </c>
      <c r="AX635">
        <v>1</v>
      </c>
    </row>
    <row r="636" spans="1:50" x14ac:dyDescent="0.3">
      <c r="A636" t="s">
        <v>44</v>
      </c>
      <c r="B636">
        <v>1150</v>
      </c>
      <c r="D636">
        <v>3597</v>
      </c>
      <c r="E636" t="s">
        <v>6036</v>
      </c>
      <c r="G636" t="s">
        <v>6037</v>
      </c>
      <c r="J636" t="s">
        <v>6038</v>
      </c>
      <c r="K636" t="s">
        <v>6039</v>
      </c>
      <c r="M636" t="s">
        <v>6040</v>
      </c>
      <c r="Q636" t="s">
        <v>2295</v>
      </c>
      <c r="S636" t="s">
        <v>814</v>
      </c>
      <c r="V636" t="s">
        <v>1186</v>
      </c>
      <c r="W636" t="s">
        <v>780</v>
      </c>
      <c r="X636" t="s">
        <v>781</v>
      </c>
      <c r="Z636" s="31"/>
      <c r="AC636">
        <v>1</v>
      </c>
      <c r="AD636" t="s">
        <v>22</v>
      </c>
      <c r="AE636" s="31">
        <v>46139</v>
      </c>
      <c r="AF636" s="61">
        <v>0.66759259259259263</v>
      </c>
      <c r="AH636" t="s">
        <v>795</v>
      </c>
      <c r="AI636" s="31">
        <v>46140</v>
      </c>
      <c r="AJ636" s="61">
        <v>0.49149305555555561</v>
      </c>
      <c r="AK636" t="s">
        <v>5419</v>
      </c>
      <c r="AL636" t="s">
        <v>6036</v>
      </c>
      <c r="AO636" t="s">
        <v>44</v>
      </c>
      <c r="AR636" s="31"/>
      <c r="AS636">
        <v>30</v>
      </c>
      <c r="AX636">
        <v>1</v>
      </c>
    </row>
    <row r="637" spans="1:50" x14ac:dyDescent="0.3">
      <c r="A637" t="s">
        <v>44</v>
      </c>
      <c r="B637">
        <v>1151</v>
      </c>
      <c r="D637">
        <v>3602</v>
      </c>
      <c r="E637" t="s">
        <v>6041</v>
      </c>
      <c r="G637" t="s">
        <v>6042</v>
      </c>
      <c r="J637" t="s">
        <v>6043</v>
      </c>
      <c r="K637" t="s">
        <v>6044</v>
      </c>
      <c r="M637" t="s">
        <v>6045</v>
      </c>
      <c r="S637" t="s">
        <v>2541</v>
      </c>
      <c r="V637" t="s">
        <v>5631</v>
      </c>
      <c r="W637" t="s">
        <v>780</v>
      </c>
      <c r="X637" t="s">
        <v>781</v>
      </c>
      <c r="Z637" s="31"/>
      <c r="AC637">
        <v>1</v>
      </c>
      <c r="AD637" t="s">
        <v>22</v>
      </c>
      <c r="AE637" s="31">
        <v>46139</v>
      </c>
      <c r="AF637" s="61">
        <v>0.6680787037037037</v>
      </c>
      <c r="AH637" t="s">
        <v>795</v>
      </c>
      <c r="AI637" s="31">
        <v>46140</v>
      </c>
      <c r="AJ637" s="61">
        <v>0.47354166666666669</v>
      </c>
      <c r="AK637" t="s">
        <v>5392</v>
      </c>
      <c r="AL637" t="s">
        <v>6046</v>
      </c>
      <c r="AO637" t="s">
        <v>44</v>
      </c>
      <c r="AR637" s="31"/>
      <c r="AS637">
        <v>30</v>
      </c>
      <c r="AX637">
        <v>1</v>
      </c>
    </row>
    <row r="638" spans="1:50" x14ac:dyDescent="0.3">
      <c r="A638" t="s">
        <v>31</v>
      </c>
      <c r="B638">
        <v>1152</v>
      </c>
      <c r="D638">
        <v>3608</v>
      </c>
      <c r="G638" t="s">
        <v>6047</v>
      </c>
      <c r="H638">
        <v>9073191000196</v>
      </c>
      <c r="J638" t="s">
        <v>6048</v>
      </c>
      <c r="K638" t="s">
        <v>6049</v>
      </c>
      <c r="M638" t="s">
        <v>6050</v>
      </c>
      <c r="R638" t="s">
        <v>6051</v>
      </c>
      <c r="S638" t="s">
        <v>1191</v>
      </c>
      <c r="V638" t="s">
        <v>5650</v>
      </c>
      <c r="W638" t="s">
        <v>780</v>
      </c>
      <c r="X638" t="s">
        <v>897</v>
      </c>
      <c r="Z638" s="31"/>
      <c r="AC638">
        <v>21</v>
      </c>
      <c r="AD638" t="s">
        <v>22</v>
      </c>
      <c r="AE638" s="31">
        <v>46141</v>
      </c>
      <c r="AF638" s="61">
        <v>0.31112268518518521</v>
      </c>
      <c r="AH638" t="s">
        <v>782</v>
      </c>
      <c r="AI638" s="31"/>
      <c r="AJ638" s="61"/>
      <c r="AO638" t="s">
        <v>31</v>
      </c>
      <c r="AR638" s="31">
        <v>46155</v>
      </c>
      <c r="AS638">
        <v>30</v>
      </c>
      <c r="AX638">
        <v>1</v>
      </c>
    </row>
    <row r="639" spans="1:50" x14ac:dyDescent="0.3">
      <c r="A639" t="s">
        <v>44</v>
      </c>
      <c r="B639">
        <v>1153</v>
      </c>
      <c r="D639">
        <v>3609</v>
      </c>
      <c r="G639" t="s">
        <v>6052</v>
      </c>
      <c r="J639" t="s">
        <v>6053</v>
      </c>
      <c r="K639" t="s">
        <v>6054</v>
      </c>
      <c r="M639" t="s">
        <v>6055</v>
      </c>
      <c r="S639" t="s">
        <v>2541</v>
      </c>
      <c r="V639" t="s">
        <v>5650</v>
      </c>
      <c r="W639" t="s">
        <v>780</v>
      </c>
      <c r="X639" t="s">
        <v>897</v>
      </c>
      <c r="Z639" s="31"/>
      <c r="AC639">
        <v>21</v>
      </c>
      <c r="AD639" t="s">
        <v>22</v>
      </c>
      <c r="AE639" s="31">
        <v>46141</v>
      </c>
      <c r="AF639" s="61">
        <v>0.3119675925925926</v>
      </c>
      <c r="AH639" t="s">
        <v>782</v>
      </c>
      <c r="AI639" s="31"/>
      <c r="AJ639" s="61"/>
      <c r="AO639" t="s">
        <v>44</v>
      </c>
      <c r="AR639" s="31">
        <v>46148</v>
      </c>
      <c r="AS639">
        <v>30</v>
      </c>
      <c r="AX639">
        <v>1</v>
      </c>
    </row>
    <row r="640" spans="1:50" x14ac:dyDescent="0.3">
      <c r="A640" t="s">
        <v>31</v>
      </c>
      <c r="B640">
        <v>1154</v>
      </c>
      <c r="D640">
        <v>3610</v>
      </c>
      <c r="G640" t="s">
        <v>6056</v>
      </c>
      <c r="H640">
        <v>8051809000154</v>
      </c>
      <c r="J640" t="s">
        <v>6057</v>
      </c>
      <c r="K640" t="s">
        <v>6058</v>
      </c>
      <c r="M640" t="s">
        <v>6059</v>
      </c>
      <c r="S640" t="s">
        <v>2541</v>
      </c>
      <c r="V640" t="s">
        <v>5650</v>
      </c>
      <c r="W640" t="s">
        <v>780</v>
      </c>
      <c r="X640" t="s">
        <v>897</v>
      </c>
      <c r="Z640" s="31"/>
      <c r="AC640">
        <v>14</v>
      </c>
      <c r="AD640" t="s">
        <v>22</v>
      </c>
      <c r="AE640" s="31">
        <v>46141</v>
      </c>
      <c r="AF640" s="61">
        <v>0.31270833333333331</v>
      </c>
      <c r="AH640" t="s">
        <v>795</v>
      </c>
      <c r="AI640" s="31">
        <v>46155</v>
      </c>
      <c r="AJ640" s="61">
        <v>0.53164351851851854</v>
      </c>
      <c r="AK640" t="s">
        <v>5657</v>
      </c>
      <c r="AO640" t="s">
        <v>31</v>
      </c>
      <c r="AR640" s="31">
        <v>46146</v>
      </c>
      <c r="AS640">
        <v>30</v>
      </c>
      <c r="AX640">
        <v>1</v>
      </c>
    </row>
    <row r="641" spans="1:50" x14ac:dyDescent="0.3">
      <c r="A641" t="s">
        <v>44</v>
      </c>
      <c r="B641">
        <v>1155</v>
      </c>
      <c r="D641">
        <v>3611</v>
      </c>
      <c r="E641" t="s">
        <v>6060</v>
      </c>
      <c r="G641" t="s">
        <v>6061</v>
      </c>
      <c r="H641">
        <v>8962163000167</v>
      </c>
      <c r="J641" t="s">
        <v>6062</v>
      </c>
      <c r="K641" t="s">
        <v>6063</v>
      </c>
      <c r="M641" t="s">
        <v>6064</v>
      </c>
      <c r="R641" t="s">
        <v>6065</v>
      </c>
      <c r="S641" t="s">
        <v>1191</v>
      </c>
      <c r="V641" t="s">
        <v>5650</v>
      </c>
      <c r="W641" t="s">
        <v>780</v>
      </c>
      <c r="X641" t="s">
        <v>897</v>
      </c>
      <c r="Z641" s="31"/>
      <c r="AC641">
        <v>21</v>
      </c>
      <c r="AD641" t="s">
        <v>22</v>
      </c>
      <c r="AE641" s="31">
        <v>46141</v>
      </c>
      <c r="AF641" s="61">
        <v>0.31332175925925931</v>
      </c>
      <c r="AH641" t="s">
        <v>782</v>
      </c>
      <c r="AI641" s="31"/>
      <c r="AJ641" s="61"/>
      <c r="AO641" t="s">
        <v>44</v>
      </c>
      <c r="AR641" s="31">
        <v>46146</v>
      </c>
      <c r="AS641">
        <v>30</v>
      </c>
      <c r="AX641">
        <v>1</v>
      </c>
    </row>
    <row r="642" spans="1:50" x14ac:dyDescent="0.3">
      <c r="A642" t="s">
        <v>31</v>
      </c>
      <c r="B642">
        <v>1156</v>
      </c>
      <c r="D642">
        <v>3612</v>
      </c>
      <c r="G642" t="s">
        <v>6066</v>
      </c>
      <c r="H642">
        <v>11513572000190</v>
      </c>
      <c r="J642" t="s">
        <v>6067</v>
      </c>
      <c r="K642" t="s">
        <v>6068</v>
      </c>
      <c r="M642" t="s">
        <v>6069</v>
      </c>
      <c r="R642" t="s">
        <v>6070</v>
      </c>
      <c r="S642" t="s">
        <v>1191</v>
      </c>
      <c r="V642" t="s">
        <v>5650</v>
      </c>
      <c r="W642" t="s">
        <v>780</v>
      </c>
      <c r="X642" t="s">
        <v>897</v>
      </c>
      <c r="Z642" s="31">
        <v>46155</v>
      </c>
      <c r="AC642">
        <v>14</v>
      </c>
      <c r="AD642" t="s">
        <v>22</v>
      </c>
      <c r="AE642" s="31">
        <v>46141</v>
      </c>
      <c r="AF642" s="61">
        <v>0.31395833333333328</v>
      </c>
      <c r="AH642" t="s">
        <v>795</v>
      </c>
      <c r="AI642" s="31">
        <v>46155</v>
      </c>
      <c r="AJ642" s="61">
        <v>0.52981481481481485</v>
      </c>
      <c r="AK642" t="s">
        <v>5657</v>
      </c>
      <c r="AO642" t="s">
        <v>31</v>
      </c>
      <c r="AR642" s="31">
        <v>46146</v>
      </c>
      <c r="AS642">
        <v>30</v>
      </c>
      <c r="AX642">
        <v>1</v>
      </c>
    </row>
    <row r="643" spans="1:50" x14ac:dyDescent="0.3">
      <c r="A643" t="s">
        <v>44</v>
      </c>
      <c r="B643">
        <v>1159</v>
      </c>
      <c r="D643">
        <v>3692</v>
      </c>
      <c r="G643" t="s">
        <v>253</v>
      </c>
      <c r="J643" t="s">
        <v>6071</v>
      </c>
      <c r="K643" t="s">
        <v>1579</v>
      </c>
      <c r="M643" t="s">
        <v>1580</v>
      </c>
      <c r="W643" t="s">
        <v>780</v>
      </c>
      <c r="X643" t="s">
        <v>816</v>
      </c>
      <c r="Z643" s="31"/>
      <c r="AA643">
        <v>1485378</v>
      </c>
      <c r="AB643">
        <v>0</v>
      </c>
      <c r="AC643">
        <v>14</v>
      </c>
      <c r="AD643" t="s">
        <v>44</v>
      </c>
      <c r="AE643" s="31">
        <v>46142</v>
      </c>
      <c r="AF643" s="61">
        <v>0.60206018518518523</v>
      </c>
      <c r="AH643" t="s">
        <v>818</v>
      </c>
      <c r="AI643" s="31">
        <v>46156</v>
      </c>
      <c r="AJ643" s="61">
        <v>0.38688657407407412</v>
      </c>
      <c r="AN643" t="s">
        <v>6072</v>
      </c>
      <c r="AR643" s="31">
        <v>46156</v>
      </c>
      <c r="AS643">
        <v>90</v>
      </c>
      <c r="AX643">
        <v>1</v>
      </c>
    </row>
    <row r="644" spans="1:50" x14ac:dyDescent="0.3">
      <c r="A644" t="s">
        <v>44</v>
      </c>
      <c r="B644">
        <v>1160</v>
      </c>
      <c r="D644">
        <v>3693</v>
      </c>
      <c r="E644" t="s">
        <v>6073</v>
      </c>
      <c r="G644" t="s">
        <v>235</v>
      </c>
      <c r="J644" t="s">
        <v>6074</v>
      </c>
      <c r="K644" t="s">
        <v>1549</v>
      </c>
      <c r="M644" t="s">
        <v>1111</v>
      </c>
      <c r="W644" t="s">
        <v>780</v>
      </c>
      <c r="X644" t="s">
        <v>807</v>
      </c>
      <c r="Z644" s="31"/>
      <c r="AA644">
        <v>4240</v>
      </c>
      <c r="AB644">
        <v>7128</v>
      </c>
      <c r="AC644">
        <v>20</v>
      </c>
      <c r="AD644" t="s">
        <v>44</v>
      </c>
      <c r="AE644" s="31">
        <v>46142</v>
      </c>
      <c r="AF644" s="61">
        <v>0.60834490740740743</v>
      </c>
      <c r="AH644" t="s">
        <v>782</v>
      </c>
      <c r="AI644" s="31"/>
      <c r="AJ644" s="61"/>
      <c r="AN644" t="s">
        <v>6075</v>
      </c>
      <c r="AP644" t="s">
        <v>5999</v>
      </c>
      <c r="AR644" s="31">
        <v>46160</v>
      </c>
      <c r="AS644">
        <v>50</v>
      </c>
      <c r="AX644">
        <v>1</v>
      </c>
    </row>
    <row r="645" spans="1:50" x14ac:dyDescent="0.3">
      <c r="A645" t="s">
        <v>44</v>
      </c>
      <c r="B645">
        <v>1161</v>
      </c>
      <c r="D645">
        <v>3694</v>
      </c>
      <c r="G645" t="s">
        <v>442</v>
      </c>
      <c r="J645" t="s">
        <v>6076</v>
      </c>
      <c r="K645" t="s">
        <v>5887</v>
      </c>
      <c r="M645" t="s">
        <v>5334</v>
      </c>
      <c r="W645" t="s">
        <v>780</v>
      </c>
      <c r="X645" t="s">
        <v>807</v>
      </c>
      <c r="Z645" s="31"/>
      <c r="AA645">
        <v>6000</v>
      </c>
      <c r="AB645">
        <v>2000</v>
      </c>
      <c r="AC645">
        <v>0</v>
      </c>
      <c r="AD645" t="s">
        <v>44</v>
      </c>
      <c r="AE645" s="31">
        <v>46142</v>
      </c>
      <c r="AF645" s="61">
        <v>0.62430555555555556</v>
      </c>
      <c r="AH645" t="s">
        <v>795</v>
      </c>
      <c r="AI645" s="31">
        <v>46142</v>
      </c>
      <c r="AJ645" s="61">
        <v>0.65401620370370372</v>
      </c>
      <c r="AK645" t="s">
        <v>934</v>
      </c>
      <c r="AL645" t="s">
        <v>5886</v>
      </c>
      <c r="AN645" t="s">
        <v>4698</v>
      </c>
      <c r="AP645" t="s">
        <v>4698</v>
      </c>
      <c r="AR645" s="31"/>
      <c r="AS645">
        <v>50</v>
      </c>
      <c r="AX645">
        <v>1</v>
      </c>
    </row>
    <row r="646" spans="1:50" x14ac:dyDescent="0.3">
      <c r="A646" t="s">
        <v>44</v>
      </c>
      <c r="B646">
        <v>1162</v>
      </c>
      <c r="D646">
        <v>3637</v>
      </c>
      <c r="E646" t="s">
        <v>6077</v>
      </c>
      <c r="G646" t="s">
        <v>6078</v>
      </c>
      <c r="J646" t="s">
        <v>6079</v>
      </c>
      <c r="M646" t="s">
        <v>6080</v>
      </c>
      <c r="Q646" t="s">
        <v>6081</v>
      </c>
      <c r="S646" t="s">
        <v>1191</v>
      </c>
      <c r="V646" t="s">
        <v>6082</v>
      </c>
      <c r="W646" t="s">
        <v>780</v>
      </c>
      <c r="X646" t="s">
        <v>781</v>
      </c>
      <c r="Z646" s="31"/>
      <c r="AC646">
        <v>0</v>
      </c>
      <c r="AD646" t="s">
        <v>22</v>
      </c>
      <c r="AE646" s="31">
        <v>46146</v>
      </c>
      <c r="AF646" s="61">
        <v>0.33834490740740741</v>
      </c>
      <c r="AH646" t="s">
        <v>795</v>
      </c>
      <c r="AI646" s="31">
        <v>46146</v>
      </c>
      <c r="AJ646" s="61">
        <v>0.39653935185185191</v>
      </c>
      <c r="AK646" t="s">
        <v>5392</v>
      </c>
      <c r="AL646" t="s">
        <v>6083</v>
      </c>
      <c r="AO646" t="s">
        <v>44</v>
      </c>
      <c r="AR646" s="31"/>
      <c r="AS646">
        <v>30</v>
      </c>
      <c r="AX646">
        <v>1</v>
      </c>
    </row>
    <row r="647" spans="1:50" x14ac:dyDescent="0.3">
      <c r="A647" t="s">
        <v>142</v>
      </c>
      <c r="B647">
        <v>1163</v>
      </c>
      <c r="D647">
        <v>3638</v>
      </c>
      <c r="E647" t="s">
        <v>6084</v>
      </c>
      <c r="G647" t="s">
        <v>6085</v>
      </c>
      <c r="H647">
        <v>42263870000101</v>
      </c>
      <c r="J647" t="s">
        <v>6085</v>
      </c>
      <c r="K647" t="s">
        <v>6086</v>
      </c>
      <c r="M647" t="s">
        <v>6087</v>
      </c>
      <c r="Q647" t="s">
        <v>2080</v>
      </c>
      <c r="R647" t="s">
        <v>956</v>
      </c>
      <c r="S647" t="s">
        <v>2541</v>
      </c>
      <c r="V647" t="s">
        <v>5650</v>
      </c>
      <c r="W647" t="s">
        <v>780</v>
      </c>
      <c r="X647" t="s">
        <v>897</v>
      </c>
      <c r="Z647" s="31"/>
      <c r="AC647">
        <v>16</v>
      </c>
      <c r="AD647" t="s">
        <v>22</v>
      </c>
      <c r="AE647" s="31">
        <v>46146</v>
      </c>
      <c r="AF647" s="61">
        <v>0.34042824074074068</v>
      </c>
      <c r="AH647" t="s">
        <v>782</v>
      </c>
      <c r="AI647" s="31"/>
      <c r="AJ647" s="61"/>
      <c r="AO647" t="s">
        <v>142</v>
      </c>
      <c r="AR647" s="31"/>
      <c r="AS647">
        <v>30</v>
      </c>
      <c r="AU647" t="s">
        <v>3142</v>
      </c>
      <c r="AX647">
        <v>1</v>
      </c>
    </row>
    <row r="648" spans="1:50" x14ac:dyDescent="0.3">
      <c r="A648" t="s">
        <v>31</v>
      </c>
      <c r="B648">
        <v>1164</v>
      </c>
      <c r="D648">
        <v>3695</v>
      </c>
      <c r="G648" t="s">
        <v>6088</v>
      </c>
      <c r="H648">
        <v>64508464000196</v>
      </c>
      <c r="J648" t="s">
        <v>6089</v>
      </c>
      <c r="K648" t="s">
        <v>6090</v>
      </c>
      <c r="M648" t="s">
        <v>6091</v>
      </c>
      <c r="Q648" t="s">
        <v>6092</v>
      </c>
      <c r="R648" t="s">
        <v>1699</v>
      </c>
      <c r="S648" t="s">
        <v>2541</v>
      </c>
      <c r="V648" t="s">
        <v>5631</v>
      </c>
      <c r="W648" t="s">
        <v>780</v>
      </c>
      <c r="X648" t="s">
        <v>897</v>
      </c>
      <c r="Z648" s="31"/>
      <c r="AC648">
        <v>4</v>
      </c>
      <c r="AD648" t="s">
        <v>22</v>
      </c>
      <c r="AE648" s="31">
        <v>46146</v>
      </c>
      <c r="AF648" s="61">
        <v>0.34131944444444451</v>
      </c>
      <c r="AH648" t="s">
        <v>795</v>
      </c>
      <c r="AI648" s="31">
        <v>46150</v>
      </c>
      <c r="AJ648" s="61">
        <v>0.43851851851851847</v>
      </c>
      <c r="AK648" t="s">
        <v>5392</v>
      </c>
      <c r="AO648" t="s">
        <v>31</v>
      </c>
      <c r="AR648" s="31">
        <v>46150</v>
      </c>
      <c r="AS648">
        <v>31</v>
      </c>
      <c r="AX648">
        <v>1</v>
      </c>
    </row>
    <row r="649" spans="1:50" x14ac:dyDescent="0.3">
      <c r="A649" t="s">
        <v>44</v>
      </c>
      <c r="B649">
        <v>1165</v>
      </c>
      <c r="D649">
        <v>3698</v>
      </c>
      <c r="G649" t="s">
        <v>6093</v>
      </c>
      <c r="H649">
        <v>15725079000195</v>
      </c>
      <c r="J649" t="s">
        <v>6094</v>
      </c>
      <c r="K649" t="s">
        <v>6095</v>
      </c>
      <c r="M649" t="s">
        <v>6096</v>
      </c>
      <c r="S649" t="s">
        <v>2541</v>
      </c>
      <c r="V649" t="s">
        <v>5650</v>
      </c>
      <c r="W649" t="s">
        <v>780</v>
      </c>
      <c r="X649" t="s">
        <v>897</v>
      </c>
      <c r="Z649" s="31"/>
      <c r="AC649">
        <v>10</v>
      </c>
      <c r="AD649" t="s">
        <v>22</v>
      </c>
      <c r="AE649" s="31">
        <v>46146</v>
      </c>
      <c r="AF649" s="61">
        <v>0.34255787037037039</v>
      </c>
      <c r="AH649" t="s">
        <v>795</v>
      </c>
      <c r="AI649" s="31">
        <v>46156</v>
      </c>
      <c r="AJ649" s="61">
        <v>0.48023148148148148</v>
      </c>
      <c r="AK649" t="s">
        <v>5657</v>
      </c>
      <c r="AL649" t="s">
        <v>6097</v>
      </c>
      <c r="AO649" t="s">
        <v>44</v>
      </c>
      <c r="AR649" s="31">
        <v>46156</v>
      </c>
      <c r="AS649">
        <v>28</v>
      </c>
      <c r="AX649">
        <v>1</v>
      </c>
    </row>
    <row r="650" spans="1:50" x14ac:dyDescent="0.3">
      <c r="A650" t="s">
        <v>142</v>
      </c>
      <c r="B650">
        <v>1166</v>
      </c>
      <c r="D650">
        <v>3699</v>
      </c>
      <c r="E650" t="s">
        <v>6098</v>
      </c>
      <c r="G650" t="s">
        <v>6099</v>
      </c>
      <c r="J650" t="s">
        <v>6100</v>
      </c>
      <c r="K650" t="s">
        <v>6101</v>
      </c>
      <c r="M650" t="s">
        <v>6102</v>
      </c>
      <c r="S650" t="s">
        <v>2541</v>
      </c>
      <c r="V650" t="s">
        <v>5650</v>
      </c>
      <c r="W650" t="s">
        <v>780</v>
      </c>
      <c r="X650" t="s">
        <v>897</v>
      </c>
      <c r="Z650" s="31"/>
      <c r="AC650">
        <v>16</v>
      </c>
      <c r="AD650" t="s">
        <v>22</v>
      </c>
      <c r="AE650" s="31">
        <v>46146</v>
      </c>
      <c r="AF650" s="61">
        <v>0.34332175925925928</v>
      </c>
      <c r="AH650" t="s">
        <v>782</v>
      </c>
      <c r="AI650" s="31"/>
      <c r="AJ650" s="61"/>
      <c r="AO650" t="s">
        <v>142</v>
      </c>
      <c r="AR650" s="31">
        <v>46153</v>
      </c>
      <c r="AS650">
        <v>30</v>
      </c>
      <c r="AX650">
        <v>1</v>
      </c>
    </row>
    <row r="651" spans="1:50" x14ac:dyDescent="0.3">
      <c r="A651" t="s">
        <v>31</v>
      </c>
      <c r="B651">
        <v>1167</v>
      </c>
      <c r="D651">
        <v>3700</v>
      </c>
      <c r="G651" t="s">
        <v>6103</v>
      </c>
      <c r="J651" t="s">
        <v>6104</v>
      </c>
      <c r="K651" t="s">
        <v>6105</v>
      </c>
      <c r="M651" t="s">
        <v>6106</v>
      </c>
      <c r="S651" t="s">
        <v>2541</v>
      </c>
      <c r="V651" t="s">
        <v>5631</v>
      </c>
      <c r="W651" t="s">
        <v>780</v>
      </c>
      <c r="X651" t="s">
        <v>897</v>
      </c>
      <c r="Z651" s="31"/>
      <c r="AC651">
        <v>4</v>
      </c>
      <c r="AD651" t="s">
        <v>22</v>
      </c>
      <c r="AE651" s="31">
        <v>46146</v>
      </c>
      <c r="AF651" s="61">
        <v>0.34416666666666668</v>
      </c>
      <c r="AH651" t="s">
        <v>795</v>
      </c>
      <c r="AI651" s="31">
        <v>46150</v>
      </c>
      <c r="AJ651" s="61">
        <v>0.43725694444444452</v>
      </c>
      <c r="AK651" t="s">
        <v>5392</v>
      </c>
      <c r="AO651" t="s">
        <v>31</v>
      </c>
      <c r="AR651" s="31">
        <v>46150</v>
      </c>
      <c r="AS651">
        <v>30</v>
      </c>
      <c r="AX651">
        <v>1</v>
      </c>
    </row>
    <row r="652" spans="1:50" x14ac:dyDescent="0.3">
      <c r="A652" t="s">
        <v>31</v>
      </c>
      <c r="B652">
        <v>1168</v>
      </c>
      <c r="D652">
        <v>3701</v>
      </c>
      <c r="G652" t="s">
        <v>6107</v>
      </c>
      <c r="J652" t="s">
        <v>6108</v>
      </c>
      <c r="K652" t="s">
        <v>6109</v>
      </c>
      <c r="M652" t="s">
        <v>6110</v>
      </c>
      <c r="S652" t="s">
        <v>2541</v>
      </c>
      <c r="V652" t="s">
        <v>5650</v>
      </c>
      <c r="W652" t="s">
        <v>780</v>
      </c>
      <c r="X652" t="s">
        <v>781</v>
      </c>
      <c r="Z652" s="31"/>
      <c r="AC652">
        <v>5</v>
      </c>
      <c r="AD652" t="s">
        <v>22</v>
      </c>
      <c r="AE652" s="31">
        <v>46146</v>
      </c>
      <c r="AF652" s="61">
        <v>0.34478009259259262</v>
      </c>
      <c r="AH652" t="s">
        <v>795</v>
      </c>
      <c r="AI652" s="31">
        <v>46151</v>
      </c>
      <c r="AJ652" s="61">
        <v>0.36596064814814822</v>
      </c>
      <c r="AK652" t="s">
        <v>6111</v>
      </c>
      <c r="AO652" t="s">
        <v>31</v>
      </c>
      <c r="AR652" s="31"/>
      <c r="AS652">
        <v>30</v>
      </c>
      <c r="AX652">
        <v>1</v>
      </c>
    </row>
    <row r="653" spans="1:50" x14ac:dyDescent="0.3">
      <c r="A653" t="s">
        <v>44</v>
      </c>
      <c r="B653">
        <v>1169</v>
      </c>
      <c r="D653">
        <v>3702</v>
      </c>
      <c r="E653" t="s">
        <v>6112</v>
      </c>
      <c r="G653" t="s">
        <v>6113</v>
      </c>
      <c r="H653">
        <v>29795322000156</v>
      </c>
      <c r="J653" t="s">
        <v>6114</v>
      </c>
      <c r="K653" t="s">
        <v>6115</v>
      </c>
      <c r="M653" t="s">
        <v>6116</v>
      </c>
      <c r="Q653" t="s">
        <v>1094</v>
      </c>
      <c r="R653" t="s">
        <v>790</v>
      </c>
      <c r="S653" t="s">
        <v>2541</v>
      </c>
      <c r="V653" t="s">
        <v>5650</v>
      </c>
      <c r="W653" t="s">
        <v>780</v>
      </c>
      <c r="X653" t="s">
        <v>897</v>
      </c>
      <c r="Z653" s="31"/>
      <c r="AC653">
        <v>11</v>
      </c>
      <c r="AD653" t="s">
        <v>22</v>
      </c>
      <c r="AE653" s="31">
        <v>46146</v>
      </c>
      <c r="AF653" s="61">
        <v>0.34650462962962958</v>
      </c>
      <c r="AH653" t="s">
        <v>795</v>
      </c>
      <c r="AI653" s="31">
        <v>46157</v>
      </c>
      <c r="AJ653" s="61">
        <v>0.68731481481481482</v>
      </c>
      <c r="AK653" t="s">
        <v>5657</v>
      </c>
      <c r="AL653" t="s">
        <v>6117</v>
      </c>
      <c r="AO653" t="s">
        <v>44</v>
      </c>
      <c r="AR653" s="31">
        <v>46157</v>
      </c>
      <c r="AS653">
        <v>31</v>
      </c>
      <c r="AX653">
        <v>1</v>
      </c>
    </row>
    <row r="654" spans="1:50" x14ac:dyDescent="0.3">
      <c r="A654" t="s">
        <v>44</v>
      </c>
      <c r="B654">
        <v>1170</v>
      </c>
      <c r="D654">
        <v>3704</v>
      </c>
      <c r="E654" t="s">
        <v>6118</v>
      </c>
      <c r="G654" t="s">
        <v>6119</v>
      </c>
      <c r="J654" t="s">
        <v>6120</v>
      </c>
      <c r="K654" t="s">
        <v>6121</v>
      </c>
      <c r="M654" t="s">
        <v>6122</v>
      </c>
      <c r="Q654" t="s">
        <v>923</v>
      </c>
      <c r="S654" t="s">
        <v>814</v>
      </c>
      <c r="V654" t="s">
        <v>5655</v>
      </c>
      <c r="W654" t="s">
        <v>780</v>
      </c>
      <c r="X654" t="s">
        <v>897</v>
      </c>
      <c r="Z654" s="31"/>
      <c r="AC654">
        <v>11</v>
      </c>
      <c r="AD654" t="s">
        <v>22</v>
      </c>
      <c r="AE654" s="31">
        <v>46146</v>
      </c>
      <c r="AF654" s="61">
        <v>0.34758101851851853</v>
      </c>
      <c r="AH654" t="s">
        <v>795</v>
      </c>
      <c r="AI654" s="31">
        <v>46157</v>
      </c>
      <c r="AJ654" s="61">
        <v>0.68228009259259259</v>
      </c>
      <c r="AK654" t="s">
        <v>934</v>
      </c>
      <c r="AL654" t="s">
        <v>6123</v>
      </c>
      <c r="AO654" t="s">
        <v>44</v>
      </c>
      <c r="AR654" s="31">
        <v>46157</v>
      </c>
      <c r="AS654">
        <v>30</v>
      </c>
      <c r="AX654">
        <v>1</v>
      </c>
    </row>
    <row r="655" spans="1:50" x14ac:dyDescent="0.3">
      <c r="A655" t="s">
        <v>142</v>
      </c>
      <c r="B655">
        <v>1171</v>
      </c>
      <c r="D655">
        <v>3705</v>
      </c>
      <c r="E655" t="s">
        <v>6124</v>
      </c>
      <c r="G655" t="s">
        <v>6125</v>
      </c>
      <c r="J655" t="s">
        <v>6126</v>
      </c>
      <c r="K655" t="s">
        <v>6127</v>
      </c>
      <c r="M655" t="s">
        <v>6128</v>
      </c>
      <c r="S655" t="s">
        <v>2541</v>
      </c>
      <c r="V655" t="s">
        <v>5650</v>
      </c>
      <c r="W655" t="s">
        <v>780</v>
      </c>
      <c r="X655" t="s">
        <v>897</v>
      </c>
      <c r="Z655" s="31"/>
      <c r="AC655">
        <v>14</v>
      </c>
      <c r="AD655" t="s">
        <v>22</v>
      </c>
      <c r="AE655" s="31">
        <v>46146</v>
      </c>
      <c r="AF655" s="61">
        <v>0.34806712962962971</v>
      </c>
      <c r="AH655" t="s">
        <v>795</v>
      </c>
      <c r="AI655" s="31">
        <v>46160</v>
      </c>
      <c r="AJ655" s="61">
        <v>0.3971527777777778</v>
      </c>
      <c r="AK655" t="s">
        <v>5657</v>
      </c>
      <c r="AL655" t="s">
        <v>6129</v>
      </c>
      <c r="AO655" t="s">
        <v>142</v>
      </c>
      <c r="AR655" s="31">
        <v>46153</v>
      </c>
      <c r="AS655">
        <v>30</v>
      </c>
      <c r="AX655">
        <v>1</v>
      </c>
    </row>
    <row r="656" spans="1:50" x14ac:dyDescent="0.3">
      <c r="A656" t="s">
        <v>142</v>
      </c>
      <c r="B656">
        <v>1172</v>
      </c>
      <c r="D656">
        <v>3706</v>
      </c>
      <c r="E656" t="s">
        <v>6130</v>
      </c>
      <c r="G656" t="s">
        <v>6131</v>
      </c>
      <c r="H656">
        <v>32268865000391</v>
      </c>
      <c r="J656" t="s">
        <v>6132</v>
      </c>
      <c r="K656" t="s">
        <v>6133</v>
      </c>
      <c r="M656" t="s">
        <v>6134</v>
      </c>
      <c r="S656" t="s">
        <v>2541</v>
      </c>
      <c r="V656" t="s">
        <v>5650</v>
      </c>
      <c r="W656" t="s">
        <v>780</v>
      </c>
      <c r="X656" t="s">
        <v>897</v>
      </c>
      <c r="Z656" s="31"/>
      <c r="AC656">
        <v>16</v>
      </c>
      <c r="AD656" t="s">
        <v>22</v>
      </c>
      <c r="AE656" s="31">
        <v>46146</v>
      </c>
      <c r="AF656" s="61">
        <v>0.34863425925925928</v>
      </c>
      <c r="AH656" t="s">
        <v>782</v>
      </c>
      <c r="AI656" s="31"/>
      <c r="AJ656" s="61"/>
      <c r="AO656" t="s">
        <v>142</v>
      </c>
      <c r="AR656" s="31">
        <v>46153</v>
      </c>
      <c r="AS656">
        <v>30</v>
      </c>
      <c r="AX656">
        <v>1</v>
      </c>
    </row>
    <row r="657" spans="1:50" x14ac:dyDescent="0.3">
      <c r="A657" t="s">
        <v>44</v>
      </c>
      <c r="B657">
        <v>1173</v>
      </c>
      <c r="D657">
        <v>3707</v>
      </c>
      <c r="E657" t="s">
        <v>6135</v>
      </c>
      <c r="G657" t="s">
        <v>6136</v>
      </c>
      <c r="H657">
        <v>1784943000115</v>
      </c>
      <c r="J657" t="s">
        <v>6137</v>
      </c>
      <c r="K657" t="s">
        <v>6138</v>
      </c>
      <c r="M657" t="s">
        <v>6139</v>
      </c>
      <c r="R657" t="s">
        <v>2390</v>
      </c>
      <c r="S657" t="s">
        <v>1191</v>
      </c>
      <c r="V657" t="s">
        <v>5650</v>
      </c>
      <c r="W657" t="s">
        <v>780</v>
      </c>
      <c r="X657" t="s">
        <v>897</v>
      </c>
      <c r="Z657" s="31"/>
      <c r="AC657">
        <v>16</v>
      </c>
      <c r="AD657" t="s">
        <v>22</v>
      </c>
      <c r="AE657" s="31">
        <v>46146</v>
      </c>
      <c r="AF657" s="61">
        <v>0.34932870370370372</v>
      </c>
      <c r="AH657" t="s">
        <v>782</v>
      </c>
      <c r="AI657" s="31"/>
      <c r="AJ657" s="61"/>
      <c r="AO657" t="s">
        <v>44</v>
      </c>
      <c r="AR657" s="31">
        <v>46157</v>
      </c>
      <c r="AS657">
        <v>30</v>
      </c>
      <c r="AX657">
        <v>1</v>
      </c>
    </row>
    <row r="658" spans="1:50" x14ac:dyDescent="0.3">
      <c r="A658" t="s">
        <v>142</v>
      </c>
      <c r="B658">
        <v>1174</v>
      </c>
      <c r="D658">
        <v>3708</v>
      </c>
      <c r="E658" t="s">
        <v>6140</v>
      </c>
      <c r="G658" t="s">
        <v>6141</v>
      </c>
      <c r="H658">
        <v>10667844000144</v>
      </c>
      <c r="J658" t="s">
        <v>6142</v>
      </c>
      <c r="K658" t="s">
        <v>6143</v>
      </c>
      <c r="M658" t="s">
        <v>6144</v>
      </c>
      <c r="S658" t="s">
        <v>2541</v>
      </c>
      <c r="V658" t="s">
        <v>5650</v>
      </c>
      <c r="W658" t="s">
        <v>780</v>
      </c>
      <c r="X658" t="s">
        <v>897</v>
      </c>
      <c r="Z658" s="31"/>
      <c r="AC658">
        <v>16</v>
      </c>
      <c r="AD658" t="s">
        <v>22</v>
      </c>
      <c r="AE658" s="31">
        <v>46146</v>
      </c>
      <c r="AF658" s="61">
        <v>0.34989583333333341</v>
      </c>
      <c r="AH658" t="s">
        <v>782</v>
      </c>
      <c r="AI658" s="31"/>
      <c r="AJ658" s="61"/>
      <c r="AO658" t="s">
        <v>142</v>
      </c>
      <c r="AR658" s="31">
        <v>46153</v>
      </c>
      <c r="AS658">
        <v>30</v>
      </c>
      <c r="AX658">
        <v>1</v>
      </c>
    </row>
    <row r="659" spans="1:50" x14ac:dyDescent="0.3">
      <c r="A659" t="s">
        <v>142</v>
      </c>
      <c r="B659">
        <v>1175</v>
      </c>
      <c r="C659">
        <v>213</v>
      </c>
      <c r="D659">
        <v>3714</v>
      </c>
      <c r="E659" t="s">
        <v>6145</v>
      </c>
      <c r="G659" t="s">
        <v>6146</v>
      </c>
      <c r="H659">
        <v>3670607000177</v>
      </c>
      <c r="I659" t="s">
        <v>6147</v>
      </c>
      <c r="J659" t="s">
        <v>6148</v>
      </c>
      <c r="K659" t="s">
        <v>6149</v>
      </c>
      <c r="L659" t="s">
        <v>6150</v>
      </c>
      <c r="M659" t="s">
        <v>6151</v>
      </c>
      <c r="N659" t="s">
        <v>1102</v>
      </c>
      <c r="P659" t="s">
        <v>6152</v>
      </c>
      <c r="Q659" t="s">
        <v>6153</v>
      </c>
      <c r="R659" t="s">
        <v>790</v>
      </c>
      <c r="S659" t="s">
        <v>791</v>
      </c>
      <c r="T659" t="s">
        <v>791</v>
      </c>
      <c r="V659" t="s">
        <v>3015</v>
      </c>
      <c r="W659" t="s">
        <v>780</v>
      </c>
      <c r="X659" t="s">
        <v>897</v>
      </c>
      <c r="Z659" s="31"/>
      <c r="AC659">
        <v>16</v>
      </c>
      <c r="AD659" t="s">
        <v>22</v>
      </c>
      <c r="AE659" s="31">
        <v>46146</v>
      </c>
      <c r="AF659" s="61">
        <v>0.36387731481481478</v>
      </c>
      <c r="AH659" t="s">
        <v>782</v>
      </c>
      <c r="AI659" s="31"/>
      <c r="AJ659" s="61"/>
      <c r="AO659" t="s">
        <v>142</v>
      </c>
      <c r="AR659" s="31">
        <v>46153</v>
      </c>
      <c r="AS659">
        <v>30</v>
      </c>
      <c r="AX659">
        <v>1</v>
      </c>
    </row>
    <row r="660" spans="1:50" x14ac:dyDescent="0.3">
      <c r="A660" t="s">
        <v>31</v>
      </c>
      <c r="B660">
        <v>1176</v>
      </c>
      <c r="D660">
        <v>3716</v>
      </c>
      <c r="G660" t="s">
        <v>6154</v>
      </c>
      <c r="H660">
        <v>52696640000181</v>
      </c>
      <c r="J660" t="s">
        <v>6155</v>
      </c>
      <c r="K660" t="s">
        <v>6156</v>
      </c>
      <c r="M660" t="s">
        <v>6157</v>
      </c>
      <c r="Q660" t="s">
        <v>6158</v>
      </c>
      <c r="R660" t="s">
        <v>790</v>
      </c>
      <c r="S660" t="s">
        <v>814</v>
      </c>
      <c r="V660" t="s">
        <v>5690</v>
      </c>
      <c r="W660" t="s">
        <v>780</v>
      </c>
      <c r="X660" t="s">
        <v>897</v>
      </c>
      <c r="Z660" s="31"/>
      <c r="AC660">
        <v>4</v>
      </c>
      <c r="AD660" t="s">
        <v>22</v>
      </c>
      <c r="AE660" s="31">
        <v>46146</v>
      </c>
      <c r="AF660" s="61">
        <v>0.65692129629629625</v>
      </c>
      <c r="AH660" t="s">
        <v>795</v>
      </c>
      <c r="AI660" s="31">
        <v>46150</v>
      </c>
      <c r="AJ660" s="61">
        <v>0.50641203703703708</v>
      </c>
      <c r="AK660" t="s">
        <v>5392</v>
      </c>
      <c r="AO660" t="s">
        <v>31</v>
      </c>
      <c r="AR660" s="31">
        <v>46147</v>
      </c>
      <c r="AS660">
        <v>30</v>
      </c>
      <c r="AX660">
        <v>1</v>
      </c>
    </row>
    <row r="661" spans="1:50" x14ac:dyDescent="0.3">
      <c r="A661" t="s">
        <v>44</v>
      </c>
      <c r="B661">
        <v>1177</v>
      </c>
      <c r="D661">
        <v>3732</v>
      </c>
      <c r="G661" t="s">
        <v>238</v>
      </c>
      <c r="H661">
        <v>36356922000183</v>
      </c>
      <c r="J661" t="s">
        <v>6159</v>
      </c>
      <c r="K661" t="s">
        <v>6160</v>
      </c>
      <c r="M661" t="s">
        <v>6161</v>
      </c>
      <c r="Q661" t="s">
        <v>1094</v>
      </c>
      <c r="R661" t="s">
        <v>790</v>
      </c>
      <c r="W661" t="s">
        <v>780</v>
      </c>
      <c r="X661" t="s">
        <v>816</v>
      </c>
      <c r="Z661" s="31"/>
      <c r="AA661">
        <v>694512</v>
      </c>
      <c r="AB661">
        <v>201348</v>
      </c>
      <c r="AC661">
        <v>14</v>
      </c>
      <c r="AD661" t="s">
        <v>44</v>
      </c>
      <c r="AE661" s="31">
        <v>46147</v>
      </c>
      <c r="AF661" s="61">
        <v>0.70638888888888884</v>
      </c>
      <c r="AH661" t="s">
        <v>818</v>
      </c>
      <c r="AI661" s="31">
        <v>46161</v>
      </c>
      <c r="AJ661" s="61">
        <v>0.6031481481481481</v>
      </c>
      <c r="AN661" t="s">
        <v>6162</v>
      </c>
      <c r="AP661" t="s">
        <v>5679</v>
      </c>
      <c r="AQ661" t="s">
        <v>6162</v>
      </c>
      <c r="AR661" s="31"/>
      <c r="AS661">
        <v>50</v>
      </c>
      <c r="AX661">
        <v>1</v>
      </c>
    </row>
    <row r="662" spans="1:50" x14ac:dyDescent="0.3">
      <c r="A662" t="s">
        <v>142</v>
      </c>
      <c r="B662">
        <v>1178</v>
      </c>
      <c r="C662">
        <v>263</v>
      </c>
      <c r="D662">
        <v>3734</v>
      </c>
      <c r="E662" t="s">
        <v>6163</v>
      </c>
      <c r="G662" t="s">
        <v>6164</v>
      </c>
      <c r="H662">
        <v>20718183000192</v>
      </c>
      <c r="I662" t="s">
        <v>6165</v>
      </c>
      <c r="J662" t="s">
        <v>6166</v>
      </c>
      <c r="K662" t="s">
        <v>6167</v>
      </c>
      <c r="M662" t="s">
        <v>6168</v>
      </c>
      <c r="N662" t="s">
        <v>1102</v>
      </c>
      <c r="P662" t="s">
        <v>6169</v>
      </c>
      <c r="Q662" t="s">
        <v>1837</v>
      </c>
      <c r="R662" t="s">
        <v>790</v>
      </c>
      <c r="V662" t="s">
        <v>3015</v>
      </c>
      <c r="W662" t="s">
        <v>780</v>
      </c>
      <c r="X662" t="s">
        <v>897</v>
      </c>
      <c r="Z662" s="31"/>
      <c r="AC662">
        <v>15</v>
      </c>
      <c r="AD662" t="s">
        <v>142</v>
      </c>
      <c r="AE662" s="31">
        <v>46147</v>
      </c>
      <c r="AF662" s="61">
        <v>0.72585648148148152</v>
      </c>
      <c r="AH662" t="s">
        <v>782</v>
      </c>
      <c r="AI662" s="31"/>
      <c r="AJ662" s="61"/>
      <c r="AR662" s="31">
        <v>46153</v>
      </c>
      <c r="AS662">
        <v>30</v>
      </c>
      <c r="AX662">
        <v>1</v>
      </c>
    </row>
    <row r="663" spans="1:50" x14ac:dyDescent="0.3">
      <c r="A663" t="s">
        <v>142</v>
      </c>
      <c r="B663">
        <v>1179</v>
      </c>
      <c r="D663">
        <v>3735</v>
      </c>
      <c r="E663" t="s">
        <v>6170</v>
      </c>
      <c r="G663" t="s">
        <v>6171</v>
      </c>
      <c r="J663" t="s">
        <v>6172</v>
      </c>
      <c r="K663" t="s">
        <v>6173</v>
      </c>
      <c r="M663" t="s">
        <v>6174</v>
      </c>
      <c r="S663" t="s">
        <v>2541</v>
      </c>
      <c r="V663" t="s">
        <v>5650</v>
      </c>
      <c r="W663" t="s">
        <v>780</v>
      </c>
      <c r="X663" t="s">
        <v>897</v>
      </c>
      <c r="Z663" s="31"/>
      <c r="AC663">
        <v>12</v>
      </c>
      <c r="AD663" t="s">
        <v>22</v>
      </c>
      <c r="AE663" s="31">
        <v>46148</v>
      </c>
      <c r="AF663" s="61">
        <v>0.13541666666666671</v>
      </c>
      <c r="AH663" t="s">
        <v>795</v>
      </c>
      <c r="AI663" s="31">
        <v>46160</v>
      </c>
      <c r="AJ663" s="61">
        <v>0.42246527777777781</v>
      </c>
      <c r="AK663" t="s">
        <v>5657</v>
      </c>
      <c r="AL663" t="s">
        <v>6175</v>
      </c>
      <c r="AO663" t="s">
        <v>142</v>
      </c>
      <c r="AR663" s="31">
        <v>46153</v>
      </c>
      <c r="AS663">
        <v>30</v>
      </c>
      <c r="AX663">
        <v>1</v>
      </c>
    </row>
    <row r="664" spans="1:50" x14ac:dyDescent="0.3">
      <c r="A664" t="s">
        <v>142</v>
      </c>
      <c r="B664">
        <v>1180</v>
      </c>
      <c r="D664">
        <v>3718</v>
      </c>
      <c r="E664" t="s">
        <v>6176</v>
      </c>
      <c r="G664" t="s">
        <v>228</v>
      </c>
      <c r="H664">
        <v>4184739000151</v>
      </c>
      <c r="J664" t="s">
        <v>6177</v>
      </c>
      <c r="K664" t="s">
        <v>6178</v>
      </c>
      <c r="M664" t="s">
        <v>6179</v>
      </c>
      <c r="R664" t="s">
        <v>6180</v>
      </c>
      <c r="S664" t="s">
        <v>1191</v>
      </c>
      <c r="V664" t="s">
        <v>5650</v>
      </c>
      <c r="W664" t="s">
        <v>780</v>
      </c>
      <c r="X664" t="s">
        <v>807</v>
      </c>
      <c r="Z664" s="31"/>
      <c r="AA664">
        <v>8585802</v>
      </c>
      <c r="AC664">
        <v>14</v>
      </c>
      <c r="AD664" t="s">
        <v>22</v>
      </c>
      <c r="AE664" s="31">
        <v>46148</v>
      </c>
      <c r="AF664" s="61">
        <v>0.13666666666666669</v>
      </c>
      <c r="AH664" t="s">
        <v>782</v>
      </c>
      <c r="AI664" s="31"/>
      <c r="AJ664" s="61"/>
      <c r="AN664" t="s">
        <v>6162</v>
      </c>
      <c r="AO664" t="s">
        <v>142</v>
      </c>
      <c r="AP664" t="s">
        <v>6181</v>
      </c>
      <c r="AR664" s="31">
        <v>46154</v>
      </c>
      <c r="AS664">
        <v>50</v>
      </c>
      <c r="AU664" t="s">
        <v>3142</v>
      </c>
      <c r="AX664">
        <v>1</v>
      </c>
    </row>
    <row r="665" spans="1:50" x14ac:dyDescent="0.3">
      <c r="A665" t="s">
        <v>142</v>
      </c>
      <c r="B665">
        <v>1181</v>
      </c>
      <c r="D665">
        <v>3720</v>
      </c>
      <c r="E665" t="s">
        <v>6182</v>
      </c>
      <c r="G665" t="s">
        <v>6183</v>
      </c>
      <c r="J665" t="s">
        <v>6184</v>
      </c>
      <c r="K665" t="s">
        <v>6185</v>
      </c>
      <c r="M665" t="s">
        <v>6186</v>
      </c>
      <c r="R665" t="s">
        <v>6187</v>
      </c>
      <c r="S665" t="s">
        <v>1191</v>
      </c>
      <c r="V665" t="s">
        <v>5650</v>
      </c>
      <c r="W665" t="s">
        <v>780</v>
      </c>
      <c r="X665" t="s">
        <v>897</v>
      </c>
      <c r="Z665" s="31"/>
      <c r="AC665">
        <v>14</v>
      </c>
      <c r="AD665" t="s">
        <v>22</v>
      </c>
      <c r="AE665" s="31">
        <v>46148</v>
      </c>
      <c r="AF665" s="61">
        <v>0.13746527777777781</v>
      </c>
      <c r="AH665" t="s">
        <v>782</v>
      </c>
      <c r="AI665" s="31"/>
      <c r="AJ665" s="61"/>
      <c r="AO665" t="s">
        <v>142</v>
      </c>
      <c r="AR665" s="31"/>
      <c r="AS665">
        <v>30</v>
      </c>
      <c r="AX665">
        <v>1</v>
      </c>
    </row>
    <row r="666" spans="1:50" x14ac:dyDescent="0.3">
      <c r="A666" t="s">
        <v>142</v>
      </c>
      <c r="B666">
        <v>1184</v>
      </c>
      <c r="D666">
        <v>3737</v>
      </c>
      <c r="E666" t="s">
        <v>6188</v>
      </c>
      <c r="G666" t="s">
        <v>6189</v>
      </c>
      <c r="J666" t="s">
        <v>6190</v>
      </c>
      <c r="K666" t="s">
        <v>6191</v>
      </c>
      <c r="M666" t="s">
        <v>6192</v>
      </c>
      <c r="S666" t="s">
        <v>2541</v>
      </c>
      <c r="V666" t="s">
        <v>5631</v>
      </c>
      <c r="W666" t="s">
        <v>780</v>
      </c>
      <c r="X666" t="s">
        <v>897</v>
      </c>
      <c r="Z666" s="31"/>
      <c r="AC666">
        <v>0</v>
      </c>
      <c r="AD666" t="s">
        <v>22</v>
      </c>
      <c r="AE666" s="31">
        <v>46149</v>
      </c>
      <c r="AF666" s="61">
        <v>0.36103009259259261</v>
      </c>
      <c r="AH666" t="s">
        <v>795</v>
      </c>
      <c r="AI666" s="31">
        <v>46149</v>
      </c>
      <c r="AJ666" s="61">
        <v>0.59810185185185183</v>
      </c>
      <c r="AK666" t="s">
        <v>5392</v>
      </c>
      <c r="AL666" t="s">
        <v>6193</v>
      </c>
      <c r="AO666" t="s">
        <v>142</v>
      </c>
      <c r="AR666" s="31"/>
      <c r="AS666">
        <v>30</v>
      </c>
      <c r="AX666">
        <v>1</v>
      </c>
    </row>
    <row r="667" spans="1:50" x14ac:dyDescent="0.3">
      <c r="A667" t="s">
        <v>44</v>
      </c>
      <c r="B667">
        <v>1185</v>
      </c>
      <c r="D667">
        <v>3741</v>
      </c>
      <c r="E667" t="s">
        <v>6194</v>
      </c>
      <c r="G667" t="s">
        <v>6195</v>
      </c>
      <c r="H667">
        <v>40904398000105</v>
      </c>
      <c r="J667" t="s">
        <v>6196</v>
      </c>
      <c r="K667" t="s">
        <v>6197</v>
      </c>
      <c r="M667" t="s">
        <v>6198</v>
      </c>
      <c r="R667" t="s">
        <v>6199</v>
      </c>
      <c r="S667" t="s">
        <v>1191</v>
      </c>
      <c r="V667" t="s">
        <v>5650</v>
      </c>
      <c r="W667" t="s">
        <v>780</v>
      </c>
      <c r="X667" t="s">
        <v>897</v>
      </c>
      <c r="Z667" s="31"/>
      <c r="AC667">
        <v>7</v>
      </c>
      <c r="AD667" t="s">
        <v>22</v>
      </c>
      <c r="AE667" s="31">
        <v>46149</v>
      </c>
      <c r="AF667" s="61">
        <v>0.36248842592592601</v>
      </c>
      <c r="AH667" t="s">
        <v>795</v>
      </c>
      <c r="AI667" s="31">
        <v>46156</v>
      </c>
      <c r="AJ667" s="61">
        <v>0.65326388888888887</v>
      </c>
      <c r="AK667" t="s">
        <v>5657</v>
      </c>
      <c r="AL667" t="s">
        <v>6200</v>
      </c>
      <c r="AO667" t="s">
        <v>44</v>
      </c>
      <c r="AR667" s="31">
        <v>46156</v>
      </c>
      <c r="AS667">
        <v>30</v>
      </c>
      <c r="AX667">
        <v>1</v>
      </c>
    </row>
    <row r="668" spans="1:50" x14ac:dyDescent="0.3">
      <c r="A668" t="s">
        <v>22</v>
      </c>
      <c r="B668">
        <v>1186</v>
      </c>
      <c r="D668">
        <v>3745</v>
      </c>
      <c r="G668" t="s">
        <v>6201</v>
      </c>
      <c r="H668">
        <v>62956379000165</v>
      </c>
      <c r="J668" t="s">
        <v>6202</v>
      </c>
      <c r="K668" t="s">
        <v>6203</v>
      </c>
      <c r="M668" t="s">
        <v>6204</v>
      </c>
      <c r="Q668" t="s">
        <v>1837</v>
      </c>
      <c r="R668" t="s">
        <v>790</v>
      </c>
      <c r="S668" t="s">
        <v>1191</v>
      </c>
      <c r="V668" t="s">
        <v>5650</v>
      </c>
      <c r="W668" t="s">
        <v>780</v>
      </c>
      <c r="X668" t="s">
        <v>857</v>
      </c>
      <c r="Z668" s="31">
        <v>46173</v>
      </c>
      <c r="AC668">
        <v>13</v>
      </c>
      <c r="AD668" t="s">
        <v>22</v>
      </c>
      <c r="AE668" s="31">
        <v>46149</v>
      </c>
      <c r="AF668" s="61">
        <v>0.36364583333333328</v>
      </c>
      <c r="AH668" t="s">
        <v>782</v>
      </c>
      <c r="AI668" s="31"/>
      <c r="AJ668" s="61"/>
      <c r="AO668" t="s">
        <v>22</v>
      </c>
      <c r="AR668" s="31">
        <v>46160</v>
      </c>
      <c r="AS668">
        <v>30</v>
      </c>
      <c r="AT668" t="s">
        <v>6205</v>
      </c>
      <c r="AX668">
        <v>1</v>
      </c>
    </row>
    <row r="669" spans="1:50" x14ac:dyDescent="0.3">
      <c r="A669" t="s">
        <v>31</v>
      </c>
      <c r="B669">
        <v>1187</v>
      </c>
      <c r="D669">
        <v>3744</v>
      </c>
      <c r="E669" t="s">
        <v>6206</v>
      </c>
      <c r="G669" t="s">
        <v>6207</v>
      </c>
      <c r="J669" t="s">
        <v>2653</v>
      </c>
      <c r="M669" t="s">
        <v>6208</v>
      </c>
      <c r="Q669" t="s">
        <v>6209</v>
      </c>
      <c r="S669" t="s">
        <v>1191</v>
      </c>
      <c r="V669" t="s">
        <v>6082</v>
      </c>
      <c r="W669" t="s">
        <v>780</v>
      </c>
      <c r="X669" t="s">
        <v>781</v>
      </c>
      <c r="Z669" s="31"/>
      <c r="AC669">
        <v>0</v>
      </c>
      <c r="AD669" t="s">
        <v>22</v>
      </c>
      <c r="AE669" s="31">
        <v>46149</v>
      </c>
      <c r="AF669" s="61">
        <v>0.36506944444444439</v>
      </c>
      <c r="AH669" t="s">
        <v>795</v>
      </c>
      <c r="AI669" s="31">
        <v>46149</v>
      </c>
      <c r="AJ669" s="61">
        <v>0.41206018518518522</v>
      </c>
      <c r="AK669" t="s">
        <v>5392</v>
      </c>
      <c r="AO669" t="s">
        <v>31</v>
      </c>
      <c r="AR669" s="31"/>
      <c r="AS669">
        <v>30</v>
      </c>
      <c r="AX669">
        <v>1</v>
      </c>
    </row>
    <row r="670" spans="1:50" x14ac:dyDescent="0.3">
      <c r="A670" t="s">
        <v>31</v>
      </c>
      <c r="B670">
        <v>1188</v>
      </c>
      <c r="D670">
        <v>3743</v>
      </c>
      <c r="G670" t="s">
        <v>6210</v>
      </c>
      <c r="J670" t="s">
        <v>6211</v>
      </c>
      <c r="K670" t="s">
        <v>6212</v>
      </c>
      <c r="M670" t="s">
        <v>6213</v>
      </c>
      <c r="S670" t="s">
        <v>2541</v>
      </c>
      <c r="V670" t="s">
        <v>5650</v>
      </c>
      <c r="W670" t="s">
        <v>780</v>
      </c>
      <c r="X670" t="s">
        <v>781</v>
      </c>
      <c r="Z670" s="31">
        <v>46173</v>
      </c>
      <c r="AC670">
        <v>2</v>
      </c>
      <c r="AD670" t="s">
        <v>22</v>
      </c>
      <c r="AE670" s="31">
        <v>46149</v>
      </c>
      <c r="AF670" s="61">
        <v>0.3661921296296296</v>
      </c>
      <c r="AH670" t="s">
        <v>795</v>
      </c>
      <c r="AI670" s="31">
        <v>46151</v>
      </c>
      <c r="AJ670" s="61">
        <v>0.37094907407407413</v>
      </c>
      <c r="AK670" t="s">
        <v>5419</v>
      </c>
      <c r="AO670" t="s">
        <v>31</v>
      </c>
      <c r="AR670" s="31"/>
      <c r="AS670">
        <v>30</v>
      </c>
      <c r="AX670">
        <v>1</v>
      </c>
    </row>
    <row r="671" spans="1:50" x14ac:dyDescent="0.3">
      <c r="A671" t="s">
        <v>44</v>
      </c>
      <c r="B671">
        <v>1189</v>
      </c>
      <c r="D671">
        <v>3742</v>
      </c>
      <c r="E671" t="s">
        <v>6214</v>
      </c>
      <c r="G671" t="s">
        <v>6215</v>
      </c>
      <c r="J671" t="s">
        <v>6216</v>
      </c>
      <c r="K671" t="s">
        <v>6217</v>
      </c>
      <c r="M671" t="s">
        <v>6218</v>
      </c>
      <c r="R671" t="s">
        <v>6219</v>
      </c>
      <c r="S671" t="s">
        <v>1191</v>
      </c>
      <c r="V671" t="s">
        <v>5631</v>
      </c>
      <c r="W671" t="s">
        <v>780</v>
      </c>
      <c r="X671" t="s">
        <v>897</v>
      </c>
      <c r="Z671" s="31"/>
      <c r="AC671">
        <v>7</v>
      </c>
      <c r="AD671" t="s">
        <v>22</v>
      </c>
      <c r="AE671" s="31">
        <v>46149</v>
      </c>
      <c r="AF671" s="61">
        <v>0.36724537037037042</v>
      </c>
      <c r="AH671" t="s">
        <v>795</v>
      </c>
      <c r="AI671" s="31">
        <v>46156</v>
      </c>
      <c r="AJ671" s="61">
        <v>0.6507060185185185</v>
      </c>
      <c r="AK671" t="s">
        <v>6111</v>
      </c>
      <c r="AL671" t="s">
        <v>6220</v>
      </c>
      <c r="AO671" t="s">
        <v>44</v>
      </c>
      <c r="AR671" s="31">
        <v>46156</v>
      </c>
      <c r="AS671">
        <v>30</v>
      </c>
      <c r="AX671">
        <v>1</v>
      </c>
    </row>
    <row r="672" spans="1:50" x14ac:dyDescent="0.3">
      <c r="A672" t="s">
        <v>142</v>
      </c>
      <c r="B672">
        <v>1190</v>
      </c>
      <c r="C672">
        <v>276</v>
      </c>
      <c r="D672">
        <v>3748</v>
      </c>
      <c r="E672" t="s">
        <v>6221</v>
      </c>
      <c r="G672" t="s">
        <v>224</v>
      </c>
      <c r="H672">
        <v>15338344000182</v>
      </c>
      <c r="I672" t="s">
        <v>6222</v>
      </c>
      <c r="J672" t="s">
        <v>6223</v>
      </c>
      <c r="K672" t="s">
        <v>6224</v>
      </c>
      <c r="M672" t="s">
        <v>6225</v>
      </c>
      <c r="N672" t="s">
        <v>1102</v>
      </c>
      <c r="P672" t="s">
        <v>6226</v>
      </c>
      <c r="Q672" t="s">
        <v>6227</v>
      </c>
      <c r="R672" t="s">
        <v>1105</v>
      </c>
      <c r="V672" t="s">
        <v>3015</v>
      </c>
      <c r="W672" t="s">
        <v>780</v>
      </c>
      <c r="X672" t="s">
        <v>857</v>
      </c>
      <c r="Z672" s="31"/>
      <c r="AC672">
        <v>7</v>
      </c>
      <c r="AD672" t="s">
        <v>142</v>
      </c>
      <c r="AE672" s="31">
        <v>46149</v>
      </c>
      <c r="AF672" s="61">
        <v>0.50417824074074069</v>
      </c>
      <c r="AH672" t="s">
        <v>795</v>
      </c>
      <c r="AI672" s="31">
        <v>46156</v>
      </c>
      <c r="AJ672" s="61">
        <v>0.3395023148148148</v>
      </c>
      <c r="AK672" t="s">
        <v>5338</v>
      </c>
      <c r="AL672" t="s">
        <v>6228</v>
      </c>
      <c r="AP672" t="s">
        <v>6229</v>
      </c>
      <c r="AR672" s="31"/>
      <c r="AS672">
        <v>30</v>
      </c>
      <c r="AX672">
        <v>1</v>
      </c>
    </row>
    <row r="673" spans="1:50" x14ac:dyDescent="0.3">
      <c r="A673" t="s">
        <v>31</v>
      </c>
      <c r="B673">
        <v>1191</v>
      </c>
      <c r="D673">
        <v>3749</v>
      </c>
      <c r="G673" t="s">
        <v>252</v>
      </c>
      <c r="H673">
        <v>8333878000150</v>
      </c>
      <c r="J673" t="s">
        <v>3595</v>
      </c>
      <c r="K673" t="s">
        <v>6230</v>
      </c>
      <c r="M673" t="s">
        <v>6231</v>
      </c>
      <c r="Q673" t="s">
        <v>6232</v>
      </c>
      <c r="R673" t="s">
        <v>790</v>
      </c>
      <c r="W673" t="s">
        <v>780</v>
      </c>
      <c r="X673" t="s">
        <v>857</v>
      </c>
      <c r="Z673" s="31"/>
      <c r="AC673">
        <v>13</v>
      </c>
      <c r="AD673" t="s">
        <v>31</v>
      </c>
      <c r="AE673" s="31">
        <v>46149</v>
      </c>
      <c r="AF673" s="61">
        <v>0.69357638888888884</v>
      </c>
      <c r="AH673" t="s">
        <v>782</v>
      </c>
      <c r="AI673" s="31"/>
      <c r="AJ673" s="61"/>
      <c r="AN673" t="s">
        <v>6233</v>
      </c>
      <c r="AO673" t="s">
        <v>31</v>
      </c>
      <c r="AR673" s="31">
        <v>46155</v>
      </c>
      <c r="AS673">
        <v>30</v>
      </c>
      <c r="AU673" t="s">
        <v>47</v>
      </c>
      <c r="AX673">
        <v>1</v>
      </c>
    </row>
    <row r="674" spans="1:50" x14ac:dyDescent="0.3">
      <c r="A674" t="s">
        <v>142</v>
      </c>
      <c r="B674">
        <v>1192</v>
      </c>
      <c r="C674">
        <v>273</v>
      </c>
      <c r="D674">
        <v>3754</v>
      </c>
      <c r="E674" t="s">
        <v>6234</v>
      </c>
      <c r="G674" t="s">
        <v>232</v>
      </c>
      <c r="H674">
        <v>40220751000138</v>
      </c>
      <c r="I674" t="s">
        <v>6235</v>
      </c>
      <c r="J674" t="s">
        <v>6236</v>
      </c>
      <c r="K674" t="s">
        <v>6237</v>
      </c>
      <c r="M674" t="s">
        <v>6238</v>
      </c>
      <c r="N674" t="s">
        <v>1102</v>
      </c>
      <c r="P674" t="s">
        <v>6239</v>
      </c>
      <c r="Q674" t="s">
        <v>1837</v>
      </c>
      <c r="R674" t="s">
        <v>790</v>
      </c>
      <c r="V674" t="s">
        <v>3015</v>
      </c>
      <c r="W674" t="s">
        <v>780</v>
      </c>
      <c r="X674" t="s">
        <v>857</v>
      </c>
      <c r="Z674" s="31"/>
      <c r="AC674">
        <v>13</v>
      </c>
      <c r="AD674" t="s">
        <v>142</v>
      </c>
      <c r="AE674" s="31">
        <v>46149</v>
      </c>
      <c r="AF674" s="61">
        <v>0.70679398148148154</v>
      </c>
      <c r="AH674" t="s">
        <v>782</v>
      </c>
      <c r="AI674" s="31"/>
      <c r="AJ674" s="61"/>
      <c r="AP674" t="s">
        <v>6240</v>
      </c>
      <c r="AR674" s="31">
        <v>46155</v>
      </c>
      <c r="AS674">
        <v>30</v>
      </c>
      <c r="AU674" t="s">
        <v>321</v>
      </c>
      <c r="AX674">
        <v>1</v>
      </c>
    </row>
    <row r="675" spans="1:50" x14ac:dyDescent="0.3">
      <c r="A675" t="s">
        <v>142</v>
      </c>
      <c r="B675">
        <v>1193</v>
      </c>
      <c r="C675">
        <v>279</v>
      </c>
      <c r="E675" t="s">
        <v>6241</v>
      </c>
      <c r="G675" t="s">
        <v>1960</v>
      </c>
      <c r="H675">
        <v>89738173000115</v>
      </c>
      <c r="I675" t="s">
        <v>6242</v>
      </c>
      <c r="M675" t="s">
        <v>6243</v>
      </c>
      <c r="N675" t="s">
        <v>1102</v>
      </c>
      <c r="P675" t="s">
        <v>6244</v>
      </c>
      <c r="Q675" t="s">
        <v>6245</v>
      </c>
      <c r="R675" t="s">
        <v>1027</v>
      </c>
      <c r="V675" t="s">
        <v>3015</v>
      </c>
      <c r="W675" t="s">
        <v>780</v>
      </c>
      <c r="X675" t="s">
        <v>781</v>
      </c>
      <c r="Z675" s="31"/>
      <c r="AC675">
        <v>12</v>
      </c>
      <c r="AD675" t="s">
        <v>142</v>
      </c>
      <c r="AE675" s="31">
        <v>46150</v>
      </c>
      <c r="AF675" s="61">
        <v>0.41725694444444439</v>
      </c>
      <c r="AH675" t="s">
        <v>782</v>
      </c>
      <c r="AI675" s="31"/>
      <c r="AJ675" s="61"/>
      <c r="AR675" s="31"/>
      <c r="AS675">
        <v>30</v>
      </c>
      <c r="AX675">
        <v>1</v>
      </c>
    </row>
    <row r="676" spans="1:50" x14ac:dyDescent="0.3">
      <c r="A676" t="s">
        <v>142</v>
      </c>
      <c r="B676">
        <v>1194</v>
      </c>
      <c r="C676">
        <v>281</v>
      </c>
      <c r="E676" t="s">
        <v>6246</v>
      </c>
      <c r="G676" t="s">
        <v>6247</v>
      </c>
      <c r="H676">
        <v>4381287000106</v>
      </c>
      <c r="I676" t="s">
        <v>6248</v>
      </c>
      <c r="M676" t="s">
        <v>6243</v>
      </c>
      <c r="N676" t="s">
        <v>1102</v>
      </c>
      <c r="P676" t="s">
        <v>6249</v>
      </c>
      <c r="Q676" t="s">
        <v>6245</v>
      </c>
      <c r="R676" t="s">
        <v>1027</v>
      </c>
      <c r="V676" t="s">
        <v>3015</v>
      </c>
      <c r="W676" t="s">
        <v>780</v>
      </c>
      <c r="X676" t="s">
        <v>897</v>
      </c>
      <c r="Z676" s="31"/>
      <c r="AC676">
        <v>12</v>
      </c>
      <c r="AD676" t="s">
        <v>142</v>
      </c>
      <c r="AE676" s="31">
        <v>46150</v>
      </c>
      <c r="AF676" s="61">
        <v>0.42182870370370368</v>
      </c>
      <c r="AH676" t="s">
        <v>782</v>
      </c>
      <c r="AI676" s="31"/>
      <c r="AJ676" s="61"/>
      <c r="AR676" s="31"/>
      <c r="AS676">
        <v>30</v>
      </c>
      <c r="AX676">
        <v>1</v>
      </c>
    </row>
    <row r="677" spans="1:50" x14ac:dyDescent="0.3">
      <c r="A677" t="s">
        <v>142</v>
      </c>
      <c r="B677">
        <v>1195</v>
      </c>
      <c r="C677">
        <v>282</v>
      </c>
      <c r="D677">
        <v>3760</v>
      </c>
      <c r="E677" t="s">
        <v>6250</v>
      </c>
      <c r="G677" t="s">
        <v>6251</v>
      </c>
      <c r="H677">
        <v>43948561000120</v>
      </c>
      <c r="I677" t="s">
        <v>6252</v>
      </c>
      <c r="J677" t="s">
        <v>6253</v>
      </c>
      <c r="K677" t="s">
        <v>6254</v>
      </c>
      <c r="M677" t="s">
        <v>6255</v>
      </c>
      <c r="N677" t="s">
        <v>1102</v>
      </c>
      <c r="P677" t="s">
        <v>6256</v>
      </c>
      <c r="Q677" t="s">
        <v>837</v>
      </c>
      <c r="R677" t="s">
        <v>790</v>
      </c>
      <c r="V677" t="s">
        <v>3015</v>
      </c>
      <c r="W677" t="s">
        <v>780</v>
      </c>
      <c r="X677" t="s">
        <v>897</v>
      </c>
      <c r="Z677" s="31"/>
      <c r="AC677">
        <v>12</v>
      </c>
      <c r="AD677" t="s">
        <v>142</v>
      </c>
      <c r="AE677" s="31">
        <v>46150</v>
      </c>
      <c r="AF677" s="61">
        <v>0.4375</v>
      </c>
      <c r="AH677" t="s">
        <v>782</v>
      </c>
      <c r="AI677" s="31"/>
      <c r="AJ677" s="61"/>
      <c r="AR677" s="31"/>
      <c r="AS677">
        <v>30</v>
      </c>
      <c r="AX677">
        <v>1</v>
      </c>
    </row>
    <row r="678" spans="1:50" x14ac:dyDescent="0.3">
      <c r="A678" t="s">
        <v>22</v>
      </c>
      <c r="B678">
        <v>1196</v>
      </c>
      <c r="D678">
        <v>3746</v>
      </c>
      <c r="G678" t="s">
        <v>6257</v>
      </c>
      <c r="H678">
        <v>5659821000239</v>
      </c>
      <c r="J678" t="s">
        <v>1243</v>
      </c>
      <c r="K678" t="s">
        <v>6258</v>
      </c>
      <c r="M678" t="s">
        <v>6259</v>
      </c>
      <c r="R678" t="s">
        <v>790</v>
      </c>
      <c r="S678" t="s">
        <v>1191</v>
      </c>
      <c r="V678" t="s">
        <v>5650</v>
      </c>
      <c r="W678" t="s">
        <v>780</v>
      </c>
      <c r="X678" t="s">
        <v>897</v>
      </c>
      <c r="Z678" s="31"/>
      <c r="AC678">
        <v>12</v>
      </c>
      <c r="AD678" t="s">
        <v>22</v>
      </c>
      <c r="AE678" s="31">
        <v>46150</v>
      </c>
      <c r="AF678" s="61">
        <v>0.49072916666666672</v>
      </c>
      <c r="AH678" t="s">
        <v>782</v>
      </c>
      <c r="AI678" s="31"/>
      <c r="AJ678" s="61"/>
      <c r="AO678" t="s">
        <v>22</v>
      </c>
      <c r="AR678" s="31">
        <v>46160</v>
      </c>
      <c r="AS678">
        <v>30</v>
      </c>
      <c r="AX678">
        <v>1</v>
      </c>
    </row>
    <row r="679" spans="1:50" x14ac:dyDescent="0.3">
      <c r="A679" t="s">
        <v>142</v>
      </c>
      <c r="B679">
        <v>1197</v>
      </c>
      <c r="C679">
        <v>270</v>
      </c>
      <c r="E679" t="s">
        <v>6260</v>
      </c>
      <c r="G679" t="s">
        <v>6261</v>
      </c>
      <c r="H679">
        <v>2466212000194</v>
      </c>
      <c r="I679" t="s">
        <v>6262</v>
      </c>
      <c r="M679" t="s">
        <v>6263</v>
      </c>
      <c r="N679" t="s">
        <v>1102</v>
      </c>
      <c r="P679" t="s">
        <v>6264</v>
      </c>
      <c r="Q679" t="s">
        <v>1837</v>
      </c>
      <c r="R679" t="s">
        <v>790</v>
      </c>
      <c r="V679" t="s">
        <v>3015</v>
      </c>
      <c r="W679" t="s">
        <v>780</v>
      </c>
      <c r="X679" t="s">
        <v>897</v>
      </c>
      <c r="Z679" s="31"/>
      <c r="AC679">
        <v>12</v>
      </c>
      <c r="AD679" t="s">
        <v>142</v>
      </c>
      <c r="AE679" s="31">
        <v>46150</v>
      </c>
      <c r="AF679" s="61">
        <v>0.50387731481481479</v>
      </c>
      <c r="AH679" t="s">
        <v>782</v>
      </c>
      <c r="AI679" s="31"/>
      <c r="AJ679" s="61"/>
      <c r="AR679" s="31">
        <v>46153</v>
      </c>
      <c r="AS679">
        <v>30</v>
      </c>
      <c r="AX679">
        <v>1</v>
      </c>
    </row>
    <row r="680" spans="1:50" x14ac:dyDescent="0.3">
      <c r="A680" t="s">
        <v>142</v>
      </c>
      <c r="B680">
        <v>1198</v>
      </c>
      <c r="C680">
        <v>256</v>
      </c>
      <c r="D680">
        <v>3773</v>
      </c>
      <c r="E680" t="s">
        <v>6265</v>
      </c>
      <c r="G680" t="s">
        <v>6266</v>
      </c>
      <c r="H680">
        <v>20137275000189</v>
      </c>
      <c r="I680" t="s">
        <v>6267</v>
      </c>
      <c r="J680" t="s">
        <v>6268</v>
      </c>
      <c r="K680" t="s">
        <v>6269</v>
      </c>
      <c r="M680" t="s">
        <v>6270</v>
      </c>
      <c r="N680" t="s">
        <v>1102</v>
      </c>
      <c r="P680" t="s">
        <v>6271</v>
      </c>
      <c r="Q680" t="s">
        <v>1837</v>
      </c>
      <c r="R680" t="s">
        <v>790</v>
      </c>
      <c r="V680" t="s">
        <v>6272</v>
      </c>
      <c r="W680" t="s">
        <v>780</v>
      </c>
      <c r="X680" t="s">
        <v>781</v>
      </c>
      <c r="Z680" s="31"/>
      <c r="AC680">
        <v>0</v>
      </c>
      <c r="AD680" t="s">
        <v>142</v>
      </c>
      <c r="AE680" s="31">
        <v>46153</v>
      </c>
      <c r="AF680" s="61">
        <v>0.39858796296296289</v>
      </c>
      <c r="AH680" t="s">
        <v>795</v>
      </c>
      <c r="AI680" s="31">
        <v>46153</v>
      </c>
      <c r="AJ680" s="61">
        <v>0.39993055555555562</v>
      </c>
      <c r="AK680" t="s">
        <v>5419</v>
      </c>
      <c r="AL680" t="s">
        <v>6273</v>
      </c>
      <c r="AR680" s="31"/>
      <c r="AS680">
        <v>30</v>
      </c>
      <c r="AX680">
        <v>1</v>
      </c>
    </row>
    <row r="681" spans="1:50" x14ac:dyDescent="0.3">
      <c r="A681" t="s">
        <v>142</v>
      </c>
      <c r="B681">
        <v>1199</v>
      </c>
      <c r="C681">
        <v>283</v>
      </c>
      <c r="D681">
        <v>3776</v>
      </c>
      <c r="E681" t="s">
        <v>6274</v>
      </c>
      <c r="G681" t="s">
        <v>6275</v>
      </c>
      <c r="H681">
        <v>88610191000154</v>
      </c>
      <c r="I681" t="s">
        <v>6276</v>
      </c>
      <c r="J681" t="s">
        <v>6277</v>
      </c>
      <c r="K681" t="s">
        <v>6278</v>
      </c>
      <c r="M681" t="s">
        <v>6279</v>
      </c>
      <c r="N681" t="s">
        <v>1102</v>
      </c>
      <c r="P681" t="s">
        <v>6280</v>
      </c>
      <c r="Q681" t="s">
        <v>6281</v>
      </c>
      <c r="R681" t="s">
        <v>848</v>
      </c>
      <c r="V681" t="s">
        <v>3015</v>
      </c>
      <c r="W681" t="s">
        <v>780</v>
      </c>
      <c r="X681" t="s">
        <v>897</v>
      </c>
      <c r="Z681" s="31"/>
      <c r="AC681">
        <v>9</v>
      </c>
      <c r="AD681" t="s">
        <v>142</v>
      </c>
      <c r="AE681" s="31">
        <v>46153</v>
      </c>
      <c r="AF681" s="61">
        <v>0.43649305555555562</v>
      </c>
      <c r="AH681" t="s">
        <v>782</v>
      </c>
      <c r="AI681" s="31"/>
      <c r="AJ681" s="61"/>
      <c r="AR681" s="31"/>
      <c r="AS681">
        <v>30</v>
      </c>
      <c r="AX681">
        <v>1</v>
      </c>
    </row>
    <row r="682" spans="1:50" x14ac:dyDescent="0.3">
      <c r="A682" t="s">
        <v>31</v>
      </c>
      <c r="B682">
        <v>1200</v>
      </c>
      <c r="D682">
        <v>3777</v>
      </c>
      <c r="G682" t="s">
        <v>6282</v>
      </c>
      <c r="H682">
        <v>8821632000128</v>
      </c>
      <c r="J682" t="s">
        <v>6283</v>
      </c>
      <c r="S682" t="s">
        <v>2541</v>
      </c>
      <c r="V682" t="s">
        <v>5650</v>
      </c>
      <c r="W682" t="s">
        <v>780</v>
      </c>
      <c r="X682" t="s">
        <v>897</v>
      </c>
      <c r="Z682" s="31">
        <v>46173</v>
      </c>
      <c r="AC682">
        <v>9</v>
      </c>
      <c r="AD682" t="s">
        <v>22</v>
      </c>
      <c r="AE682" s="31">
        <v>46153</v>
      </c>
      <c r="AF682" s="61">
        <v>0.46103009259259259</v>
      </c>
      <c r="AH682" t="s">
        <v>782</v>
      </c>
      <c r="AI682" s="31"/>
      <c r="AJ682" s="61"/>
      <c r="AO682" t="s">
        <v>31</v>
      </c>
      <c r="AR682" s="31">
        <v>46155</v>
      </c>
      <c r="AS682">
        <v>30</v>
      </c>
      <c r="AX682">
        <v>1</v>
      </c>
    </row>
    <row r="683" spans="1:50" x14ac:dyDescent="0.3">
      <c r="A683" t="s">
        <v>44</v>
      </c>
      <c r="B683">
        <v>1201</v>
      </c>
      <c r="D683">
        <v>3771</v>
      </c>
      <c r="E683" t="s">
        <v>6284</v>
      </c>
      <c r="F683" t="s">
        <v>6285</v>
      </c>
      <c r="G683" t="s">
        <v>6286</v>
      </c>
      <c r="H683">
        <v>12084237000187</v>
      </c>
      <c r="J683" t="s">
        <v>6287</v>
      </c>
      <c r="K683" t="s">
        <v>6288</v>
      </c>
      <c r="M683" t="s">
        <v>6289</v>
      </c>
      <c r="Q683" t="s">
        <v>6290</v>
      </c>
      <c r="R683" t="s">
        <v>3339</v>
      </c>
      <c r="S683" t="s">
        <v>2541</v>
      </c>
      <c r="V683" t="s">
        <v>5650</v>
      </c>
      <c r="W683" t="s">
        <v>780</v>
      </c>
      <c r="X683" t="s">
        <v>897</v>
      </c>
      <c r="Z683" s="31">
        <v>46173</v>
      </c>
      <c r="AC683">
        <v>9</v>
      </c>
      <c r="AD683" t="s">
        <v>22</v>
      </c>
      <c r="AE683" s="31">
        <v>46153</v>
      </c>
      <c r="AF683" s="61">
        <v>0.47130787037037042</v>
      </c>
      <c r="AH683" t="s">
        <v>782</v>
      </c>
      <c r="AI683" s="31"/>
      <c r="AJ683" s="61"/>
      <c r="AO683" t="s">
        <v>44</v>
      </c>
      <c r="AR683" s="31"/>
      <c r="AS683">
        <v>30</v>
      </c>
      <c r="AX683">
        <v>1</v>
      </c>
    </row>
    <row r="684" spans="1:50" x14ac:dyDescent="0.3">
      <c r="A684" t="s">
        <v>142</v>
      </c>
      <c r="B684">
        <v>1202</v>
      </c>
      <c r="C684">
        <v>241</v>
      </c>
      <c r="D684">
        <v>3779</v>
      </c>
      <c r="E684" t="s">
        <v>6291</v>
      </c>
      <c r="G684" t="s">
        <v>6292</v>
      </c>
      <c r="H684">
        <v>6269527000100</v>
      </c>
      <c r="I684" t="s">
        <v>6293</v>
      </c>
      <c r="J684" t="s">
        <v>6294</v>
      </c>
      <c r="K684" t="s">
        <v>6295</v>
      </c>
      <c r="N684" t="s">
        <v>1102</v>
      </c>
      <c r="P684" t="s">
        <v>6296</v>
      </c>
      <c r="Q684" t="s">
        <v>6158</v>
      </c>
      <c r="R684" t="s">
        <v>790</v>
      </c>
      <c r="V684" t="s">
        <v>3015</v>
      </c>
      <c r="W684" t="s">
        <v>780</v>
      </c>
      <c r="X684" t="s">
        <v>897</v>
      </c>
      <c r="Z684" s="31"/>
      <c r="AC684">
        <v>9</v>
      </c>
      <c r="AD684" t="s">
        <v>142</v>
      </c>
      <c r="AE684" s="31">
        <v>46153</v>
      </c>
      <c r="AF684" s="61">
        <v>0.47464120370370372</v>
      </c>
      <c r="AH684" t="s">
        <v>782</v>
      </c>
      <c r="AI684" s="31"/>
      <c r="AJ684" s="61"/>
      <c r="AR684" s="31"/>
      <c r="AS684">
        <v>30</v>
      </c>
      <c r="AX684">
        <v>1</v>
      </c>
    </row>
    <row r="685" spans="1:50" x14ac:dyDescent="0.3">
      <c r="A685" t="s">
        <v>22</v>
      </c>
      <c r="B685">
        <v>1203</v>
      </c>
      <c r="D685">
        <v>3770</v>
      </c>
      <c r="G685" t="s">
        <v>6297</v>
      </c>
      <c r="H685">
        <v>48579170000107</v>
      </c>
      <c r="J685" t="s">
        <v>6298</v>
      </c>
      <c r="K685" t="s">
        <v>6299</v>
      </c>
      <c r="M685" t="s">
        <v>6300</v>
      </c>
      <c r="S685" t="s">
        <v>2541</v>
      </c>
      <c r="V685" t="s">
        <v>5650</v>
      </c>
      <c r="W685" t="s">
        <v>780</v>
      </c>
      <c r="X685" t="s">
        <v>897</v>
      </c>
      <c r="Z685" s="31">
        <v>46173</v>
      </c>
      <c r="AC685">
        <v>9</v>
      </c>
      <c r="AD685" t="s">
        <v>22</v>
      </c>
      <c r="AE685" s="31">
        <v>46153</v>
      </c>
      <c r="AF685" s="61">
        <v>0.47524305555555563</v>
      </c>
      <c r="AH685" t="s">
        <v>782</v>
      </c>
      <c r="AI685" s="31"/>
      <c r="AJ685" s="61"/>
      <c r="AO685" t="s">
        <v>22</v>
      </c>
      <c r="AR685" s="31"/>
      <c r="AS685">
        <v>30</v>
      </c>
      <c r="AX685">
        <v>1</v>
      </c>
    </row>
    <row r="686" spans="1:50" x14ac:dyDescent="0.3">
      <c r="A686" t="s">
        <v>142</v>
      </c>
      <c r="B686">
        <v>1204</v>
      </c>
      <c r="C686">
        <v>231</v>
      </c>
      <c r="D686">
        <v>3780</v>
      </c>
      <c r="E686" t="s">
        <v>6301</v>
      </c>
      <c r="G686" t="s">
        <v>6302</v>
      </c>
      <c r="H686">
        <v>490414000146</v>
      </c>
      <c r="I686" t="s">
        <v>6303</v>
      </c>
      <c r="J686" t="s">
        <v>6304</v>
      </c>
      <c r="K686" t="s">
        <v>6305</v>
      </c>
      <c r="M686" t="s">
        <v>6306</v>
      </c>
      <c r="N686" t="s">
        <v>1102</v>
      </c>
      <c r="P686" t="s">
        <v>6307</v>
      </c>
      <c r="Q686" t="s">
        <v>1837</v>
      </c>
      <c r="R686" t="s">
        <v>790</v>
      </c>
      <c r="V686" t="s">
        <v>3015</v>
      </c>
      <c r="W686" t="s">
        <v>780</v>
      </c>
      <c r="X686" t="s">
        <v>897</v>
      </c>
      <c r="Z686" s="31"/>
      <c r="AC686">
        <v>9</v>
      </c>
      <c r="AD686" t="s">
        <v>142</v>
      </c>
      <c r="AE686" s="31">
        <v>46153</v>
      </c>
      <c r="AF686" s="61">
        <v>0.60356481481481483</v>
      </c>
      <c r="AH686" t="s">
        <v>782</v>
      </c>
      <c r="AI686" s="31"/>
      <c r="AJ686" s="61"/>
      <c r="AR686" s="31"/>
      <c r="AS686">
        <v>30</v>
      </c>
      <c r="AX686">
        <v>1</v>
      </c>
    </row>
    <row r="687" spans="1:50" x14ac:dyDescent="0.3">
      <c r="A687" t="s">
        <v>142</v>
      </c>
      <c r="B687">
        <v>1205</v>
      </c>
      <c r="C687">
        <v>252</v>
      </c>
      <c r="D687">
        <v>3781</v>
      </c>
      <c r="E687" t="s">
        <v>6308</v>
      </c>
      <c r="G687" t="s">
        <v>6309</v>
      </c>
      <c r="H687">
        <v>13459890000146</v>
      </c>
      <c r="I687" t="s">
        <v>6310</v>
      </c>
      <c r="J687" t="s">
        <v>6311</v>
      </c>
      <c r="K687" t="s">
        <v>6312</v>
      </c>
      <c r="M687" t="s">
        <v>6313</v>
      </c>
      <c r="N687" t="s">
        <v>1102</v>
      </c>
      <c r="P687" t="s">
        <v>6314</v>
      </c>
      <c r="Q687" t="s">
        <v>1837</v>
      </c>
      <c r="R687" t="s">
        <v>790</v>
      </c>
      <c r="V687" t="s">
        <v>3015</v>
      </c>
      <c r="W687" t="s">
        <v>780</v>
      </c>
      <c r="X687" t="s">
        <v>897</v>
      </c>
      <c r="Z687" s="31"/>
      <c r="AC687">
        <v>9</v>
      </c>
      <c r="AD687" t="s">
        <v>142</v>
      </c>
      <c r="AE687" s="31">
        <v>46153</v>
      </c>
      <c r="AF687" s="61">
        <v>0.61413194444444441</v>
      </c>
      <c r="AH687" t="s">
        <v>782</v>
      </c>
      <c r="AI687" s="31"/>
      <c r="AJ687" s="61"/>
      <c r="AR687" s="31"/>
      <c r="AS687">
        <v>30</v>
      </c>
      <c r="AX687">
        <v>1</v>
      </c>
    </row>
    <row r="688" spans="1:50" x14ac:dyDescent="0.3">
      <c r="A688" t="s">
        <v>142</v>
      </c>
      <c r="B688">
        <v>1206</v>
      </c>
      <c r="C688">
        <v>226</v>
      </c>
      <c r="D688">
        <v>3782</v>
      </c>
      <c r="E688" t="s">
        <v>6315</v>
      </c>
      <c r="G688" t="s">
        <v>6316</v>
      </c>
      <c r="H688">
        <v>59602144000160</v>
      </c>
      <c r="I688" t="s">
        <v>6317</v>
      </c>
      <c r="J688" t="s">
        <v>6318</v>
      </c>
      <c r="K688" t="s">
        <v>6319</v>
      </c>
      <c r="L688" t="s">
        <v>6320</v>
      </c>
      <c r="M688" t="s">
        <v>6321</v>
      </c>
      <c r="N688" t="s">
        <v>1102</v>
      </c>
      <c r="P688" t="s">
        <v>6322</v>
      </c>
      <c r="Q688" t="s">
        <v>1837</v>
      </c>
      <c r="R688" t="s">
        <v>790</v>
      </c>
      <c r="V688" t="s">
        <v>3015</v>
      </c>
      <c r="W688" t="s">
        <v>780</v>
      </c>
      <c r="X688" t="s">
        <v>897</v>
      </c>
      <c r="Z688" s="31"/>
      <c r="AC688">
        <v>9</v>
      </c>
      <c r="AD688" t="s">
        <v>142</v>
      </c>
      <c r="AE688" s="31">
        <v>46153</v>
      </c>
      <c r="AF688" s="61">
        <v>0.62143518518518515</v>
      </c>
      <c r="AH688" t="s">
        <v>782</v>
      </c>
      <c r="AI688" s="31"/>
      <c r="AJ688" s="61"/>
      <c r="AR688" s="31">
        <v>46154</v>
      </c>
      <c r="AS688">
        <v>30</v>
      </c>
      <c r="AX688">
        <v>1</v>
      </c>
    </row>
    <row r="689" spans="1:50" x14ac:dyDescent="0.3">
      <c r="A689" t="s">
        <v>142</v>
      </c>
      <c r="B689">
        <v>1208</v>
      </c>
      <c r="C689">
        <v>255</v>
      </c>
      <c r="D689">
        <v>3788</v>
      </c>
      <c r="E689" t="s">
        <v>6323</v>
      </c>
      <c r="G689" t="s">
        <v>6324</v>
      </c>
      <c r="H689">
        <v>13533397000129</v>
      </c>
      <c r="I689" t="s">
        <v>6325</v>
      </c>
      <c r="J689" t="s">
        <v>6326</v>
      </c>
      <c r="K689" t="s">
        <v>6327</v>
      </c>
      <c r="M689" t="s">
        <v>6328</v>
      </c>
      <c r="N689" t="s">
        <v>1102</v>
      </c>
      <c r="P689" t="s">
        <v>6329</v>
      </c>
      <c r="Q689" t="s">
        <v>1837</v>
      </c>
      <c r="R689" t="s">
        <v>790</v>
      </c>
      <c r="V689" t="s">
        <v>3015</v>
      </c>
      <c r="W689" t="s">
        <v>780</v>
      </c>
      <c r="X689" t="s">
        <v>897</v>
      </c>
      <c r="Z689" s="31"/>
      <c r="AC689">
        <v>8</v>
      </c>
      <c r="AD689" t="s">
        <v>142</v>
      </c>
      <c r="AE689" s="31">
        <v>46154</v>
      </c>
      <c r="AF689" s="61">
        <v>0.49358796296296298</v>
      </c>
      <c r="AH689" t="s">
        <v>782</v>
      </c>
      <c r="AI689" s="31"/>
      <c r="AJ689" s="61"/>
      <c r="AR689" s="31"/>
      <c r="AS689">
        <v>30</v>
      </c>
      <c r="AX689">
        <v>1</v>
      </c>
    </row>
    <row r="690" spans="1:50" x14ac:dyDescent="0.3">
      <c r="A690" t="s">
        <v>31</v>
      </c>
      <c r="B690">
        <v>1209</v>
      </c>
      <c r="D690">
        <v>3786</v>
      </c>
      <c r="E690" t="s">
        <v>6330</v>
      </c>
      <c r="G690" t="s">
        <v>6331</v>
      </c>
      <c r="H690">
        <v>36621794000158</v>
      </c>
      <c r="J690" t="s">
        <v>2087</v>
      </c>
      <c r="K690" t="s">
        <v>2092</v>
      </c>
      <c r="M690" t="s">
        <v>2089</v>
      </c>
      <c r="Q690" t="s">
        <v>2094</v>
      </c>
      <c r="R690" t="s">
        <v>790</v>
      </c>
      <c r="S690" t="s">
        <v>1191</v>
      </c>
      <c r="V690" t="s">
        <v>6332</v>
      </c>
      <c r="W690" t="s">
        <v>780</v>
      </c>
      <c r="X690" t="s">
        <v>857</v>
      </c>
      <c r="Z690" s="31">
        <v>46173</v>
      </c>
      <c r="AC690">
        <v>8</v>
      </c>
      <c r="AD690" t="s">
        <v>22</v>
      </c>
      <c r="AE690" s="31">
        <v>46154</v>
      </c>
      <c r="AF690" s="61">
        <v>0.63753472222222218</v>
      </c>
      <c r="AH690" t="s">
        <v>782</v>
      </c>
      <c r="AI690" s="31"/>
      <c r="AJ690" s="61"/>
      <c r="AO690" t="s">
        <v>31</v>
      </c>
      <c r="AR690" s="31">
        <v>46161</v>
      </c>
      <c r="AS690">
        <v>30</v>
      </c>
      <c r="AX690">
        <v>1</v>
      </c>
    </row>
    <row r="691" spans="1:50" x14ac:dyDescent="0.3">
      <c r="A691" t="s">
        <v>142</v>
      </c>
      <c r="B691">
        <v>1212</v>
      </c>
      <c r="C691">
        <v>291</v>
      </c>
      <c r="D691">
        <v>3801</v>
      </c>
      <c r="G691" t="s">
        <v>6333</v>
      </c>
      <c r="H691">
        <v>17188274000159</v>
      </c>
      <c r="I691" t="s">
        <v>6334</v>
      </c>
      <c r="J691" t="s">
        <v>4704</v>
      </c>
      <c r="K691" t="s">
        <v>6335</v>
      </c>
      <c r="M691" t="s">
        <v>6336</v>
      </c>
      <c r="N691" t="s">
        <v>1102</v>
      </c>
      <c r="P691" t="s">
        <v>6337</v>
      </c>
      <c r="Q691" t="s">
        <v>1094</v>
      </c>
      <c r="R691" t="s">
        <v>790</v>
      </c>
      <c r="V691" t="s">
        <v>3015</v>
      </c>
      <c r="W691" t="s">
        <v>780</v>
      </c>
      <c r="X691" t="s">
        <v>857</v>
      </c>
      <c r="Z691" s="31"/>
      <c r="AC691">
        <v>5</v>
      </c>
      <c r="AD691" t="s">
        <v>142</v>
      </c>
      <c r="AE691" s="31">
        <v>46155</v>
      </c>
      <c r="AF691" s="61">
        <v>0.58863425925925927</v>
      </c>
      <c r="AH691" t="s">
        <v>795</v>
      </c>
      <c r="AI691" s="31">
        <v>46160</v>
      </c>
      <c r="AJ691" s="61">
        <v>0.38256944444444452</v>
      </c>
      <c r="AK691" t="s">
        <v>5392</v>
      </c>
      <c r="AL691" t="s">
        <v>6338</v>
      </c>
      <c r="AR691" s="31">
        <v>46157</v>
      </c>
      <c r="AS691">
        <v>40</v>
      </c>
      <c r="AX691">
        <v>1</v>
      </c>
    </row>
    <row r="692" spans="1:50" x14ac:dyDescent="0.3">
      <c r="A692" t="s">
        <v>44</v>
      </c>
      <c r="B692">
        <v>1213</v>
      </c>
      <c r="D692">
        <v>3802</v>
      </c>
      <c r="E692" t="s">
        <v>6339</v>
      </c>
      <c r="F692" t="s">
        <v>6340</v>
      </c>
      <c r="G692" t="s">
        <v>6341</v>
      </c>
      <c r="H692">
        <v>26991643000138</v>
      </c>
      <c r="J692" t="s">
        <v>1243</v>
      </c>
      <c r="K692" t="s">
        <v>6342</v>
      </c>
      <c r="M692" t="s">
        <v>6343</v>
      </c>
      <c r="Q692" t="s">
        <v>2080</v>
      </c>
      <c r="R692" t="s">
        <v>956</v>
      </c>
      <c r="S692" t="s">
        <v>2541</v>
      </c>
      <c r="V692" t="s">
        <v>5650</v>
      </c>
      <c r="W692" t="s">
        <v>780</v>
      </c>
      <c r="X692" t="s">
        <v>897</v>
      </c>
      <c r="Z692" s="31">
        <v>46173</v>
      </c>
      <c r="AC692">
        <v>1</v>
      </c>
      <c r="AD692" t="s">
        <v>22</v>
      </c>
      <c r="AE692" s="31">
        <v>46155</v>
      </c>
      <c r="AF692" s="61">
        <v>0.741724537037037</v>
      </c>
      <c r="AH692" t="s">
        <v>795</v>
      </c>
      <c r="AI692" s="31">
        <v>46156</v>
      </c>
      <c r="AJ692" s="61">
        <v>0.47655092592592591</v>
      </c>
      <c r="AK692" t="s">
        <v>808</v>
      </c>
      <c r="AL692" t="s">
        <v>6339</v>
      </c>
      <c r="AO692" t="s">
        <v>44</v>
      </c>
      <c r="AR692" s="31">
        <v>46156</v>
      </c>
      <c r="AS692">
        <v>30</v>
      </c>
      <c r="AX692">
        <v>1</v>
      </c>
    </row>
    <row r="693" spans="1:50" x14ac:dyDescent="0.3">
      <c r="A693" t="s">
        <v>31</v>
      </c>
      <c r="B693">
        <v>1214</v>
      </c>
      <c r="D693">
        <v>3804</v>
      </c>
      <c r="G693" t="s">
        <v>6344</v>
      </c>
      <c r="H693">
        <v>68044700000111</v>
      </c>
      <c r="J693" t="s">
        <v>6345</v>
      </c>
      <c r="K693" t="s">
        <v>6346</v>
      </c>
      <c r="M693" t="s">
        <v>1111</v>
      </c>
      <c r="Q693" t="s">
        <v>1094</v>
      </c>
      <c r="R693" t="s">
        <v>790</v>
      </c>
      <c r="S693" t="s">
        <v>805</v>
      </c>
      <c r="W693" t="s">
        <v>780</v>
      </c>
      <c r="X693" t="s">
        <v>897</v>
      </c>
      <c r="Z693" s="31"/>
      <c r="AC693">
        <v>7</v>
      </c>
      <c r="AD693" t="s">
        <v>31</v>
      </c>
      <c r="AE693" s="31">
        <v>46155</v>
      </c>
      <c r="AF693" s="61">
        <v>0.76524305555555561</v>
      </c>
      <c r="AH693" t="s">
        <v>782</v>
      </c>
      <c r="AI693" s="31"/>
      <c r="AJ693" s="61"/>
      <c r="AR693" s="31"/>
      <c r="AX693">
        <v>1</v>
      </c>
    </row>
    <row r="694" spans="1:50" x14ac:dyDescent="0.3">
      <c r="A694" t="s">
        <v>44</v>
      </c>
      <c r="B694">
        <v>1215</v>
      </c>
      <c r="D694">
        <v>3807</v>
      </c>
      <c r="G694" t="s">
        <v>240</v>
      </c>
      <c r="J694" t="s">
        <v>6347</v>
      </c>
      <c r="K694" t="s">
        <v>6348</v>
      </c>
      <c r="M694" t="s">
        <v>6161</v>
      </c>
      <c r="W694" t="s">
        <v>780</v>
      </c>
      <c r="X694" t="s">
        <v>816</v>
      </c>
      <c r="Z694" s="31"/>
      <c r="AA694">
        <v>0</v>
      </c>
      <c r="AB694">
        <v>2400</v>
      </c>
      <c r="AC694">
        <v>5</v>
      </c>
      <c r="AD694" t="s">
        <v>44</v>
      </c>
      <c r="AE694" s="31">
        <v>46156</v>
      </c>
      <c r="AF694" s="61">
        <v>0.36571759259259262</v>
      </c>
      <c r="AH694" t="s">
        <v>818</v>
      </c>
      <c r="AI694" s="31">
        <v>46161</v>
      </c>
      <c r="AJ694" s="61">
        <v>0.60270833333333329</v>
      </c>
      <c r="AN694" t="s">
        <v>6162</v>
      </c>
      <c r="AP694" t="s">
        <v>5679</v>
      </c>
      <c r="AQ694" t="s">
        <v>6162</v>
      </c>
      <c r="AR694" s="31"/>
      <c r="AS694">
        <v>90</v>
      </c>
      <c r="AX694">
        <v>1</v>
      </c>
    </row>
    <row r="695" spans="1:50" x14ac:dyDescent="0.3">
      <c r="A695" t="s">
        <v>142</v>
      </c>
      <c r="B695">
        <v>1216</v>
      </c>
      <c r="C695">
        <v>289</v>
      </c>
      <c r="D695">
        <v>3812</v>
      </c>
      <c r="E695" t="s">
        <v>6349</v>
      </c>
      <c r="G695" t="s">
        <v>6350</v>
      </c>
      <c r="H695">
        <v>3717565000182</v>
      </c>
      <c r="I695" t="s">
        <v>6351</v>
      </c>
      <c r="J695" t="s">
        <v>6352</v>
      </c>
      <c r="K695" t="s">
        <v>6353</v>
      </c>
      <c r="L695" t="s">
        <v>6354</v>
      </c>
      <c r="M695" t="s">
        <v>6355</v>
      </c>
      <c r="N695" t="s">
        <v>1102</v>
      </c>
      <c r="P695" t="s">
        <v>6356</v>
      </c>
      <c r="Q695" t="s">
        <v>1094</v>
      </c>
      <c r="R695" t="s">
        <v>790</v>
      </c>
      <c r="V695" t="s">
        <v>3015</v>
      </c>
      <c r="W695" t="s">
        <v>780</v>
      </c>
      <c r="X695" t="s">
        <v>897</v>
      </c>
      <c r="Z695" s="31"/>
      <c r="AC695">
        <v>6</v>
      </c>
      <c r="AD695" t="s">
        <v>142</v>
      </c>
      <c r="AE695" s="31">
        <v>46156</v>
      </c>
      <c r="AF695" s="61">
        <v>0.49780092592592601</v>
      </c>
      <c r="AH695" t="s">
        <v>782</v>
      </c>
      <c r="AI695" s="31"/>
      <c r="AJ695" s="61"/>
      <c r="AR695" s="31"/>
      <c r="AS695">
        <v>30</v>
      </c>
      <c r="AX695">
        <v>1</v>
      </c>
    </row>
    <row r="696" spans="1:50" x14ac:dyDescent="0.3">
      <c r="A696" t="s">
        <v>31</v>
      </c>
      <c r="B696">
        <v>1217</v>
      </c>
      <c r="D696">
        <v>3814</v>
      </c>
      <c r="G696" t="s">
        <v>6357</v>
      </c>
      <c r="H696">
        <v>11587676000140</v>
      </c>
      <c r="J696" t="s">
        <v>6358</v>
      </c>
      <c r="K696" t="s">
        <v>6359</v>
      </c>
      <c r="M696" t="s">
        <v>6360</v>
      </c>
      <c r="Q696" t="s">
        <v>6361</v>
      </c>
      <c r="R696" t="s">
        <v>848</v>
      </c>
      <c r="S696" t="s">
        <v>805</v>
      </c>
      <c r="W696" t="s">
        <v>780</v>
      </c>
      <c r="X696" t="s">
        <v>897</v>
      </c>
      <c r="Z696" s="31"/>
      <c r="AC696">
        <v>6</v>
      </c>
      <c r="AD696" t="s">
        <v>31</v>
      </c>
      <c r="AE696" s="31">
        <v>46156</v>
      </c>
      <c r="AF696" s="61">
        <v>0.61549768518518522</v>
      </c>
      <c r="AH696" t="s">
        <v>782</v>
      </c>
      <c r="AI696" s="31"/>
      <c r="AJ696" s="61"/>
      <c r="AR696" s="31">
        <v>46156</v>
      </c>
      <c r="AS696">
        <v>30</v>
      </c>
      <c r="AX696">
        <v>1</v>
      </c>
    </row>
    <row r="697" spans="1:50" x14ac:dyDescent="0.3">
      <c r="A697" t="s">
        <v>31</v>
      </c>
      <c r="B697">
        <v>1218</v>
      </c>
      <c r="D697">
        <v>3817</v>
      </c>
      <c r="G697" t="s">
        <v>6362</v>
      </c>
      <c r="H697">
        <v>3640671000105</v>
      </c>
      <c r="J697" t="s">
        <v>6363</v>
      </c>
      <c r="K697" t="s">
        <v>6364</v>
      </c>
      <c r="M697" t="s">
        <v>6365</v>
      </c>
      <c r="Q697" t="s">
        <v>3782</v>
      </c>
      <c r="R697" t="s">
        <v>790</v>
      </c>
      <c r="S697" t="s">
        <v>805</v>
      </c>
      <c r="W697" t="s">
        <v>780</v>
      </c>
      <c r="X697" t="s">
        <v>897</v>
      </c>
      <c r="Z697" s="31"/>
      <c r="AC697">
        <v>6</v>
      </c>
      <c r="AD697" t="s">
        <v>31</v>
      </c>
      <c r="AE697" s="31">
        <v>46156</v>
      </c>
      <c r="AF697" s="61">
        <v>0.61739583333333337</v>
      </c>
      <c r="AH697" t="s">
        <v>782</v>
      </c>
      <c r="AI697" s="31"/>
      <c r="AJ697" s="61"/>
      <c r="AR697" s="31"/>
      <c r="AX697">
        <v>1</v>
      </c>
    </row>
    <row r="698" spans="1:50" x14ac:dyDescent="0.3">
      <c r="A698" t="s">
        <v>31</v>
      </c>
      <c r="B698">
        <v>1219</v>
      </c>
      <c r="D698">
        <v>3820</v>
      </c>
      <c r="G698" t="s">
        <v>6366</v>
      </c>
      <c r="H698">
        <v>14892407000185</v>
      </c>
      <c r="J698" t="s">
        <v>6367</v>
      </c>
      <c r="K698" t="s">
        <v>6368</v>
      </c>
      <c r="M698" t="s">
        <v>6369</v>
      </c>
      <c r="Q698" t="s">
        <v>6370</v>
      </c>
      <c r="R698" t="s">
        <v>1027</v>
      </c>
      <c r="S698" t="s">
        <v>805</v>
      </c>
      <c r="W698" t="s">
        <v>780</v>
      </c>
      <c r="X698" t="s">
        <v>897</v>
      </c>
      <c r="Z698" s="31"/>
      <c r="AC698">
        <v>6</v>
      </c>
      <c r="AD698" t="s">
        <v>31</v>
      </c>
      <c r="AE698" s="31">
        <v>46156</v>
      </c>
      <c r="AF698" s="61">
        <v>0.61788194444444444</v>
      </c>
      <c r="AH698" t="s">
        <v>782</v>
      </c>
      <c r="AI698" s="31"/>
      <c r="AJ698" s="61"/>
      <c r="AR698" s="31"/>
      <c r="AX698">
        <v>1</v>
      </c>
    </row>
    <row r="699" spans="1:50" x14ac:dyDescent="0.3">
      <c r="A699" t="s">
        <v>44</v>
      </c>
      <c r="B699">
        <v>1220</v>
      </c>
      <c r="D699">
        <v>3824</v>
      </c>
      <c r="G699" t="s">
        <v>254</v>
      </c>
      <c r="J699" t="s">
        <v>6371</v>
      </c>
      <c r="K699" t="s">
        <v>879</v>
      </c>
      <c r="M699" t="s">
        <v>6372</v>
      </c>
      <c r="W699" t="s">
        <v>780</v>
      </c>
      <c r="X699" t="s">
        <v>807</v>
      </c>
      <c r="Z699" s="31"/>
      <c r="AA699">
        <v>25228</v>
      </c>
      <c r="AB699">
        <v>0</v>
      </c>
      <c r="AC699">
        <v>6</v>
      </c>
      <c r="AD699" t="s">
        <v>44</v>
      </c>
      <c r="AE699" s="31">
        <v>46156</v>
      </c>
      <c r="AF699" s="61">
        <v>0.61886574074074074</v>
      </c>
      <c r="AH699" t="s">
        <v>782</v>
      </c>
      <c r="AI699" s="31"/>
      <c r="AJ699" s="61"/>
      <c r="AN699" t="s">
        <v>6072</v>
      </c>
      <c r="AR699" s="31"/>
      <c r="AS699">
        <v>50</v>
      </c>
      <c r="AX699">
        <v>1</v>
      </c>
    </row>
    <row r="700" spans="1:50" x14ac:dyDescent="0.3">
      <c r="A700" t="s">
        <v>31</v>
      </c>
      <c r="B700">
        <v>1221</v>
      </c>
      <c r="D700">
        <v>3826</v>
      </c>
      <c r="G700" t="s">
        <v>6373</v>
      </c>
      <c r="H700">
        <v>79846465000207</v>
      </c>
      <c r="J700" t="s">
        <v>6374</v>
      </c>
      <c r="K700" t="s">
        <v>6375</v>
      </c>
      <c r="M700" t="s">
        <v>6376</v>
      </c>
      <c r="Q700" t="s">
        <v>2518</v>
      </c>
      <c r="R700" t="s">
        <v>932</v>
      </c>
      <c r="S700" t="s">
        <v>805</v>
      </c>
      <c r="W700" t="s">
        <v>780</v>
      </c>
      <c r="X700" t="s">
        <v>897</v>
      </c>
      <c r="Z700" s="31"/>
      <c r="AC700">
        <v>6</v>
      </c>
      <c r="AD700" t="s">
        <v>31</v>
      </c>
      <c r="AE700" s="31">
        <v>46156</v>
      </c>
      <c r="AF700" s="61">
        <v>0.64121527777777776</v>
      </c>
      <c r="AH700" t="s">
        <v>782</v>
      </c>
      <c r="AI700" s="31"/>
      <c r="AJ700" s="61"/>
      <c r="AR700" s="31"/>
      <c r="AX700">
        <v>1</v>
      </c>
    </row>
    <row r="701" spans="1:50" x14ac:dyDescent="0.3">
      <c r="A701" t="s">
        <v>31</v>
      </c>
      <c r="B701">
        <v>1222</v>
      </c>
      <c r="D701">
        <v>3827</v>
      </c>
      <c r="G701" t="s">
        <v>1360</v>
      </c>
      <c r="H701">
        <v>5670513000123</v>
      </c>
      <c r="J701" t="s">
        <v>6377</v>
      </c>
      <c r="K701" t="s">
        <v>6378</v>
      </c>
      <c r="M701" t="s">
        <v>6379</v>
      </c>
      <c r="Q701" t="s">
        <v>1094</v>
      </c>
      <c r="R701" t="s">
        <v>790</v>
      </c>
      <c r="S701" t="s">
        <v>805</v>
      </c>
      <c r="W701" t="s">
        <v>780</v>
      </c>
      <c r="X701" t="s">
        <v>781</v>
      </c>
      <c r="Z701" s="31"/>
      <c r="AC701">
        <v>6</v>
      </c>
      <c r="AD701" t="s">
        <v>31</v>
      </c>
      <c r="AE701" s="31">
        <v>46156</v>
      </c>
      <c r="AF701" s="61">
        <v>0.64234953703703701</v>
      </c>
      <c r="AH701" t="s">
        <v>782</v>
      </c>
      <c r="AI701" s="31"/>
      <c r="AJ701" s="61"/>
      <c r="AR701" s="31"/>
      <c r="AX701">
        <v>1</v>
      </c>
    </row>
    <row r="702" spans="1:50" x14ac:dyDescent="0.3">
      <c r="A702" t="s">
        <v>31</v>
      </c>
      <c r="B702">
        <v>1223</v>
      </c>
      <c r="D702">
        <v>3830</v>
      </c>
      <c r="G702" t="s">
        <v>6380</v>
      </c>
      <c r="H702">
        <v>29946937000136</v>
      </c>
      <c r="J702" t="s">
        <v>6381</v>
      </c>
      <c r="K702" t="s">
        <v>6382</v>
      </c>
      <c r="M702" t="s">
        <v>6383</v>
      </c>
      <c r="Q702" t="s">
        <v>1950</v>
      </c>
      <c r="R702" t="s">
        <v>790</v>
      </c>
      <c r="S702" t="s">
        <v>805</v>
      </c>
      <c r="W702" t="s">
        <v>780</v>
      </c>
      <c r="X702" t="s">
        <v>781</v>
      </c>
      <c r="Z702" s="31"/>
      <c r="AC702">
        <v>6</v>
      </c>
      <c r="AD702" t="s">
        <v>31</v>
      </c>
      <c r="AE702" s="31">
        <v>46156</v>
      </c>
      <c r="AF702" s="61">
        <v>0.6457060185185185</v>
      </c>
      <c r="AH702" t="s">
        <v>782</v>
      </c>
      <c r="AI702" s="31"/>
      <c r="AJ702" s="61"/>
      <c r="AR702" s="31"/>
      <c r="AX702">
        <v>1</v>
      </c>
    </row>
    <row r="703" spans="1:50" x14ac:dyDescent="0.3">
      <c r="A703" t="s">
        <v>31</v>
      </c>
      <c r="B703">
        <v>1224</v>
      </c>
      <c r="D703">
        <v>3832</v>
      </c>
      <c r="G703" t="s">
        <v>6384</v>
      </c>
      <c r="H703">
        <v>90406117000162</v>
      </c>
      <c r="J703" t="s">
        <v>6385</v>
      </c>
      <c r="K703" t="s">
        <v>6386</v>
      </c>
      <c r="M703" t="s">
        <v>6387</v>
      </c>
      <c r="Q703" t="s">
        <v>1026</v>
      </c>
      <c r="R703" t="s">
        <v>1027</v>
      </c>
      <c r="S703" t="s">
        <v>805</v>
      </c>
      <c r="W703" t="s">
        <v>780</v>
      </c>
      <c r="X703" t="s">
        <v>781</v>
      </c>
      <c r="Z703" s="31"/>
      <c r="AC703">
        <v>6</v>
      </c>
      <c r="AD703" t="s">
        <v>31</v>
      </c>
      <c r="AE703" s="31">
        <v>46156</v>
      </c>
      <c r="AF703" s="61">
        <v>0.64667824074074076</v>
      </c>
      <c r="AH703" t="s">
        <v>782</v>
      </c>
      <c r="AI703" s="31"/>
      <c r="AJ703" s="61"/>
      <c r="AR703" s="31"/>
      <c r="AX703">
        <v>1</v>
      </c>
    </row>
    <row r="704" spans="1:50" x14ac:dyDescent="0.3">
      <c r="A704" t="s">
        <v>31</v>
      </c>
      <c r="B704">
        <v>1225</v>
      </c>
      <c r="D704">
        <v>3835</v>
      </c>
      <c r="G704" t="s">
        <v>6388</v>
      </c>
      <c r="H704">
        <v>5020996000110</v>
      </c>
      <c r="J704" t="s">
        <v>6389</v>
      </c>
      <c r="K704" t="s">
        <v>6390</v>
      </c>
      <c r="M704" t="s">
        <v>6391</v>
      </c>
      <c r="Q704" t="s">
        <v>6392</v>
      </c>
      <c r="R704" t="s">
        <v>1027</v>
      </c>
      <c r="S704" t="s">
        <v>805</v>
      </c>
      <c r="W704" t="s">
        <v>780</v>
      </c>
      <c r="X704" t="s">
        <v>781</v>
      </c>
      <c r="Z704" s="31"/>
      <c r="AC704">
        <v>6</v>
      </c>
      <c r="AD704" t="s">
        <v>31</v>
      </c>
      <c r="AE704" s="31">
        <v>46156</v>
      </c>
      <c r="AF704" s="61">
        <v>0.64754629629629634</v>
      </c>
      <c r="AH704" t="s">
        <v>782</v>
      </c>
      <c r="AI704" s="31"/>
      <c r="AJ704" s="61"/>
      <c r="AR704" s="31"/>
      <c r="AX704">
        <v>1</v>
      </c>
    </row>
    <row r="705" spans="1:50" x14ac:dyDescent="0.3">
      <c r="A705" t="s">
        <v>31</v>
      </c>
      <c r="B705">
        <v>1226</v>
      </c>
      <c r="D705">
        <v>3838</v>
      </c>
      <c r="G705" t="s">
        <v>6393</v>
      </c>
      <c r="H705">
        <v>30365926000141</v>
      </c>
      <c r="J705" t="s">
        <v>6394</v>
      </c>
      <c r="K705" t="s">
        <v>6395</v>
      </c>
      <c r="M705" t="s">
        <v>6396</v>
      </c>
      <c r="Q705" t="s">
        <v>6397</v>
      </c>
      <c r="R705" t="s">
        <v>1699</v>
      </c>
      <c r="S705" t="s">
        <v>805</v>
      </c>
      <c r="W705" t="s">
        <v>780</v>
      </c>
      <c r="X705" t="s">
        <v>781</v>
      </c>
      <c r="Z705" s="31"/>
      <c r="AC705">
        <v>6</v>
      </c>
      <c r="AD705" t="s">
        <v>31</v>
      </c>
      <c r="AE705" s="31">
        <v>46156</v>
      </c>
      <c r="AF705" s="61">
        <v>0.64848379629629627</v>
      </c>
      <c r="AH705" t="s">
        <v>782</v>
      </c>
      <c r="AI705" s="31"/>
      <c r="AJ705" s="61"/>
      <c r="AR705" s="31"/>
      <c r="AX705">
        <v>1</v>
      </c>
    </row>
    <row r="706" spans="1:50" x14ac:dyDescent="0.3">
      <c r="A706" t="s">
        <v>31</v>
      </c>
      <c r="B706">
        <v>1227</v>
      </c>
      <c r="D706">
        <v>3840</v>
      </c>
      <c r="G706" t="s">
        <v>6398</v>
      </c>
      <c r="H706">
        <v>1355480000176</v>
      </c>
      <c r="J706" t="s">
        <v>6399</v>
      </c>
      <c r="K706" t="s">
        <v>6400</v>
      </c>
      <c r="M706" t="s">
        <v>6401</v>
      </c>
      <c r="Q706" t="s">
        <v>1094</v>
      </c>
      <c r="R706" t="s">
        <v>790</v>
      </c>
      <c r="S706" t="s">
        <v>805</v>
      </c>
      <c r="W706" t="s">
        <v>780</v>
      </c>
      <c r="X706" t="s">
        <v>781</v>
      </c>
      <c r="Z706" s="31"/>
      <c r="AC706">
        <v>6</v>
      </c>
      <c r="AD706" t="s">
        <v>31</v>
      </c>
      <c r="AE706" s="31">
        <v>46156</v>
      </c>
      <c r="AF706" s="61">
        <v>0.648900462962963</v>
      </c>
      <c r="AH706" t="s">
        <v>782</v>
      </c>
      <c r="AI706" s="31"/>
      <c r="AJ706" s="61"/>
      <c r="AR706" s="31"/>
      <c r="AX706">
        <v>1</v>
      </c>
    </row>
    <row r="707" spans="1:50" x14ac:dyDescent="0.3">
      <c r="A707" t="s">
        <v>31</v>
      </c>
      <c r="B707">
        <v>1228</v>
      </c>
      <c r="D707">
        <v>3877</v>
      </c>
      <c r="G707" t="s">
        <v>6402</v>
      </c>
      <c r="H707">
        <v>3959052000188</v>
      </c>
      <c r="J707" t="s">
        <v>6403</v>
      </c>
      <c r="K707" t="s">
        <v>6404</v>
      </c>
      <c r="M707" t="s">
        <v>6405</v>
      </c>
      <c r="Q707" t="s">
        <v>6406</v>
      </c>
      <c r="R707" t="s">
        <v>790</v>
      </c>
      <c r="S707" t="s">
        <v>805</v>
      </c>
      <c r="W707" t="s">
        <v>780</v>
      </c>
      <c r="X707" t="s">
        <v>781</v>
      </c>
      <c r="Z707" s="31"/>
      <c r="AC707">
        <v>6</v>
      </c>
      <c r="AD707" t="s">
        <v>31</v>
      </c>
      <c r="AE707" s="31">
        <v>46156</v>
      </c>
      <c r="AF707" s="61">
        <v>0.66104166666666664</v>
      </c>
      <c r="AH707" t="s">
        <v>782</v>
      </c>
      <c r="AI707" s="31"/>
      <c r="AJ707" s="61"/>
      <c r="AR707" s="31"/>
      <c r="AX707">
        <v>1</v>
      </c>
    </row>
    <row r="708" spans="1:50" x14ac:dyDescent="0.3">
      <c r="A708" t="s">
        <v>31</v>
      </c>
      <c r="B708">
        <v>1229</v>
      </c>
      <c r="D708">
        <v>3881</v>
      </c>
      <c r="G708" t="s">
        <v>6407</v>
      </c>
      <c r="H708">
        <v>9149833000193</v>
      </c>
      <c r="J708" t="s">
        <v>6408</v>
      </c>
      <c r="K708" t="s">
        <v>6409</v>
      </c>
      <c r="M708" t="s">
        <v>6410</v>
      </c>
      <c r="Q708" t="s">
        <v>4910</v>
      </c>
      <c r="R708" t="s">
        <v>932</v>
      </c>
      <c r="S708" t="s">
        <v>805</v>
      </c>
      <c r="W708" t="s">
        <v>780</v>
      </c>
      <c r="X708" t="s">
        <v>781</v>
      </c>
      <c r="Z708" s="31"/>
      <c r="AC708">
        <v>6</v>
      </c>
      <c r="AD708" t="s">
        <v>31</v>
      </c>
      <c r="AE708" s="31">
        <v>46156</v>
      </c>
      <c r="AF708" s="61">
        <v>0.66148148148148145</v>
      </c>
      <c r="AH708" t="s">
        <v>782</v>
      </c>
      <c r="AI708" s="31"/>
      <c r="AJ708" s="61"/>
      <c r="AR708" s="31"/>
      <c r="AX708">
        <v>1</v>
      </c>
    </row>
    <row r="709" spans="1:50" x14ac:dyDescent="0.3">
      <c r="A709" t="s">
        <v>31</v>
      </c>
      <c r="B709">
        <v>1230</v>
      </c>
      <c r="D709">
        <v>3892</v>
      </c>
      <c r="G709" t="s">
        <v>6411</v>
      </c>
      <c r="H709">
        <v>8696119000314</v>
      </c>
      <c r="J709" t="s">
        <v>6412</v>
      </c>
      <c r="K709" t="s">
        <v>6413</v>
      </c>
      <c r="M709" t="s">
        <v>6414</v>
      </c>
      <c r="Q709" t="s">
        <v>1094</v>
      </c>
      <c r="R709" t="s">
        <v>790</v>
      </c>
      <c r="S709" t="s">
        <v>805</v>
      </c>
      <c r="W709" t="s">
        <v>780</v>
      </c>
      <c r="X709" t="s">
        <v>781</v>
      </c>
      <c r="Z709" s="31"/>
      <c r="AC709">
        <v>6</v>
      </c>
      <c r="AD709" t="s">
        <v>31</v>
      </c>
      <c r="AE709" s="31">
        <v>46156</v>
      </c>
      <c r="AF709" s="61">
        <v>0.67090277777777774</v>
      </c>
      <c r="AH709" t="s">
        <v>782</v>
      </c>
      <c r="AI709" s="31"/>
      <c r="AJ709" s="61"/>
      <c r="AR709" s="31"/>
      <c r="AX709">
        <v>1</v>
      </c>
    </row>
    <row r="710" spans="1:50" x14ac:dyDescent="0.3">
      <c r="A710" t="s">
        <v>31</v>
      </c>
      <c r="B710">
        <v>1231</v>
      </c>
      <c r="D710">
        <v>3895</v>
      </c>
      <c r="G710" t="s">
        <v>6415</v>
      </c>
      <c r="H710">
        <v>8266046000169</v>
      </c>
      <c r="J710" t="s">
        <v>6416</v>
      </c>
      <c r="K710" t="s">
        <v>6417</v>
      </c>
      <c r="M710" t="s">
        <v>6418</v>
      </c>
      <c r="Q710" t="s">
        <v>6419</v>
      </c>
      <c r="R710" t="s">
        <v>932</v>
      </c>
      <c r="S710" t="s">
        <v>805</v>
      </c>
      <c r="W710" t="s">
        <v>780</v>
      </c>
      <c r="X710" t="s">
        <v>897</v>
      </c>
      <c r="Z710" s="31"/>
      <c r="AC710">
        <v>6</v>
      </c>
      <c r="AD710" t="s">
        <v>31</v>
      </c>
      <c r="AE710" s="31">
        <v>46156</v>
      </c>
      <c r="AF710" s="61">
        <v>0.67621527777777779</v>
      </c>
      <c r="AH710" t="s">
        <v>782</v>
      </c>
      <c r="AI710" s="31"/>
      <c r="AJ710" s="61"/>
      <c r="AR710" s="31"/>
      <c r="AX710">
        <v>1</v>
      </c>
    </row>
    <row r="711" spans="1:50" x14ac:dyDescent="0.3">
      <c r="A711" t="s">
        <v>31</v>
      </c>
      <c r="B711">
        <v>1232</v>
      </c>
      <c r="D711">
        <v>3898</v>
      </c>
      <c r="G711" t="s">
        <v>6420</v>
      </c>
      <c r="H711">
        <v>18455453000178</v>
      </c>
      <c r="J711" t="s">
        <v>6421</v>
      </c>
      <c r="K711" t="s">
        <v>6422</v>
      </c>
      <c r="M711" t="s">
        <v>6423</v>
      </c>
      <c r="Q711" t="s">
        <v>3636</v>
      </c>
      <c r="R711" t="s">
        <v>1699</v>
      </c>
      <c r="S711" t="s">
        <v>805</v>
      </c>
      <c r="W711" t="s">
        <v>780</v>
      </c>
      <c r="X711" t="s">
        <v>897</v>
      </c>
      <c r="Z711" s="31"/>
      <c r="AC711">
        <v>6</v>
      </c>
      <c r="AD711" t="s">
        <v>31</v>
      </c>
      <c r="AE711" s="31">
        <v>46156</v>
      </c>
      <c r="AF711" s="61">
        <v>0.67667824074074079</v>
      </c>
      <c r="AH711" t="s">
        <v>782</v>
      </c>
      <c r="AI711" s="31"/>
      <c r="AJ711" s="61"/>
      <c r="AR711" s="31"/>
      <c r="AX711">
        <v>1</v>
      </c>
    </row>
    <row r="712" spans="1:50" x14ac:dyDescent="0.3">
      <c r="A712" t="s">
        <v>44</v>
      </c>
      <c r="B712">
        <v>1233</v>
      </c>
      <c r="D712">
        <v>3918</v>
      </c>
      <c r="G712" t="s">
        <v>222</v>
      </c>
      <c r="H712">
        <v>35754976000215</v>
      </c>
      <c r="J712" t="s">
        <v>6424</v>
      </c>
      <c r="K712" t="s">
        <v>5728</v>
      </c>
      <c r="M712" t="s">
        <v>3157</v>
      </c>
      <c r="Q712" t="s">
        <v>3158</v>
      </c>
      <c r="R712" t="s">
        <v>932</v>
      </c>
      <c r="W712" t="s">
        <v>780</v>
      </c>
      <c r="X712" t="s">
        <v>857</v>
      </c>
      <c r="Z712" s="31"/>
      <c r="AC712">
        <v>5</v>
      </c>
      <c r="AD712" t="s">
        <v>44</v>
      </c>
      <c r="AE712" s="31">
        <v>46157</v>
      </c>
      <c r="AF712" s="61">
        <v>0.47616898148148151</v>
      </c>
      <c r="AH712" t="s">
        <v>782</v>
      </c>
      <c r="AI712" s="31"/>
      <c r="AJ712" s="61"/>
      <c r="AP712" t="s">
        <v>6425</v>
      </c>
      <c r="AR712" s="31"/>
      <c r="AS712">
        <v>50</v>
      </c>
      <c r="AX712">
        <v>1</v>
      </c>
    </row>
    <row r="713" spans="1:50" x14ac:dyDescent="0.3">
      <c r="A713" t="s">
        <v>142</v>
      </c>
      <c r="B713">
        <v>1234</v>
      </c>
      <c r="D713">
        <v>3917</v>
      </c>
      <c r="E713" t="s">
        <v>6426</v>
      </c>
      <c r="G713" t="s">
        <v>6427</v>
      </c>
      <c r="J713" t="s">
        <v>6428</v>
      </c>
      <c r="K713" t="s">
        <v>6429</v>
      </c>
      <c r="M713" t="s">
        <v>6430</v>
      </c>
      <c r="Q713" t="s">
        <v>6431</v>
      </c>
      <c r="S713" t="s">
        <v>1191</v>
      </c>
      <c r="V713" t="s">
        <v>5650</v>
      </c>
      <c r="W713" t="s">
        <v>780</v>
      </c>
      <c r="X713" t="s">
        <v>897</v>
      </c>
      <c r="Z713" s="31"/>
      <c r="AC713">
        <v>5</v>
      </c>
      <c r="AD713" t="s">
        <v>22</v>
      </c>
      <c r="AE713" s="31">
        <v>46157</v>
      </c>
      <c r="AF713" s="61">
        <v>0.51232638888888893</v>
      </c>
      <c r="AH713" t="s">
        <v>782</v>
      </c>
      <c r="AI713" s="31"/>
      <c r="AJ713" s="61"/>
      <c r="AO713" t="s">
        <v>142</v>
      </c>
      <c r="AR713" s="31"/>
      <c r="AS713">
        <v>30</v>
      </c>
      <c r="AX713">
        <v>1</v>
      </c>
    </row>
    <row r="714" spans="1:50" x14ac:dyDescent="0.3">
      <c r="A714" t="s">
        <v>44</v>
      </c>
      <c r="B714">
        <v>1236</v>
      </c>
      <c r="D714">
        <v>3921</v>
      </c>
      <c r="G714" t="s">
        <v>256</v>
      </c>
      <c r="J714" t="s">
        <v>6432</v>
      </c>
      <c r="K714" t="s">
        <v>1579</v>
      </c>
      <c r="M714" t="s">
        <v>1580</v>
      </c>
      <c r="W714" t="s">
        <v>780</v>
      </c>
      <c r="X714" t="s">
        <v>793</v>
      </c>
      <c r="Z714" s="31"/>
      <c r="AC714">
        <v>2</v>
      </c>
      <c r="AD714" t="s">
        <v>44</v>
      </c>
      <c r="AE714" s="31">
        <v>46160</v>
      </c>
      <c r="AF714" s="61">
        <v>0.34668981481481481</v>
      </c>
      <c r="AH714" t="s">
        <v>782</v>
      </c>
      <c r="AI714" s="31"/>
      <c r="AJ714" s="61"/>
      <c r="AN714" t="s">
        <v>6433</v>
      </c>
      <c r="AR714" s="31"/>
      <c r="AS714">
        <v>50</v>
      </c>
      <c r="AX714">
        <v>1</v>
      </c>
    </row>
    <row r="715" spans="1:50" x14ac:dyDescent="0.3">
      <c r="A715" t="s">
        <v>44</v>
      </c>
      <c r="B715">
        <v>1237</v>
      </c>
      <c r="D715">
        <v>3922</v>
      </c>
      <c r="G715" t="s">
        <v>243</v>
      </c>
      <c r="J715" t="s">
        <v>6434</v>
      </c>
      <c r="K715" t="s">
        <v>1579</v>
      </c>
      <c r="M715" t="s">
        <v>1580</v>
      </c>
      <c r="W715" t="s">
        <v>780</v>
      </c>
      <c r="X715" t="s">
        <v>793</v>
      </c>
      <c r="Z715" s="31"/>
      <c r="AC715">
        <v>2</v>
      </c>
      <c r="AD715" t="s">
        <v>44</v>
      </c>
      <c r="AE715" s="31">
        <v>46160</v>
      </c>
      <c r="AF715" s="61">
        <v>0.35175925925925933</v>
      </c>
      <c r="AH715" t="s">
        <v>782</v>
      </c>
      <c r="AI715" s="31"/>
      <c r="AJ715" s="61"/>
      <c r="AN715" t="s">
        <v>6433</v>
      </c>
      <c r="AP715" t="s">
        <v>6433</v>
      </c>
      <c r="AR715" s="31"/>
      <c r="AS715">
        <v>50</v>
      </c>
      <c r="AX715">
        <v>1</v>
      </c>
    </row>
    <row r="716" spans="1:50" x14ac:dyDescent="0.3">
      <c r="A716" t="s">
        <v>44</v>
      </c>
      <c r="B716">
        <v>1238</v>
      </c>
      <c r="D716">
        <v>3923</v>
      </c>
      <c r="G716" t="s">
        <v>244</v>
      </c>
      <c r="J716" t="s">
        <v>6435</v>
      </c>
      <c r="K716" t="s">
        <v>2254</v>
      </c>
      <c r="M716" t="s">
        <v>6436</v>
      </c>
      <c r="W716" t="s">
        <v>780</v>
      </c>
      <c r="X716" t="s">
        <v>793</v>
      </c>
      <c r="Z716" s="31"/>
      <c r="AC716">
        <v>2</v>
      </c>
      <c r="AD716" t="s">
        <v>44</v>
      </c>
      <c r="AE716" s="31">
        <v>46160</v>
      </c>
      <c r="AF716" s="61">
        <v>0.36075231481481479</v>
      </c>
      <c r="AH716" t="s">
        <v>782</v>
      </c>
      <c r="AI716" s="31"/>
      <c r="AJ716" s="61"/>
      <c r="AN716" t="s">
        <v>6433</v>
      </c>
      <c r="AP716" t="s">
        <v>6433</v>
      </c>
      <c r="AR716" s="31"/>
      <c r="AS716">
        <v>50</v>
      </c>
      <c r="AX716">
        <v>1</v>
      </c>
    </row>
    <row r="717" spans="1:50" x14ac:dyDescent="0.3">
      <c r="A717" t="s">
        <v>44</v>
      </c>
      <c r="B717">
        <v>1240</v>
      </c>
      <c r="D717">
        <v>3962</v>
      </c>
      <c r="G717" t="s">
        <v>6437</v>
      </c>
      <c r="J717" t="s">
        <v>6438</v>
      </c>
      <c r="K717" t="s">
        <v>6439</v>
      </c>
      <c r="M717" t="s">
        <v>1111</v>
      </c>
      <c r="W717" t="s">
        <v>780</v>
      </c>
      <c r="X717" t="s">
        <v>857</v>
      </c>
      <c r="Z717" s="31"/>
      <c r="AC717">
        <v>1</v>
      </c>
      <c r="AD717" t="s">
        <v>44</v>
      </c>
      <c r="AE717" s="31">
        <v>46161</v>
      </c>
      <c r="AF717" s="61">
        <v>0.71011574074074069</v>
      </c>
      <c r="AH717" t="s">
        <v>782</v>
      </c>
      <c r="AI717" s="31"/>
      <c r="AJ717" s="61"/>
      <c r="AR717" s="31"/>
      <c r="AS717">
        <v>50</v>
      </c>
      <c r="AX717">
        <v>1</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503"/>
  <sheetViews>
    <sheetView workbookViewId="0">
      <selection activeCell="E501" sqref="E501"/>
    </sheetView>
  </sheetViews>
  <sheetFormatPr defaultRowHeight="14.4" x14ac:dyDescent="0.3"/>
  <cols>
    <col min="1" max="1" width="16.5546875" bestFit="1" customWidth="1"/>
    <col min="2" max="2" width="14.88671875" bestFit="1" customWidth="1"/>
    <col min="3" max="3" width="11.33203125" bestFit="1" customWidth="1"/>
    <col min="4" max="4" width="11.88671875" bestFit="1" customWidth="1"/>
    <col min="5" max="5" width="80.88671875" bestFit="1" customWidth="1"/>
    <col min="6" max="6" width="13.5546875" bestFit="1" customWidth="1"/>
    <col min="7" max="7" width="80" bestFit="1" customWidth="1"/>
    <col min="8" max="8" width="12" bestFit="1" customWidth="1"/>
    <col min="9" max="9" width="80" bestFit="1" customWidth="1"/>
    <col min="10" max="10" width="60.33203125" bestFit="1" customWidth="1"/>
    <col min="11" max="11" width="40.6640625" bestFit="1" customWidth="1"/>
    <col min="12" max="12" width="18.6640625" bestFit="1" customWidth="1"/>
    <col min="13" max="13" width="39.88671875" bestFit="1" customWidth="1"/>
    <col min="14" max="14" width="10.6640625" bestFit="1" customWidth="1"/>
    <col min="15" max="15" width="61.88671875" bestFit="1" customWidth="1"/>
    <col min="16" max="16" width="23" bestFit="1" customWidth="1"/>
    <col min="17" max="17" width="8.88671875" bestFit="1" customWidth="1"/>
    <col min="18" max="18" width="13.6640625" bestFit="1" customWidth="1"/>
    <col min="19" max="19" width="21.5546875" bestFit="1" customWidth="1"/>
    <col min="20" max="20" width="19.109375" bestFit="1" customWidth="1"/>
    <col min="21" max="21" width="23.33203125" bestFit="1" customWidth="1"/>
    <col min="22" max="22" width="30.88671875" bestFit="1" customWidth="1"/>
    <col min="23" max="23" width="12" bestFit="1" customWidth="1"/>
    <col min="24" max="24" width="14" bestFit="1" customWidth="1"/>
    <col min="25" max="25" width="12.6640625" bestFit="1" customWidth="1"/>
    <col min="26" max="26" width="22.6640625" bestFit="1" customWidth="1"/>
    <col min="27" max="27" width="16.44140625" bestFit="1" customWidth="1"/>
    <col min="28" max="28" width="16.5546875" bestFit="1" customWidth="1"/>
    <col min="29" max="29" width="8.5546875" bestFit="1" customWidth="1"/>
    <col min="30" max="30" width="21" bestFit="1" customWidth="1"/>
    <col min="31" max="31" width="21.109375" bestFit="1" customWidth="1"/>
    <col min="32" max="32" width="40.33203125" bestFit="1" customWidth="1"/>
    <col min="33" max="33" width="16" bestFit="1" customWidth="1"/>
    <col min="34" max="34" width="15.33203125" bestFit="1" customWidth="1"/>
    <col min="35" max="36" width="19.6640625" bestFit="1" customWidth="1"/>
    <col min="37" max="37" width="16.5546875" bestFit="1" customWidth="1"/>
    <col min="38" max="38" width="13.88671875" bestFit="1" customWidth="1"/>
    <col min="39" max="39" width="8.109375" bestFit="1" customWidth="1"/>
    <col min="40" max="40" width="11.88671875" bestFit="1" customWidth="1"/>
    <col min="41" max="41" width="16.6640625" bestFit="1" customWidth="1"/>
    <col min="42" max="42" width="23.6640625" bestFit="1" customWidth="1"/>
    <col min="43" max="43" width="7.33203125" bestFit="1" customWidth="1"/>
  </cols>
  <sheetData>
    <row r="1" spans="1:43" x14ac:dyDescent="0.3">
      <c r="A1" t="s">
        <v>212</v>
      </c>
      <c r="B1" t="s">
        <v>3214</v>
      </c>
      <c r="C1" t="s">
        <v>732</v>
      </c>
      <c r="D1" t="s">
        <v>733</v>
      </c>
      <c r="E1" t="s">
        <v>734</v>
      </c>
      <c r="F1" t="s">
        <v>735</v>
      </c>
      <c r="G1" t="s">
        <v>736</v>
      </c>
      <c r="H1" t="s">
        <v>40</v>
      </c>
      <c r="I1" t="s">
        <v>737</v>
      </c>
      <c r="J1" t="s">
        <v>738</v>
      </c>
      <c r="K1" t="s">
        <v>739</v>
      </c>
      <c r="L1" t="s">
        <v>740</v>
      </c>
      <c r="M1" t="s">
        <v>3215</v>
      </c>
      <c r="N1" t="s">
        <v>743</v>
      </c>
      <c r="O1" t="s">
        <v>744</v>
      </c>
      <c r="P1" t="s">
        <v>745</v>
      </c>
      <c r="Q1" t="s">
        <v>746</v>
      </c>
      <c r="R1" t="s">
        <v>747</v>
      </c>
      <c r="S1" t="s">
        <v>750</v>
      </c>
      <c r="T1" t="s">
        <v>751</v>
      </c>
      <c r="U1" t="s">
        <v>752</v>
      </c>
      <c r="V1" t="s">
        <v>753</v>
      </c>
      <c r="W1" t="s">
        <v>755</v>
      </c>
      <c r="X1" t="s">
        <v>756</v>
      </c>
      <c r="Y1" t="s">
        <v>758</v>
      </c>
      <c r="Z1" t="s">
        <v>3216</v>
      </c>
      <c r="AA1" t="s">
        <v>759</v>
      </c>
      <c r="AB1" t="s">
        <v>760</v>
      </c>
      <c r="AC1" t="s">
        <v>762</v>
      </c>
      <c r="AD1" t="s">
        <v>763</v>
      </c>
      <c r="AE1" t="s">
        <v>764</v>
      </c>
      <c r="AF1" t="s">
        <v>765</v>
      </c>
      <c r="AG1" t="s">
        <v>766</v>
      </c>
      <c r="AH1" t="s">
        <v>249</v>
      </c>
      <c r="AI1" t="s">
        <v>214</v>
      </c>
      <c r="AJ1" t="s">
        <v>769</v>
      </c>
      <c r="AK1" t="s">
        <v>770</v>
      </c>
      <c r="AL1" t="s">
        <v>260</v>
      </c>
      <c r="AM1" t="s">
        <v>258</v>
      </c>
      <c r="AN1" t="s">
        <v>257</v>
      </c>
      <c r="AO1" t="s">
        <v>772</v>
      </c>
      <c r="AP1" t="s">
        <v>771</v>
      </c>
      <c r="AQ1" t="s">
        <v>6440</v>
      </c>
    </row>
    <row r="2" spans="1:43" hidden="1" x14ac:dyDescent="0.3">
      <c r="A2" t="s">
        <v>3217</v>
      </c>
      <c r="B2">
        <v>1</v>
      </c>
      <c r="C2">
        <v>73</v>
      </c>
      <c r="D2">
        <v>39</v>
      </c>
      <c r="G2" t="s">
        <v>3218</v>
      </c>
      <c r="I2" t="s">
        <v>3218</v>
      </c>
      <c r="J2" t="s">
        <v>3218</v>
      </c>
      <c r="K2" t="s">
        <v>3219</v>
      </c>
      <c r="M2" t="s">
        <v>3220</v>
      </c>
      <c r="R2" t="s">
        <v>3221</v>
      </c>
      <c r="S2" t="s">
        <v>3222</v>
      </c>
      <c r="T2" t="s">
        <v>3223</v>
      </c>
      <c r="U2" t="s">
        <v>2692</v>
      </c>
      <c r="Y2" t="s">
        <v>3217</v>
      </c>
      <c r="Z2">
        <v>325</v>
      </c>
      <c r="AA2" s="31">
        <v>45604</v>
      </c>
      <c r="AB2" s="61">
        <v>0.72946759259259264</v>
      </c>
      <c r="AC2" t="s">
        <v>795</v>
      </c>
      <c r="AD2" s="31">
        <v>45929</v>
      </c>
      <c r="AE2" s="61">
        <v>0.70248842592592597</v>
      </c>
      <c r="AF2" t="s">
        <v>796</v>
      </c>
      <c r="AQ2">
        <v>1</v>
      </c>
    </row>
    <row r="3" spans="1:43" hidden="1" x14ac:dyDescent="0.3">
      <c r="A3" t="s">
        <v>3217</v>
      </c>
      <c r="B3">
        <v>2</v>
      </c>
      <c r="C3">
        <v>74</v>
      </c>
      <c r="D3">
        <v>41</v>
      </c>
      <c r="G3" t="s">
        <v>3224</v>
      </c>
      <c r="I3" t="s">
        <v>3225</v>
      </c>
      <c r="J3" t="s">
        <v>3225</v>
      </c>
      <c r="K3" t="s">
        <v>3226</v>
      </c>
      <c r="M3" t="s">
        <v>3227</v>
      </c>
      <c r="P3" t="s">
        <v>3228</v>
      </c>
      <c r="R3" t="s">
        <v>3221</v>
      </c>
      <c r="S3" t="s">
        <v>3222</v>
      </c>
      <c r="T3" t="s">
        <v>3223</v>
      </c>
      <c r="U3" t="s">
        <v>2692</v>
      </c>
      <c r="Y3" t="s">
        <v>3217</v>
      </c>
      <c r="Z3">
        <v>325</v>
      </c>
      <c r="AA3" s="31">
        <v>45604</v>
      </c>
      <c r="AB3" s="61">
        <v>0.72946759259259264</v>
      </c>
      <c r="AC3" t="s">
        <v>795</v>
      </c>
      <c r="AD3" s="31">
        <v>45929</v>
      </c>
      <c r="AE3" s="61">
        <v>0.70251157407407405</v>
      </c>
      <c r="AF3" t="s">
        <v>796</v>
      </c>
      <c r="AQ3">
        <v>1</v>
      </c>
    </row>
    <row r="4" spans="1:43" hidden="1" x14ac:dyDescent="0.3">
      <c r="A4" t="s">
        <v>3217</v>
      </c>
      <c r="B4">
        <v>3</v>
      </c>
      <c r="C4">
        <v>75</v>
      </c>
      <c r="D4">
        <v>43</v>
      </c>
      <c r="G4" t="s">
        <v>3229</v>
      </c>
      <c r="I4" t="s">
        <v>3229</v>
      </c>
      <c r="J4" t="s">
        <v>3229</v>
      </c>
      <c r="K4" t="s">
        <v>3230</v>
      </c>
      <c r="M4" t="s">
        <v>3231</v>
      </c>
      <c r="R4" t="s">
        <v>3221</v>
      </c>
      <c r="S4" t="s">
        <v>3222</v>
      </c>
      <c r="T4" t="s">
        <v>3223</v>
      </c>
      <c r="U4" t="s">
        <v>2692</v>
      </c>
      <c r="Y4" t="s">
        <v>3217</v>
      </c>
      <c r="Z4">
        <v>325</v>
      </c>
      <c r="AA4" s="31">
        <v>45604</v>
      </c>
      <c r="AB4" s="61">
        <v>0.72946759259259264</v>
      </c>
      <c r="AC4" t="s">
        <v>795</v>
      </c>
      <c r="AD4" s="31">
        <v>45929</v>
      </c>
      <c r="AE4" s="61">
        <v>0.70253472222222224</v>
      </c>
      <c r="AF4" t="s">
        <v>796</v>
      </c>
      <c r="AQ4">
        <v>1</v>
      </c>
    </row>
    <row r="5" spans="1:43" hidden="1" x14ac:dyDescent="0.3">
      <c r="A5" t="s">
        <v>3217</v>
      </c>
      <c r="B5">
        <v>4</v>
      </c>
      <c r="C5">
        <v>76</v>
      </c>
      <c r="D5">
        <v>45</v>
      </c>
      <c r="G5" t="s">
        <v>225</v>
      </c>
      <c r="I5" t="s">
        <v>225</v>
      </c>
      <c r="J5" t="s">
        <v>225</v>
      </c>
      <c r="K5" t="s">
        <v>3232</v>
      </c>
      <c r="M5" t="s">
        <v>3233</v>
      </c>
      <c r="P5" t="s">
        <v>3234</v>
      </c>
      <c r="Q5" t="s">
        <v>1699</v>
      </c>
      <c r="R5" t="s">
        <v>3221</v>
      </c>
      <c r="S5" t="s">
        <v>3222</v>
      </c>
      <c r="T5" t="s">
        <v>3223</v>
      </c>
      <c r="U5" t="s">
        <v>2692</v>
      </c>
      <c r="Y5" t="s">
        <v>3217</v>
      </c>
      <c r="Z5">
        <v>325</v>
      </c>
      <c r="AA5" s="31">
        <v>45604</v>
      </c>
      <c r="AB5" s="61">
        <v>0.72946759259259264</v>
      </c>
      <c r="AC5" t="s">
        <v>795</v>
      </c>
      <c r="AD5" s="31">
        <v>45929</v>
      </c>
      <c r="AE5" s="61">
        <v>0.70255787037037032</v>
      </c>
      <c r="AF5" t="s">
        <v>796</v>
      </c>
      <c r="AQ5">
        <v>1</v>
      </c>
    </row>
    <row r="6" spans="1:43" hidden="1" x14ac:dyDescent="0.3">
      <c r="A6" t="s">
        <v>3217</v>
      </c>
      <c r="B6">
        <v>5</v>
      </c>
      <c r="C6">
        <v>77</v>
      </c>
      <c r="D6">
        <v>47</v>
      </c>
      <c r="G6" t="s">
        <v>3235</v>
      </c>
      <c r="I6" t="s">
        <v>3235</v>
      </c>
      <c r="J6" t="s">
        <v>3235</v>
      </c>
      <c r="K6" t="s">
        <v>3236</v>
      </c>
      <c r="M6" t="s">
        <v>3237</v>
      </c>
      <c r="R6" t="s">
        <v>3221</v>
      </c>
      <c r="S6" t="s">
        <v>3222</v>
      </c>
      <c r="T6" t="s">
        <v>3223</v>
      </c>
      <c r="U6" t="s">
        <v>2692</v>
      </c>
      <c r="Y6" t="s">
        <v>3217</v>
      </c>
      <c r="Z6">
        <v>325</v>
      </c>
      <c r="AA6" s="31">
        <v>45604</v>
      </c>
      <c r="AB6" s="61">
        <v>0.72946759259259264</v>
      </c>
      <c r="AC6" t="s">
        <v>795</v>
      </c>
      <c r="AD6" s="31">
        <v>45929</v>
      </c>
      <c r="AE6" s="61">
        <v>0.70258101851851851</v>
      </c>
      <c r="AF6" t="s">
        <v>796</v>
      </c>
      <c r="AQ6">
        <v>1</v>
      </c>
    </row>
    <row r="7" spans="1:43" hidden="1" x14ac:dyDescent="0.3">
      <c r="A7" t="s">
        <v>3217</v>
      </c>
      <c r="B7">
        <v>6</v>
      </c>
      <c r="C7">
        <v>78</v>
      </c>
      <c r="D7">
        <v>49</v>
      </c>
      <c r="G7" t="s">
        <v>3238</v>
      </c>
      <c r="I7" t="s">
        <v>3239</v>
      </c>
      <c r="J7" t="s">
        <v>3239</v>
      </c>
      <c r="K7" t="s">
        <v>3240</v>
      </c>
      <c r="M7" t="s">
        <v>3241</v>
      </c>
      <c r="R7" t="s">
        <v>3221</v>
      </c>
      <c r="S7" t="s">
        <v>3222</v>
      </c>
      <c r="T7" t="s">
        <v>3223</v>
      </c>
      <c r="U7" t="s">
        <v>2692</v>
      </c>
      <c r="Y7" t="s">
        <v>3217</v>
      </c>
      <c r="Z7">
        <v>325</v>
      </c>
      <c r="AA7" s="31">
        <v>45604</v>
      </c>
      <c r="AB7" s="61">
        <v>0.72946759259259264</v>
      </c>
      <c r="AC7" t="s">
        <v>795</v>
      </c>
      <c r="AD7" s="31">
        <v>45929</v>
      </c>
      <c r="AE7" s="61">
        <v>0.70261574074074074</v>
      </c>
      <c r="AF7" t="s">
        <v>796</v>
      </c>
      <c r="AQ7">
        <v>1</v>
      </c>
    </row>
    <row r="8" spans="1:43" hidden="1" x14ac:dyDescent="0.3">
      <c r="A8" t="s">
        <v>3217</v>
      </c>
      <c r="B8">
        <v>7</v>
      </c>
      <c r="C8">
        <v>79</v>
      </c>
      <c r="D8">
        <v>51</v>
      </c>
      <c r="G8" t="s">
        <v>3242</v>
      </c>
      <c r="I8" t="s">
        <v>3243</v>
      </c>
      <c r="J8" t="s">
        <v>3243</v>
      </c>
      <c r="K8" t="s">
        <v>2601</v>
      </c>
      <c r="M8" t="s">
        <v>2602</v>
      </c>
      <c r="P8" t="s">
        <v>3244</v>
      </c>
      <c r="R8" t="s">
        <v>3221</v>
      </c>
      <c r="S8" t="s">
        <v>3222</v>
      </c>
      <c r="T8" t="s">
        <v>3223</v>
      </c>
      <c r="U8" t="s">
        <v>2692</v>
      </c>
      <c r="Y8" t="s">
        <v>3217</v>
      </c>
      <c r="Z8">
        <v>325</v>
      </c>
      <c r="AA8" s="31">
        <v>45604</v>
      </c>
      <c r="AB8" s="61">
        <v>0.72946759259259264</v>
      </c>
      <c r="AC8" t="s">
        <v>795</v>
      </c>
      <c r="AD8" s="31">
        <v>45929</v>
      </c>
      <c r="AE8" s="61">
        <v>0.70262731481481477</v>
      </c>
      <c r="AF8" t="s">
        <v>796</v>
      </c>
      <c r="AQ8">
        <v>1</v>
      </c>
    </row>
    <row r="9" spans="1:43" hidden="1" x14ac:dyDescent="0.3">
      <c r="A9" t="s">
        <v>3217</v>
      </c>
      <c r="B9">
        <v>8</v>
      </c>
      <c r="C9">
        <v>80</v>
      </c>
      <c r="D9">
        <v>53</v>
      </c>
      <c r="G9" t="s">
        <v>3245</v>
      </c>
      <c r="I9" t="s">
        <v>3245</v>
      </c>
      <c r="J9" t="s">
        <v>3245</v>
      </c>
      <c r="K9" t="s">
        <v>3246</v>
      </c>
      <c r="M9" t="s">
        <v>3247</v>
      </c>
      <c r="R9" t="s">
        <v>3221</v>
      </c>
      <c r="S9" t="s">
        <v>3222</v>
      </c>
      <c r="T9" t="s">
        <v>3223</v>
      </c>
      <c r="U9" t="s">
        <v>2692</v>
      </c>
      <c r="Y9" t="s">
        <v>3217</v>
      </c>
      <c r="Z9">
        <v>325</v>
      </c>
      <c r="AA9" s="31">
        <v>45604</v>
      </c>
      <c r="AB9" s="61">
        <v>0.72946759259259264</v>
      </c>
      <c r="AC9" t="s">
        <v>795</v>
      </c>
      <c r="AD9" s="31">
        <v>45929</v>
      </c>
      <c r="AE9" s="61">
        <v>0.70267361111111115</v>
      </c>
      <c r="AF9" t="s">
        <v>796</v>
      </c>
      <c r="AQ9">
        <v>1</v>
      </c>
    </row>
    <row r="10" spans="1:43" hidden="1" x14ac:dyDescent="0.3">
      <c r="A10" t="s">
        <v>3217</v>
      </c>
      <c r="B10">
        <v>9</v>
      </c>
      <c r="C10">
        <v>81</v>
      </c>
      <c r="D10">
        <v>55</v>
      </c>
      <c r="G10" t="s">
        <v>3248</v>
      </c>
      <c r="I10" t="s">
        <v>3248</v>
      </c>
      <c r="J10" t="s">
        <v>3248</v>
      </c>
      <c r="K10" t="s">
        <v>3249</v>
      </c>
      <c r="M10" t="s">
        <v>3250</v>
      </c>
      <c r="R10" t="s">
        <v>3221</v>
      </c>
      <c r="S10" t="s">
        <v>3222</v>
      </c>
      <c r="T10" t="s">
        <v>3223</v>
      </c>
      <c r="U10" t="s">
        <v>2692</v>
      </c>
      <c r="Y10" t="s">
        <v>3217</v>
      </c>
      <c r="Z10">
        <v>325</v>
      </c>
      <c r="AA10" s="31">
        <v>45604</v>
      </c>
      <c r="AB10" s="61">
        <v>0.72947916666666668</v>
      </c>
      <c r="AC10" t="s">
        <v>795</v>
      </c>
      <c r="AD10" s="31">
        <v>45929</v>
      </c>
      <c r="AE10" s="61">
        <v>0.70270833333333338</v>
      </c>
      <c r="AF10" t="s">
        <v>796</v>
      </c>
      <c r="AQ10">
        <v>1</v>
      </c>
    </row>
    <row r="11" spans="1:43" hidden="1" x14ac:dyDescent="0.3">
      <c r="A11" t="s">
        <v>3217</v>
      </c>
      <c r="B11">
        <v>10</v>
      </c>
      <c r="C11">
        <v>82</v>
      </c>
      <c r="D11">
        <v>57</v>
      </c>
      <c r="G11" t="s">
        <v>3251</v>
      </c>
      <c r="I11" t="s">
        <v>3251</v>
      </c>
      <c r="J11" t="s">
        <v>3251</v>
      </c>
      <c r="K11" t="s">
        <v>3252</v>
      </c>
      <c r="M11" t="s">
        <v>3253</v>
      </c>
      <c r="P11" t="s">
        <v>923</v>
      </c>
      <c r="R11" t="s">
        <v>3221</v>
      </c>
      <c r="S11" t="s">
        <v>3222</v>
      </c>
      <c r="T11" t="s">
        <v>3223</v>
      </c>
      <c r="U11" t="s">
        <v>2692</v>
      </c>
      <c r="Y11" t="s">
        <v>3217</v>
      </c>
      <c r="Z11">
        <v>325</v>
      </c>
      <c r="AA11" s="31">
        <v>45604</v>
      </c>
      <c r="AB11" s="61">
        <v>0.72947916666666668</v>
      </c>
      <c r="AC11" t="s">
        <v>795</v>
      </c>
      <c r="AD11" s="31">
        <v>45929</v>
      </c>
      <c r="AE11" s="61">
        <v>0.70271990740740742</v>
      </c>
      <c r="AF11" t="s">
        <v>796</v>
      </c>
      <c r="AQ11">
        <v>1</v>
      </c>
    </row>
    <row r="12" spans="1:43" hidden="1" x14ac:dyDescent="0.3">
      <c r="A12" t="s">
        <v>3217</v>
      </c>
      <c r="B12">
        <v>11</v>
      </c>
      <c r="C12">
        <v>83</v>
      </c>
      <c r="D12">
        <v>59</v>
      </c>
      <c r="G12" t="s">
        <v>3254</v>
      </c>
      <c r="I12" t="s">
        <v>3255</v>
      </c>
      <c r="J12" t="s">
        <v>3255</v>
      </c>
      <c r="M12" t="s">
        <v>3256</v>
      </c>
      <c r="P12" t="s">
        <v>3257</v>
      </c>
      <c r="R12" t="s">
        <v>3221</v>
      </c>
      <c r="S12" t="s">
        <v>3222</v>
      </c>
      <c r="T12" t="s">
        <v>3223</v>
      </c>
      <c r="U12" t="s">
        <v>2692</v>
      </c>
      <c r="Y12" t="s">
        <v>3217</v>
      </c>
      <c r="Z12">
        <v>325</v>
      </c>
      <c r="AA12" s="31">
        <v>45604</v>
      </c>
      <c r="AB12" s="61">
        <v>0.72947916666666668</v>
      </c>
      <c r="AC12" t="s">
        <v>795</v>
      </c>
      <c r="AD12" s="31">
        <v>45929</v>
      </c>
      <c r="AE12" s="61">
        <v>0.70274305555555561</v>
      </c>
      <c r="AF12" t="s">
        <v>796</v>
      </c>
      <c r="AQ12">
        <v>1</v>
      </c>
    </row>
    <row r="13" spans="1:43" hidden="1" x14ac:dyDescent="0.3">
      <c r="A13" t="s">
        <v>3217</v>
      </c>
      <c r="B13">
        <v>12</v>
      </c>
      <c r="C13">
        <v>84</v>
      </c>
      <c r="D13">
        <v>61</v>
      </c>
      <c r="G13" t="s">
        <v>3258</v>
      </c>
      <c r="I13" t="s">
        <v>3258</v>
      </c>
      <c r="J13" t="s">
        <v>3258</v>
      </c>
      <c r="K13" t="s">
        <v>3259</v>
      </c>
      <c r="M13" t="s">
        <v>3260</v>
      </c>
      <c r="R13" t="s">
        <v>3221</v>
      </c>
      <c r="S13" t="s">
        <v>3222</v>
      </c>
      <c r="T13" t="s">
        <v>3223</v>
      </c>
      <c r="U13" t="s">
        <v>2692</v>
      </c>
      <c r="Y13" t="s">
        <v>3217</v>
      </c>
      <c r="Z13">
        <v>325</v>
      </c>
      <c r="AA13" s="31">
        <v>45604</v>
      </c>
      <c r="AB13" s="61">
        <v>0.72947916666666668</v>
      </c>
      <c r="AC13" t="s">
        <v>795</v>
      </c>
      <c r="AD13" s="31">
        <v>45929</v>
      </c>
      <c r="AE13" s="61">
        <v>0.70277777777777772</v>
      </c>
      <c r="AF13" t="s">
        <v>796</v>
      </c>
      <c r="AQ13">
        <v>1</v>
      </c>
    </row>
    <row r="14" spans="1:43" hidden="1" x14ac:dyDescent="0.3">
      <c r="A14" t="s">
        <v>3217</v>
      </c>
      <c r="B14">
        <v>13</v>
      </c>
      <c r="C14">
        <v>85</v>
      </c>
      <c r="D14">
        <v>63</v>
      </c>
      <c r="G14" t="s">
        <v>605</v>
      </c>
      <c r="I14" t="s">
        <v>3261</v>
      </c>
      <c r="J14" t="s">
        <v>3261</v>
      </c>
      <c r="K14" t="s">
        <v>3262</v>
      </c>
      <c r="M14" t="s">
        <v>3263</v>
      </c>
      <c r="P14" t="s">
        <v>3264</v>
      </c>
      <c r="R14" t="s">
        <v>3221</v>
      </c>
      <c r="S14" t="s">
        <v>3222</v>
      </c>
      <c r="T14" t="s">
        <v>3223</v>
      </c>
      <c r="U14" t="s">
        <v>2692</v>
      </c>
      <c r="Y14" t="s">
        <v>3217</v>
      </c>
      <c r="Z14">
        <v>325</v>
      </c>
      <c r="AA14" s="31">
        <v>45604</v>
      </c>
      <c r="AB14" s="61">
        <v>0.72947916666666668</v>
      </c>
      <c r="AC14" t="s">
        <v>795</v>
      </c>
      <c r="AD14" s="31">
        <v>45929</v>
      </c>
      <c r="AE14" s="61">
        <v>0.70281249999999995</v>
      </c>
      <c r="AF14" t="s">
        <v>796</v>
      </c>
      <c r="AQ14">
        <v>1</v>
      </c>
    </row>
    <row r="15" spans="1:43" hidden="1" x14ac:dyDescent="0.3">
      <c r="A15" t="s">
        <v>3217</v>
      </c>
      <c r="B15">
        <v>14</v>
      </c>
      <c r="C15">
        <v>86</v>
      </c>
      <c r="D15">
        <v>65</v>
      </c>
      <c r="G15" t="s">
        <v>3265</v>
      </c>
      <c r="I15" t="s">
        <v>3265</v>
      </c>
      <c r="J15" t="s">
        <v>3265</v>
      </c>
      <c r="K15" t="s">
        <v>3266</v>
      </c>
      <c r="M15" t="s">
        <v>3267</v>
      </c>
      <c r="P15" t="s">
        <v>3268</v>
      </c>
      <c r="R15" t="s">
        <v>3221</v>
      </c>
      <c r="S15" t="s">
        <v>3222</v>
      </c>
      <c r="T15" t="s">
        <v>3223</v>
      </c>
      <c r="U15" t="s">
        <v>2692</v>
      </c>
      <c r="Y15" t="s">
        <v>3217</v>
      </c>
      <c r="Z15">
        <v>325</v>
      </c>
      <c r="AA15" s="31">
        <v>45604</v>
      </c>
      <c r="AB15" s="61">
        <v>0.72947916666666668</v>
      </c>
      <c r="AC15" t="s">
        <v>795</v>
      </c>
      <c r="AD15" s="31">
        <v>45929</v>
      </c>
      <c r="AE15" s="61">
        <v>0.70285879629629633</v>
      </c>
      <c r="AF15" t="s">
        <v>796</v>
      </c>
      <c r="AQ15">
        <v>1</v>
      </c>
    </row>
    <row r="16" spans="1:43" hidden="1" x14ac:dyDescent="0.3">
      <c r="A16" t="s">
        <v>3217</v>
      </c>
      <c r="B16">
        <v>15</v>
      </c>
      <c r="C16">
        <v>87</v>
      </c>
      <c r="D16">
        <v>67</v>
      </c>
      <c r="G16" t="s">
        <v>3269</v>
      </c>
      <c r="I16" t="s">
        <v>3269</v>
      </c>
      <c r="J16" t="s">
        <v>3269</v>
      </c>
      <c r="K16" t="s">
        <v>3270</v>
      </c>
      <c r="M16" t="s">
        <v>3271</v>
      </c>
      <c r="R16" t="s">
        <v>3221</v>
      </c>
      <c r="S16" t="s">
        <v>3222</v>
      </c>
      <c r="T16" t="s">
        <v>3223</v>
      </c>
      <c r="U16" t="s">
        <v>2692</v>
      </c>
      <c r="Y16" t="s">
        <v>3217</v>
      </c>
      <c r="Z16">
        <v>325</v>
      </c>
      <c r="AA16" s="31">
        <v>45604</v>
      </c>
      <c r="AB16" s="61">
        <v>0.72947916666666668</v>
      </c>
      <c r="AC16" t="s">
        <v>795</v>
      </c>
      <c r="AD16" s="31">
        <v>45929</v>
      </c>
      <c r="AE16" s="61">
        <v>0.70288194444444441</v>
      </c>
      <c r="AF16" t="s">
        <v>796</v>
      </c>
      <c r="AQ16">
        <v>1</v>
      </c>
    </row>
    <row r="17" spans="1:43" hidden="1" x14ac:dyDescent="0.3">
      <c r="A17" t="s">
        <v>3217</v>
      </c>
      <c r="B17">
        <v>16</v>
      </c>
      <c r="C17">
        <v>88</v>
      </c>
      <c r="D17">
        <v>69</v>
      </c>
      <c r="G17" t="s">
        <v>660</v>
      </c>
      <c r="I17" t="s">
        <v>660</v>
      </c>
      <c r="J17" t="s">
        <v>660</v>
      </c>
      <c r="K17" t="s">
        <v>3272</v>
      </c>
      <c r="M17" t="s">
        <v>3273</v>
      </c>
      <c r="P17" t="s">
        <v>3274</v>
      </c>
      <c r="Q17" t="s">
        <v>932</v>
      </c>
      <c r="R17" t="s">
        <v>3221</v>
      </c>
      <c r="S17" t="s">
        <v>3222</v>
      </c>
      <c r="T17" t="s">
        <v>3223</v>
      </c>
      <c r="U17" t="s">
        <v>2692</v>
      </c>
      <c r="W17">
        <v>0</v>
      </c>
      <c r="X17">
        <v>0</v>
      </c>
      <c r="Y17" t="s">
        <v>3217</v>
      </c>
      <c r="Z17">
        <v>325</v>
      </c>
      <c r="AA17" s="31">
        <v>45604</v>
      </c>
      <c r="AB17" s="61">
        <v>0.72947916666666668</v>
      </c>
      <c r="AC17" t="s">
        <v>795</v>
      </c>
      <c r="AD17" s="31">
        <v>45929</v>
      </c>
      <c r="AE17" s="61">
        <v>0.70248842592592597</v>
      </c>
      <c r="AF17" t="s">
        <v>796</v>
      </c>
      <c r="AQ17">
        <v>1</v>
      </c>
    </row>
    <row r="18" spans="1:43" hidden="1" x14ac:dyDescent="0.3">
      <c r="A18" t="s">
        <v>3217</v>
      </c>
      <c r="B18">
        <v>17</v>
      </c>
      <c r="C18">
        <v>89</v>
      </c>
      <c r="D18">
        <v>71</v>
      </c>
      <c r="G18" t="s">
        <v>3275</v>
      </c>
      <c r="I18" t="s">
        <v>3275</v>
      </c>
      <c r="J18" t="s">
        <v>3275</v>
      </c>
      <c r="K18" t="s">
        <v>3276</v>
      </c>
      <c r="M18" t="s">
        <v>3277</v>
      </c>
      <c r="R18" t="s">
        <v>3221</v>
      </c>
      <c r="S18" t="s">
        <v>3222</v>
      </c>
      <c r="T18" t="s">
        <v>3223</v>
      </c>
      <c r="U18" t="s">
        <v>2692</v>
      </c>
      <c r="Y18" t="s">
        <v>3217</v>
      </c>
      <c r="Z18">
        <v>325</v>
      </c>
      <c r="AA18" s="31">
        <v>45604</v>
      </c>
      <c r="AB18" s="61">
        <v>0.72947916666666668</v>
      </c>
      <c r="AC18" t="s">
        <v>795</v>
      </c>
      <c r="AD18" s="31">
        <v>45929</v>
      </c>
      <c r="AE18" s="61">
        <v>0.70251157407407405</v>
      </c>
      <c r="AF18" t="s">
        <v>796</v>
      </c>
      <c r="AQ18">
        <v>1</v>
      </c>
    </row>
    <row r="19" spans="1:43" hidden="1" x14ac:dyDescent="0.3">
      <c r="A19" t="s">
        <v>3217</v>
      </c>
      <c r="B19">
        <v>18</v>
      </c>
      <c r="C19">
        <v>90</v>
      </c>
      <c r="D19">
        <v>73</v>
      </c>
      <c r="G19" t="s">
        <v>3278</v>
      </c>
      <c r="I19" t="s">
        <v>3278</v>
      </c>
      <c r="J19" t="s">
        <v>3278</v>
      </c>
      <c r="M19" t="s">
        <v>3279</v>
      </c>
      <c r="R19" t="s">
        <v>3221</v>
      </c>
      <c r="S19" t="s">
        <v>3222</v>
      </c>
      <c r="T19" t="s">
        <v>3223</v>
      </c>
      <c r="U19" t="s">
        <v>2692</v>
      </c>
      <c r="Y19" t="s">
        <v>3217</v>
      </c>
      <c r="Z19">
        <v>325</v>
      </c>
      <c r="AA19" s="31">
        <v>45604</v>
      </c>
      <c r="AB19" s="61">
        <v>0.72947916666666668</v>
      </c>
      <c r="AC19" t="s">
        <v>795</v>
      </c>
      <c r="AD19" s="31">
        <v>45929</v>
      </c>
      <c r="AE19" s="61">
        <v>0.70254629629629628</v>
      </c>
      <c r="AF19" t="s">
        <v>796</v>
      </c>
      <c r="AQ19">
        <v>1</v>
      </c>
    </row>
    <row r="20" spans="1:43" hidden="1" x14ac:dyDescent="0.3">
      <c r="A20" t="s">
        <v>3217</v>
      </c>
      <c r="B20">
        <v>19</v>
      </c>
      <c r="C20">
        <v>91</v>
      </c>
      <c r="D20">
        <v>75</v>
      </c>
      <c r="G20" t="s">
        <v>3280</v>
      </c>
      <c r="I20" t="s">
        <v>3280</v>
      </c>
      <c r="J20" t="s">
        <v>3280</v>
      </c>
      <c r="M20" t="s">
        <v>3281</v>
      </c>
      <c r="R20" t="s">
        <v>3221</v>
      </c>
      <c r="S20" t="s">
        <v>3222</v>
      </c>
      <c r="T20" t="s">
        <v>3223</v>
      </c>
      <c r="U20" t="s">
        <v>2692</v>
      </c>
      <c r="Y20" t="s">
        <v>3217</v>
      </c>
      <c r="Z20">
        <v>325</v>
      </c>
      <c r="AA20" s="31">
        <v>45604</v>
      </c>
      <c r="AB20" s="61">
        <v>0.72947916666666668</v>
      </c>
      <c r="AC20" t="s">
        <v>795</v>
      </c>
      <c r="AD20" s="31">
        <v>45929</v>
      </c>
      <c r="AE20" s="61">
        <v>0.70256944444444447</v>
      </c>
      <c r="AF20" t="s">
        <v>796</v>
      </c>
      <c r="AQ20">
        <v>1</v>
      </c>
    </row>
    <row r="21" spans="1:43" hidden="1" x14ac:dyDescent="0.3">
      <c r="A21" t="s">
        <v>3217</v>
      </c>
      <c r="B21">
        <v>20</v>
      </c>
      <c r="C21">
        <v>92</v>
      </c>
      <c r="D21">
        <v>77</v>
      </c>
      <c r="G21" t="s">
        <v>3282</v>
      </c>
      <c r="I21" t="s">
        <v>3282</v>
      </c>
      <c r="J21" t="s">
        <v>3282</v>
      </c>
      <c r="K21" t="s">
        <v>3283</v>
      </c>
      <c r="M21" t="s">
        <v>3284</v>
      </c>
      <c r="R21" t="s">
        <v>3221</v>
      </c>
      <c r="S21" t="s">
        <v>3222</v>
      </c>
      <c r="T21" t="s">
        <v>3223</v>
      </c>
      <c r="U21" t="s">
        <v>2692</v>
      </c>
      <c r="Y21" t="s">
        <v>3217</v>
      </c>
      <c r="Z21">
        <v>325</v>
      </c>
      <c r="AA21" s="31">
        <v>45604</v>
      </c>
      <c r="AB21" s="61">
        <v>0.72947916666666668</v>
      </c>
      <c r="AC21" t="s">
        <v>795</v>
      </c>
      <c r="AD21" s="31">
        <v>45929</v>
      </c>
      <c r="AE21" s="61">
        <v>0.70259259259259255</v>
      </c>
      <c r="AF21" t="s">
        <v>796</v>
      </c>
      <c r="AQ21">
        <v>1</v>
      </c>
    </row>
    <row r="22" spans="1:43" hidden="1" x14ac:dyDescent="0.3">
      <c r="A22" t="s">
        <v>3217</v>
      </c>
      <c r="B22">
        <v>21</v>
      </c>
      <c r="C22">
        <v>93</v>
      </c>
      <c r="D22">
        <v>79</v>
      </c>
      <c r="G22" t="s">
        <v>3285</v>
      </c>
      <c r="I22" t="s">
        <v>3285</v>
      </c>
      <c r="J22" t="s">
        <v>3285</v>
      </c>
      <c r="M22" t="s">
        <v>3286</v>
      </c>
      <c r="R22" t="s">
        <v>3221</v>
      </c>
      <c r="S22" t="s">
        <v>3222</v>
      </c>
      <c r="T22" t="s">
        <v>3223</v>
      </c>
      <c r="U22" t="s">
        <v>2692</v>
      </c>
      <c r="Y22" t="s">
        <v>3217</v>
      </c>
      <c r="Z22">
        <v>325</v>
      </c>
      <c r="AA22" s="31">
        <v>45604</v>
      </c>
      <c r="AB22" s="61">
        <v>0.72947916666666668</v>
      </c>
      <c r="AC22" t="s">
        <v>795</v>
      </c>
      <c r="AD22" s="31">
        <v>45929</v>
      </c>
      <c r="AE22" s="61">
        <v>0.70261574074074074</v>
      </c>
      <c r="AF22" t="s">
        <v>796</v>
      </c>
      <c r="AQ22">
        <v>1</v>
      </c>
    </row>
    <row r="23" spans="1:43" hidden="1" x14ac:dyDescent="0.3">
      <c r="A23" t="s">
        <v>3217</v>
      </c>
      <c r="B23">
        <v>22</v>
      </c>
      <c r="C23">
        <v>94</v>
      </c>
      <c r="D23">
        <v>81</v>
      </c>
      <c r="G23" t="s">
        <v>1233</v>
      </c>
      <c r="I23" t="s">
        <v>1233</v>
      </c>
      <c r="J23" t="s">
        <v>1233</v>
      </c>
      <c r="K23" t="s">
        <v>3287</v>
      </c>
      <c r="M23" t="s">
        <v>3288</v>
      </c>
      <c r="R23" t="s">
        <v>3221</v>
      </c>
      <c r="S23" t="s">
        <v>3222</v>
      </c>
      <c r="T23" t="s">
        <v>3223</v>
      </c>
      <c r="U23" t="s">
        <v>2692</v>
      </c>
      <c r="Y23" t="s">
        <v>3217</v>
      </c>
      <c r="Z23">
        <v>325</v>
      </c>
      <c r="AA23" s="31">
        <v>45604</v>
      </c>
      <c r="AB23" s="61">
        <v>0.72947916666666668</v>
      </c>
      <c r="AC23" t="s">
        <v>795</v>
      </c>
      <c r="AD23" s="31">
        <v>45929</v>
      </c>
      <c r="AE23" s="61">
        <v>0.70265046296296296</v>
      </c>
      <c r="AF23" t="s">
        <v>796</v>
      </c>
      <c r="AQ23">
        <v>1</v>
      </c>
    </row>
    <row r="24" spans="1:43" hidden="1" x14ac:dyDescent="0.3">
      <c r="A24" t="s">
        <v>3217</v>
      </c>
      <c r="B24">
        <v>23</v>
      </c>
      <c r="C24">
        <v>95</v>
      </c>
      <c r="D24">
        <v>83</v>
      </c>
      <c r="G24" t="s">
        <v>3289</v>
      </c>
      <c r="I24" t="s">
        <v>3289</v>
      </c>
      <c r="J24" t="s">
        <v>3289</v>
      </c>
      <c r="M24" t="s">
        <v>3290</v>
      </c>
      <c r="R24" t="s">
        <v>3221</v>
      </c>
      <c r="S24" t="s">
        <v>3222</v>
      </c>
      <c r="T24" t="s">
        <v>3223</v>
      </c>
      <c r="U24" t="s">
        <v>2692</v>
      </c>
      <c r="Y24" t="s">
        <v>3217</v>
      </c>
      <c r="Z24">
        <v>325</v>
      </c>
      <c r="AA24" s="31">
        <v>45604</v>
      </c>
      <c r="AB24" s="61">
        <v>0.72947916666666668</v>
      </c>
      <c r="AC24" t="s">
        <v>795</v>
      </c>
      <c r="AD24" s="31">
        <v>45929</v>
      </c>
      <c r="AE24" s="61">
        <v>0.702662037037037</v>
      </c>
      <c r="AF24" t="s">
        <v>796</v>
      </c>
      <c r="AQ24">
        <v>1</v>
      </c>
    </row>
    <row r="25" spans="1:43" hidden="1" x14ac:dyDescent="0.3">
      <c r="A25" t="s">
        <v>3217</v>
      </c>
      <c r="B25">
        <v>24</v>
      </c>
      <c r="C25">
        <v>96</v>
      </c>
      <c r="D25">
        <v>85</v>
      </c>
      <c r="G25" t="s">
        <v>3291</v>
      </c>
      <c r="I25" t="s">
        <v>3291</v>
      </c>
      <c r="J25" t="s">
        <v>3291</v>
      </c>
      <c r="K25" t="s">
        <v>3292</v>
      </c>
      <c r="M25" t="s">
        <v>3293</v>
      </c>
      <c r="R25" t="s">
        <v>3221</v>
      </c>
      <c r="S25" t="s">
        <v>3222</v>
      </c>
      <c r="T25" t="s">
        <v>3223</v>
      </c>
      <c r="U25" t="s">
        <v>2692</v>
      </c>
      <c r="Y25" t="s">
        <v>3217</v>
      </c>
      <c r="Z25">
        <v>325</v>
      </c>
      <c r="AA25" s="31">
        <v>45604</v>
      </c>
      <c r="AB25" s="61">
        <v>0.72947916666666668</v>
      </c>
      <c r="AC25" t="s">
        <v>795</v>
      </c>
      <c r="AD25" s="31">
        <v>45929</v>
      </c>
      <c r="AE25" s="61">
        <v>0.70269675925925923</v>
      </c>
      <c r="AF25" t="s">
        <v>796</v>
      </c>
      <c r="AQ25">
        <v>1</v>
      </c>
    </row>
    <row r="26" spans="1:43" hidden="1" x14ac:dyDescent="0.3">
      <c r="A26" t="s">
        <v>3217</v>
      </c>
      <c r="B26">
        <v>25</v>
      </c>
      <c r="C26">
        <v>97</v>
      </c>
      <c r="D26">
        <v>87</v>
      </c>
      <c r="G26" t="s">
        <v>669</v>
      </c>
      <c r="H26">
        <v>22500484000170</v>
      </c>
      <c r="I26" t="s">
        <v>669</v>
      </c>
      <c r="J26" t="s">
        <v>669</v>
      </c>
      <c r="M26" t="s">
        <v>3294</v>
      </c>
      <c r="R26" t="s">
        <v>3221</v>
      </c>
      <c r="S26" t="s">
        <v>3222</v>
      </c>
      <c r="T26" t="s">
        <v>3223</v>
      </c>
      <c r="U26" t="s">
        <v>2692</v>
      </c>
      <c r="Y26" t="s">
        <v>3217</v>
      </c>
      <c r="Z26">
        <v>325</v>
      </c>
      <c r="AA26" s="31">
        <v>45604</v>
      </c>
      <c r="AB26" s="61">
        <v>0.72947916666666668</v>
      </c>
      <c r="AC26" t="s">
        <v>795</v>
      </c>
      <c r="AD26" s="31">
        <v>45929</v>
      </c>
      <c r="AE26" s="61">
        <v>0.70271990740740742</v>
      </c>
      <c r="AF26" t="s">
        <v>796</v>
      </c>
      <c r="AQ26">
        <v>1</v>
      </c>
    </row>
    <row r="27" spans="1:43" hidden="1" x14ac:dyDescent="0.3">
      <c r="A27" t="s">
        <v>3217</v>
      </c>
      <c r="B27">
        <v>26</v>
      </c>
      <c r="C27">
        <v>98</v>
      </c>
      <c r="D27">
        <v>89</v>
      </c>
      <c r="G27" t="s">
        <v>604</v>
      </c>
      <c r="I27" t="s">
        <v>604</v>
      </c>
      <c r="J27" t="s">
        <v>604</v>
      </c>
      <c r="M27" t="s">
        <v>3295</v>
      </c>
      <c r="R27" t="s">
        <v>3221</v>
      </c>
      <c r="S27" t="s">
        <v>3222</v>
      </c>
      <c r="T27" t="s">
        <v>3223</v>
      </c>
      <c r="U27" t="s">
        <v>2692</v>
      </c>
      <c r="Y27" t="s">
        <v>3217</v>
      </c>
      <c r="Z27">
        <v>325</v>
      </c>
      <c r="AA27" s="31">
        <v>45604</v>
      </c>
      <c r="AB27" s="61">
        <v>0.72949074074074072</v>
      </c>
      <c r="AC27" t="s">
        <v>795</v>
      </c>
      <c r="AD27" s="31">
        <v>45929</v>
      </c>
      <c r="AE27" s="61">
        <v>0.70274305555555561</v>
      </c>
      <c r="AF27" t="s">
        <v>796</v>
      </c>
      <c r="AQ27">
        <v>1</v>
      </c>
    </row>
    <row r="28" spans="1:43" hidden="1" x14ac:dyDescent="0.3">
      <c r="A28" t="s">
        <v>3217</v>
      </c>
      <c r="B28">
        <v>27</v>
      </c>
      <c r="C28">
        <v>99</v>
      </c>
      <c r="D28">
        <v>91</v>
      </c>
      <c r="G28" t="s">
        <v>3296</v>
      </c>
      <c r="I28" t="s">
        <v>3296</v>
      </c>
      <c r="J28" t="s">
        <v>3296</v>
      </c>
      <c r="K28" t="s">
        <v>3297</v>
      </c>
      <c r="M28" t="s">
        <v>3298</v>
      </c>
      <c r="P28" t="s">
        <v>3299</v>
      </c>
      <c r="Q28" t="s">
        <v>1699</v>
      </c>
      <c r="R28" t="s">
        <v>3221</v>
      </c>
      <c r="S28" t="s">
        <v>3222</v>
      </c>
      <c r="T28" t="s">
        <v>3223</v>
      </c>
      <c r="U28" t="s">
        <v>2692</v>
      </c>
      <c r="Y28" t="s">
        <v>3217</v>
      </c>
      <c r="Z28">
        <v>325</v>
      </c>
      <c r="AA28" s="31">
        <v>45604</v>
      </c>
      <c r="AB28" s="61">
        <v>0.72949074074074072</v>
      </c>
      <c r="AC28" t="s">
        <v>795</v>
      </c>
      <c r="AD28" s="31">
        <v>45929</v>
      </c>
      <c r="AE28" s="61">
        <v>0.70277777777777772</v>
      </c>
      <c r="AF28" t="s">
        <v>796</v>
      </c>
      <c r="AQ28">
        <v>1</v>
      </c>
    </row>
    <row r="29" spans="1:43" hidden="1" x14ac:dyDescent="0.3">
      <c r="A29" t="s">
        <v>3217</v>
      </c>
      <c r="B29">
        <v>28</v>
      </c>
      <c r="C29">
        <v>100</v>
      </c>
      <c r="D29">
        <v>93</v>
      </c>
      <c r="G29" t="s">
        <v>3300</v>
      </c>
      <c r="I29" t="s">
        <v>3300</v>
      </c>
      <c r="J29" t="s">
        <v>3300</v>
      </c>
      <c r="K29" t="s">
        <v>3301</v>
      </c>
      <c r="M29" t="s">
        <v>3302</v>
      </c>
      <c r="P29" t="s">
        <v>923</v>
      </c>
      <c r="Q29" t="s">
        <v>790</v>
      </c>
      <c r="R29" t="s">
        <v>3221</v>
      </c>
      <c r="S29" t="s">
        <v>3222</v>
      </c>
      <c r="T29" t="s">
        <v>3223</v>
      </c>
      <c r="U29" t="s">
        <v>2692</v>
      </c>
      <c r="Y29" t="s">
        <v>3217</v>
      </c>
      <c r="Z29">
        <v>325</v>
      </c>
      <c r="AA29" s="31">
        <v>45604</v>
      </c>
      <c r="AB29" s="61">
        <v>0.72949074074074072</v>
      </c>
      <c r="AC29" t="s">
        <v>795</v>
      </c>
      <c r="AD29" s="31">
        <v>45929</v>
      </c>
      <c r="AE29" s="61">
        <v>0.70280092592592591</v>
      </c>
      <c r="AF29" t="s">
        <v>796</v>
      </c>
      <c r="AQ29">
        <v>1</v>
      </c>
    </row>
    <row r="30" spans="1:43" hidden="1" x14ac:dyDescent="0.3">
      <c r="A30" t="s">
        <v>3217</v>
      </c>
      <c r="B30">
        <v>29</v>
      </c>
      <c r="C30">
        <v>101</v>
      </c>
      <c r="D30">
        <v>95</v>
      </c>
      <c r="G30" t="s">
        <v>3303</v>
      </c>
      <c r="I30" t="s">
        <v>3303</v>
      </c>
      <c r="J30" t="s">
        <v>3303</v>
      </c>
      <c r="K30" t="s">
        <v>3304</v>
      </c>
      <c r="M30" t="s">
        <v>3305</v>
      </c>
      <c r="R30" t="s">
        <v>3221</v>
      </c>
      <c r="S30" t="s">
        <v>3222</v>
      </c>
      <c r="T30" t="s">
        <v>3223</v>
      </c>
      <c r="U30" t="s">
        <v>2692</v>
      </c>
      <c r="Y30" t="s">
        <v>3217</v>
      </c>
      <c r="Z30">
        <v>325</v>
      </c>
      <c r="AA30" s="31">
        <v>45604</v>
      </c>
      <c r="AB30" s="61">
        <v>0.72949074074074072</v>
      </c>
      <c r="AC30" t="s">
        <v>795</v>
      </c>
      <c r="AD30" s="31">
        <v>45929</v>
      </c>
      <c r="AE30" s="61">
        <v>0.7028240740740741</v>
      </c>
      <c r="AF30" t="s">
        <v>796</v>
      </c>
      <c r="AQ30">
        <v>1</v>
      </c>
    </row>
    <row r="31" spans="1:43" hidden="1" x14ac:dyDescent="0.3">
      <c r="A31" t="s">
        <v>3217</v>
      </c>
      <c r="B31">
        <v>30</v>
      </c>
      <c r="C31">
        <v>102</v>
      </c>
      <c r="D31">
        <v>97</v>
      </c>
      <c r="G31" t="s">
        <v>3306</v>
      </c>
      <c r="I31" t="s">
        <v>3306</v>
      </c>
      <c r="J31" t="s">
        <v>3306</v>
      </c>
      <c r="K31" t="s">
        <v>3307</v>
      </c>
      <c r="M31" t="s">
        <v>3308</v>
      </c>
      <c r="R31" t="s">
        <v>3221</v>
      </c>
      <c r="S31" t="s">
        <v>3222</v>
      </c>
      <c r="T31" t="s">
        <v>3223</v>
      </c>
      <c r="U31" t="s">
        <v>2692</v>
      </c>
      <c r="Y31" t="s">
        <v>3217</v>
      </c>
      <c r="Z31">
        <v>325</v>
      </c>
      <c r="AA31" s="31">
        <v>45604</v>
      </c>
      <c r="AB31" s="61">
        <v>0.72949074074074072</v>
      </c>
      <c r="AC31" t="s">
        <v>795</v>
      </c>
      <c r="AD31" s="31">
        <v>45929</v>
      </c>
      <c r="AE31" s="61">
        <v>0.70284722222222218</v>
      </c>
      <c r="AF31" t="s">
        <v>796</v>
      </c>
      <c r="AQ31">
        <v>1</v>
      </c>
    </row>
    <row r="32" spans="1:43" hidden="1" x14ac:dyDescent="0.3">
      <c r="A32" t="s">
        <v>3217</v>
      </c>
      <c r="B32">
        <v>31</v>
      </c>
      <c r="C32">
        <v>103</v>
      </c>
      <c r="D32">
        <v>99</v>
      </c>
      <c r="G32" t="s">
        <v>77</v>
      </c>
      <c r="H32">
        <v>12549273000179</v>
      </c>
      <c r="I32" t="s">
        <v>3309</v>
      </c>
      <c r="J32" t="s">
        <v>3310</v>
      </c>
      <c r="K32" t="s">
        <v>3311</v>
      </c>
      <c r="M32" t="s">
        <v>3312</v>
      </c>
      <c r="O32" t="s">
        <v>6441</v>
      </c>
      <c r="P32" t="s">
        <v>1596</v>
      </c>
      <c r="Q32" t="s">
        <v>790</v>
      </c>
      <c r="R32" t="s">
        <v>3221</v>
      </c>
      <c r="S32" t="s">
        <v>3222</v>
      </c>
      <c r="T32" t="s">
        <v>3223</v>
      </c>
      <c r="U32" t="s">
        <v>2692</v>
      </c>
      <c r="Y32" t="s">
        <v>3217</v>
      </c>
      <c r="Z32">
        <v>325</v>
      </c>
      <c r="AA32" s="31">
        <v>45604</v>
      </c>
      <c r="AB32" s="61">
        <v>0.72949074074074072</v>
      </c>
      <c r="AC32" t="s">
        <v>795</v>
      </c>
      <c r="AD32" s="31">
        <v>45929</v>
      </c>
      <c r="AE32" s="61">
        <v>0.70248842592592597</v>
      </c>
      <c r="AF32" t="s">
        <v>796</v>
      </c>
      <c r="AQ32">
        <v>1</v>
      </c>
    </row>
    <row r="33" spans="1:43" hidden="1" x14ac:dyDescent="0.3">
      <c r="A33" t="s">
        <v>3217</v>
      </c>
      <c r="B33">
        <v>32</v>
      </c>
      <c r="C33">
        <v>104</v>
      </c>
      <c r="D33">
        <v>101</v>
      </c>
      <c r="G33" t="s">
        <v>3314</v>
      </c>
      <c r="I33" t="s">
        <v>3314</v>
      </c>
      <c r="J33" t="s">
        <v>3314</v>
      </c>
      <c r="M33" t="s">
        <v>3315</v>
      </c>
      <c r="R33" t="s">
        <v>3221</v>
      </c>
      <c r="S33" t="s">
        <v>3222</v>
      </c>
      <c r="T33" t="s">
        <v>3223</v>
      </c>
      <c r="U33" t="s">
        <v>2692</v>
      </c>
      <c r="Y33" t="s">
        <v>3217</v>
      </c>
      <c r="Z33">
        <v>325</v>
      </c>
      <c r="AA33" s="31">
        <v>45604</v>
      </c>
      <c r="AB33" s="61">
        <v>0.72949074074074072</v>
      </c>
      <c r="AC33" t="s">
        <v>795</v>
      </c>
      <c r="AD33" s="31">
        <v>45929</v>
      </c>
      <c r="AE33" s="61">
        <v>0.7025231481481482</v>
      </c>
      <c r="AF33" t="s">
        <v>796</v>
      </c>
      <c r="AQ33">
        <v>1</v>
      </c>
    </row>
    <row r="34" spans="1:43" hidden="1" x14ac:dyDescent="0.3">
      <c r="A34" t="s">
        <v>3217</v>
      </c>
      <c r="B34">
        <v>33</v>
      </c>
      <c r="C34">
        <v>105</v>
      </c>
      <c r="D34">
        <v>103</v>
      </c>
      <c r="G34" t="s">
        <v>3316</v>
      </c>
      <c r="I34" t="s">
        <v>3316</v>
      </c>
      <c r="J34" t="s">
        <v>3316</v>
      </c>
      <c r="M34" t="s">
        <v>3317</v>
      </c>
      <c r="R34" t="s">
        <v>3221</v>
      </c>
      <c r="S34" t="s">
        <v>3222</v>
      </c>
      <c r="T34" t="s">
        <v>3223</v>
      </c>
      <c r="U34" t="s">
        <v>2692</v>
      </c>
      <c r="Y34" t="s">
        <v>3217</v>
      </c>
      <c r="Z34">
        <v>325</v>
      </c>
      <c r="AA34" s="31">
        <v>45604</v>
      </c>
      <c r="AB34" s="61">
        <v>0.72949074074074072</v>
      </c>
      <c r="AC34" t="s">
        <v>795</v>
      </c>
      <c r="AD34" s="31">
        <v>45929</v>
      </c>
      <c r="AE34" s="61">
        <v>0.70254629629629628</v>
      </c>
      <c r="AF34" t="s">
        <v>796</v>
      </c>
      <c r="AQ34">
        <v>1</v>
      </c>
    </row>
    <row r="35" spans="1:43" hidden="1" x14ac:dyDescent="0.3">
      <c r="A35" t="s">
        <v>3217</v>
      </c>
      <c r="B35">
        <v>34</v>
      </c>
      <c r="C35">
        <v>106</v>
      </c>
      <c r="D35">
        <v>105</v>
      </c>
      <c r="G35" t="s">
        <v>3318</v>
      </c>
      <c r="I35" t="s">
        <v>3318</v>
      </c>
      <c r="J35" t="s">
        <v>3318</v>
      </c>
      <c r="M35" t="s">
        <v>3319</v>
      </c>
      <c r="R35" t="s">
        <v>3221</v>
      </c>
      <c r="S35" t="s">
        <v>3222</v>
      </c>
      <c r="T35" t="s">
        <v>3223</v>
      </c>
      <c r="U35" t="s">
        <v>2692</v>
      </c>
      <c r="Y35" t="s">
        <v>3217</v>
      </c>
      <c r="Z35">
        <v>325</v>
      </c>
      <c r="AA35" s="31">
        <v>45604</v>
      </c>
      <c r="AB35" s="61">
        <v>0.72949074074074072</v>
      </c>
      <c r="AC35" t="s">
        <v>795</v>
      </c>
      <c r="AD35" s="31">
        <v>45929</v>
      </c>
      <c r="AE35" s="61">
        <v>0.70258101851851851</v>
      </c>
      <c r="AF35" t="s">
        <v>796</v>
      </c>
      <c r="AQ35">
        <v>1</v>
      </c>
    </row>
    <row r="36" spans="1:43" hidden="1" x14ac:dyDescent="0.3">
      <c r="A36" t="s">
        <v>3217</v>
      </c>
      <c r="B36">
        <v>35</v>
      </c>
      <c r="C36">
        <v>107</v>
      </c>
      <c r="D36">
        <v>107</v>
      </c>
      <c r="G36" t="s">
        <v>427</v>
      </c>
      <c r="H36">
        <v>7527737000297</v>
      </c>
      <c r="I36" t="s">
        <v>427</v>
      </c>
      <c r="J36" t="s">
        <v>427</v>
      </c>
      <c r="M36" t="s">
        <v>3320</v>
      </c>
      <c r="R36" t="s">
        <v>3221</v>
      </c>
      <c r="S36" t="s">
        <v>3222</v>
      </c>
      <c r="T36" t="s">
        <v>3223</v>
      </c>
      <c r="U36" t="s">
        <v>2692</v>
      </c>
      <c r="Y36" t="s">
        <v>3217</v>
      </c>
      <c r="Z36">
        <v>325</v>
      </c>
      <c r="AA36" s="31">
        <v>45604</v>
      </c>
      <c r="AB36" s="61">
        <v>0.72949074074074072</v>
      </c>
      <c r="AC36" t="s">
        <v>795</v>
      </c>
      <c r="AD36" s="31">
        <v>45929</v>
      </c>
      <c r="AE36" s="61">
        <v>0.7026041666666667</v>
      </c>
      <c r="AF36" t="s">
        <v>796</v>
      </c>
      <c r="AQ36">
        <v>1</v>
      </c>
    </row>
    <row r="37" spans="1:43" hidden="1" x14ac:dyDescent="0.3">
      <c r="A37" t="s">
        <v>3217</v>
      </c>
      <c r="B37">
        <v>36</v>
      </c>
      <c r="C37">
        <v>108</v>
      </c>
      <c r="D37">
        <v>109</v>
      </c>
      <c r="G37" t="s">
        <v>3321</v>
      </c>
      <c r="I37" t="s">
        <v>3321</v>
      </c>
      <c r="J37" t="s">
        <v>3321</v>
      </c>
      <c r="M37" t="s">
        <v>3322</v>
      </c>
      <c r="R37" t="s">
        <v>3221</v>
      </c>
      <c r="S37" t="s">
        <v>3222</v>
      </c>
      <c r="T37" t="s">
        <v>3223</v>
      </c>
      <c r="U37" t="s">
        <v>2692</v>
      </c>
      <c r="Y37" t="s">
        <v>3217</v>
      </c>
      <c r="Z37">
        <v>325</v>
      </c>
      <c r="AA37" s="31">
        <v>45604</v>
      </c>
      <c r="AB37" s="61">
        <v>0.72949074074074072</v>
      </c>
      <c r="AC37" t="s">
        <v>795</v>
      </c>
      <c r="AD37" s="31">
        <v>45929</v>
      </c>
      <c r="AE37" s="61">
        <v>0.70263888888888892</v>
      </c>
      <c r="AF37" t="s">
        <v>796</v>
      </c>
      <c r="AQ37">
        <v>1</v>
      </c>
    </row>
    <row r="38" spans="1:43" hidden="1" x14ac:dyDescent="0.3">
      <c r="A38" t="s">
        <v>3217</v>
      </c>
      <c r="B38">
        <v>37</v>
      </c>
      <c r="C38">
        <v>109</v>
      </c>
      <c r="D38">
        <v>111</v>
      </c>
      <c r="G38" t="s">
        <v>3323</v>
      </c>
      <c r="I38" t="s">
        <v>3323</v>
      </c>
      <c r="J38" t="s">
        <v>3323</v>
      </c>
      <c r="M38" t="s">
        <v>3324</v>
      </c>
      <c r="R38" t="s">
        <v>3221</v>
      </c>
      <c r="S38" t="s">
        <v>3222</v>
      </c>
      <c r="T38" t="s">
        <v>3223</v>
      </c>
      <c r="U38" t="s">
        <v>2692</v>
      </c>
      <c r="Y38" t="s">
        <v>3217</v>
      </c>
      <c r="Z38">
        <v>325</v>
      </c>
      <c r="AA38" s="31">
        <v>45604</v>
      </c>
      <c r="AB38" s="61">
        <v>0.72949074074074072</v>
      </c>
      <c r="AC38" t="s">
        <v>795</v>
      </c>
      <c r="AD38" s="31">
        <v>45929</v>
      </c>
      <c r="AE38" s="61">
        <v>0.70267361111111115</v>
      </c>
      <c r="AF38" t="s">
        <v>796</v>
      </c>
      <c r="AQ38">
        <v>1</v>
      </c>
    </row>
    <row r="39" spans="1:43" hidden="1" x14ac:dyDescent="0.3">
      <c r="A39" t="s">
        <v>3217</v>
      </c>
      <c r="B39">
        <v>38</v>
      </c>
      <c r="C39">
        <v>110</v>
      </c>
      <c r="D39">
        <v>113</v>
      </c>
      <c r="G39" t="s">
        <v>629</v>
      </c>
      <c r="I39" t="s">
        <v>629</v>
      </c>
      <c r="J39" t="s">
        <v>629</v>
      </c>
      <c r="M39" t="s">
        <v>3325</v>
      </c>
      <c r="R39" t="s">
        <v>3221</v>
      </c>
      <c r="S39" t="s">
        <v>3222</v>
      </c>
      <c r="T39" t="s">
        <v>3223</v>
      </c>
      <c r="U39" t="s">
        <v>2692</v>
      </c>
      <c r="Y39" t="s">
        <v>3217</v>
      </c>
      <c r="Z39">
        <v>325</v>
      </c>
      <c r="AA39" s="31">
        <v>45604</v>
      </c>
      <c r="AB39" s="61">
        <v>0.72949074074074072</v>
      </c>
      <c r="AC39" t="s">
        <v>795</v>
      </c>
      <c r="AD39" s="31">
        <v>45929</v>
      </c>
      <c r="AE39" s="61">
        <v>0.70269675925925923</v>
      </c>
      <c r="AF39" t="s">
        <v>796</v>
      </c>
      <c r="AQ39">
        <v>1</v>
      </c>
    </row>
    <row r="40" spans="1:43" hidden="1" x14ac:dyDescent="0.3">
      <c r="A40" t="s">
        <v>3217</v>
      </c>
      <c r="B40">
        <v>39</v>
      </c>
      <c r="C40">
        <v>111</v>
      </c>
      <c r="D40">
        <v>115</v>
      </c>
      <c r="G40" t="s">
        <v>603</v>
      </c>
      <c r="I40" t="s">
        <v>603</v>
      </c>
      <c r="J40" t="s">
        <v>603</v>
      </c>
      <c r="M40" t="s">
        <v>3326</v>
      </c>
      <c r="R40" t="s">
        <v>3221</v>
      </c>
      <c r="S40" t="s">
        <v>3222</v>
      </c>
      <c r="T40" t="s">
        <v>3223</v>
      </c>
      <c r="U40" t="s">
        <v>2692</v>
      </c>
      <c r="Y40" t="s">
        <v>3217</v>
      </c>
      <c r="Z40">
        <v>325</v>
      </c>
      <c r="AA40" s="31">
        <v>45604</v>
      </c>
      <c r="AB40" s="61">
        <v>0.72949074074074072</v>
      </c>
      <c r="AC40" t="s">
        <v>795</v>
      </c>
      <c r="AD40" s="31">
        <v>45929</v>
      </c>
      <c r="AE40" s="61">
        <v>0.70274305555555561</v>
      </c>
      <c r="AF40" t="s">
        <v>796</v>
      </c>
      <c r="AQ40">
        <v>1</v>
      </c>
    </row>
    <row r="41" spans="1:43" hidden="1" x14ac:dyDescent="0.3">
      <c r="A41" t="s">
        <v>3217</v>
      </c>
      <c r="B41">
        <v>40</v>
      </c>
      <c r="C41">
        <v>112</v>
      </c>
      <c r="D41">
        <v>117</v>
      </c>
      <c r="G41" t="s">
        <v>3327</v>
      </c>
      <c r="I41" t="s">
        <v>3327</v>
      </c>
      <c r="J41" t="s">
        <v>3327</v>
      </c>
      <c r="M41" t="s">
        <v>3328</v>
      </c>
      <c r="R41" t="s">
        <v>3221</v>
      </c>
      <c r="S41" t="s">
        <v>3222</v>
      </c>
      <c r="T41" t="s">
        <v>3223</v>
      </c>
      <c r="U41" t="s">
        <v>2692</v>
      </c>
      <c r="Y41" t="s">
        <v>3217</v>
      </c>
      <c r="Z41">
        <v>325</v>
      </c>
      <c r="AA41" s="31">
        <v>45604</v>
      </c>
      <c r="AB41" s="61">
        <v>0.72949074074074072</v>
      </c>
      <c r="AC41" t="s">
        <v>795</v>
      </c>
      <c r="AD41" s="31">
        <v>45929</v>
      </c>
      <c r="AE41" s="61">
        <v>0.70276620370370368</v>
      </c>
      <c r="AF41" t="s">
        <v>796</v>
      </c>
      <c r="AQ41">
        <v>1</v>
      </c>
    </row>
    <row r="42" spans="1:43" hidden="1" x14ac:dyDescent="0.3">
      <c r="A42" t="s">
        <v>3217</v>
      </c>
      <c r="B42">
        <v>41</v>
      </c>
      <c r="C42">
        <v>113</v>
      </c>
      <c r="D42">
        <v>119</v>
      </c>
      <c r="G42" t="s">
        <v>65</v>
      </c>
      <c r="I42" t="s">
        <v>65</v>
      </c>
      <c r="J42" t="s">
        <v>65</v>
      </c>
      <c r="M42" t="s">
        <v>3329</v>
      </c>
      <c r="R42" t="s">
        <v>3221</v>
      </c>
      <c r="S42" t="s">
        <v>3222</v>
      </c>
      <c r="T42" t="s">
        <v>3223</v>
      </c>
      <c r="U42" t="s">
        <v>2692</v>
      </c>
      <c r="Y42" t="s">
        <v>3217</v>
      </c>
      <c r="Z42">
        <v>325</v>
      </c>
      <c r="AA42" s="31">
        <v>45604</v>
      </c>
      <c r="AB42" s="61">
        <v>0.72949074074074072</v>
      </c>
      <c r="AC42" t="s">
        <v>795</v>
      </c>
      <c r="AD42" s="31">
        <v>45929</v>
      </c>
      <c r="AE42" s="61">
        <v>0.70278935185185187</v>
      </c>
      <c r="AF42" t="s">
        <v>796</v>
      </c>
      <c r="AQ42">
        <v>1</v>
      </c>
    </row>
    <row r="43" spans="1:43" hidden="1" x14ac:dyDescent="0.3">
      <c r="A43" t="s">
        <v>3217</v>
      </c>
      <c r="B43">
        <v>42</v>
      </c>
      <c r="C43">
        <v>114</v>
      </c>
      <c r="D43">
        <v>121</v>
      </c>
      <c r="G43" t="s">
        <v>3330</v>
      </c>
      <c r="I43" t="s">
        <v>3330</v>
      </c>
      <c r="J43" t="s">
        <v>3330</v>
      </c>
      <c r="K43" t="s">
        <v>3331</v>
      </c>
      <c r="M43" t="s">
        <v>3332</v>
      </c>
      <c r="R43" t="s">
        <v>3221</v>
      </c>
      <c r="S43" t="s">
        <v>3222</v>
      </c>
      <c r="T43" t="s">
        <v>3223</v>
      </c>
      <c r="U43" t="s">
        <v>2692</v>
      </c>
      <c r="Y43" t="s">
        <v>3217</v>
      </c>
      <c r="Z43">
        <v>325</v>
      </c>
      <c r="AA43" s="31">
        <v>45604</v>
      </c>
      <c r="AB43" s="61">
        <v>0.72949074074074072</v>
      </c>
      <c r="AC43" t="s">
        <v>795</v>
      </c>
      <c r="AD43" s="31">
        <v>45929</v>
      </c>
      <c r="AE43" s="61">
        <v>0.70285879629629633</v>
      </c>
      <c r="AF43" t="s">
        <v>796</v>
      </c>
      <c r="AQ43">
        <v>1</v>
      </c>
    </row>
    <row r="44" spans="1:43" hidden="1" x14ac:dyDescent="0.3">
      <c r="A44" t="s">
        <v>3217</v>
      </c>
      <c r="B44">
        <v>43</v>
      </c>
      <c r="C44">
        <v>115</v>
      </c>
      <c r="D44">
        <v>123</v>
      </c>
      <c r="G44" t="s">
        <v>3333</v>
      </c>
      <c r="I44" t="s">
        <v>3333</v>
      </c>
      <c r="J44" t="s">
        <v>3333</v>
      </c>
      <c r="M44" t="s">
        <v>3334</v>
      </c>
      <c r="R44" t="s">
        <v>3221</v>
      </c>
      <c r="S44" t="s">
        <v>3222</v>
      </c>
      <c r="T44" t="s">
        <v>3223</v>
      </c>
      <c r="U44" t="s">
        <v>2692</v>
      </c>
      <c r="Y44" t="s">
        <v>3217</v>
      </c>
      <c r="Z44">
        <v>325</v>
      </c>
      <c r="AA44" s="31">
        <v>45604</v>
      </c>
      <c r="AB44" s="61">
        <v>0.72949074074074072</v>
      </c>
      <c r="AC44" t="s">
        <v>795</v>
      </c>
      <c r="AD44" s="31">
        <v>45929</v>
      </c>
      <c r="AE44" s="61">
        <v>0.70288194444444441</v>
      </c>
      <c r="AF44" t="s">
        <v>796</v>
      </c>
      <c r="AQ44">
        <v>1</v>
      </c>
    </row>
    <row r="45" spans="1:43" hidden="1" x14ac:dyDescent="0.3">
      <c r="A45" t="s">
        <v>3217</v>
      </c>
      <c r="B45">
        <v>44</v>
      </c>
      <c r="C45">
        <v>116</v>
      </c>
      <c r="D45">
        <v>125</v>
      </c>
      <c r="G45" t="s">
        <v>3335</v>
      </c>
      <c r="I45" t="s">
        <v>3335</v>
      </c>
      <c r="J45" t="s">
        <v>3335</v>
      </c>
      <c r="K45" t="s">
        <v>3336</v>
      </c>
      <c r="M45" t="s">
        <v>3337</v>
      </c>
      <c r="P45" t="s">
        <v>3338</v>
      </c>
      <c r="Q45" t="s">
        <v>3339</v>
      </c>
      <c r="R45" t="s">
        <v>3221</v>
      </c>
      <c r="S45" t="s">
        <v>3222</v>
      </c>
      <c r="T45" t="s">
        <v>3223</v>
      </c>
      <c r="U45" t="s">
        <v>2692</v>
      </c>
      <c r="Y45" t="s">
        <v>3217</v>
      </c>
      <c r="Z45">
        <v>325</v>
      </c>
      <c r="AA45" s="31">
        <v>45604</v>
      </c>
      <c r="AB45" s="61">
        <v>0.72950231481481487</v>
      </c>
      <c r="AC45" t="s">
        <v>795</v>
      </c>
      <c r="AD45" s="31">
        <v>45929</v>
      </c>
      <c r="AE45" s="61">
        <v>0.70289351851851856</v>
      </c>
      <c r="AF45" t="s">
        <v>796</v>
      </c>
      <c r="AQ45">
        <v>1</v>
      </c>
    </row>
    <row r="46" spans="1:43" hidden="1" x14ac:dyDescent="0.3">
      <c r="A46" t="s">
        <v>3217</v>
      </c>
      <c r="B46">
        <v>45</v>
      </c>
      <c r="C46">
        <v>117</v>
      </c>
      <c r="D46">
        <v>127</v>
      </c>
      <c r="G46" t="s">
        <v>3340</v>
      </c>
      <c r="I46" t="s">
        <v>3340</v>
      </c>
      <c r="J46" t="s">
        <v>3340</v>
      </c>
      <c r="M46" t="s">
        <v>3341</v>
      </c>
      <c r="R46" t="s">
        <v>3221</v>
      </c>
      <c r="S46" t="s">
        <v>3222</v>
      </c>
      <c r="T46" t="s">
        <v>3223</v>
      </c>
      <c r="U46" t="s">
        <v>2692</v>
      </c>
      <c r="Y46" t="s">
        <v>3217</v>
      </c>
      <c r="Z46">
        <v>325</v>
      </c>
      <c r="AA46" s="31">
        <v>45604</v>
      </c>
      <c r="AB46" s="61">
        <v>0.72950231481481487</v>
      </c>
      <c r="AC46" t="s">
        <v>795</v>
      </c>
      <c r="AD46" s="31">
        <v>45929</v>
      </c>
      <c r="AE46" s="61">
        <v>0.70292824074074078</v>
      </c>
      <c r="AF46" t="s">
        <v>796</v>
      </c>
      <c r="AQ46">
        <v>1</v>
      </c>
    </row>
    <row r="47" spans="1:43" hidden="1" x14ac:dyDescent="0.3">
      <c r="A47" t="s">
        <v>3217</v>
      </c>
      <c r="B47">
        <v>46</v>
      </c>
      <c r="C47">
        <v>118</v>
      </c>
      <c r="D47">
        <v>129</v>
      </c>
      <c r="G47" t="s">
        <v>686</v>
      </c>
      <c r="I47" t="s">
        <v>686</v>
      </c>
      <c r="J47" t="s">
        <v>686</v>
      </c>
      <c r="K47" t="s">
        <v>3342</v>
      </c>
      <c r="M47" t="s">
        <v>3343</v>
      </c>
      <c r="R47" t="s">
        <v>3221</v>
      </c>
      <c r="S47" t="s">
        <v>3222</v>
      </c>
      <c r="T47" t="s">
        <v>3223</v>
      </c>
      <c r="U47" t="s">
        <v>2692</v>
      </c>
      <c r="Y47" t="s">
        <v>3217</v>
      </c>
      <c r="Z47">
        <v>325</v>
      </c>
      <c r="AA47" s="31">
        <v>45604</v>
      </c>
      <c r="AB47" s="61">
        <v>0.72950231481481487</v>
      </c>
      <c r="AC47" t="s">
        <v>795</v>
      </c>
      <c r="AD47" s="31">
        <v>45929</v>
      </c>
      <c r="AE47" s="61">
        <v>0.70248842592592597</v>
      </c>
      <c r="AF47" t="s">
        <v>796</v>
      </c>
      <c r="AQ47">
        <v>1</v>
      </c>
    </row>
    <row r="48" spans="1:43" hidden="1" x14ac:dyDescent="0.3">
      <c r="A48" t="s">
        <v>3217</v>
      </c>
      <c r="B48">
        <v>47</v>
      </c>
      <c r="C48">
        <v>119</v>
      </c>
      <c r="D48">
        <v>131</v>
      </c>
      <c r="G48" t="s">
        <v>608</v>
      </c>
      <c r="I48" t="s">
        <v>608</v>
      </c>
      <c r="J48" t="s">
        <v>608</v>
      </c>
      <c r="K48" t="s">
        <v>3344</v>
      </c>
      <c r="M48" t="s">
        <v>3345</v>
      </c>
      <c r="R48" t="s">
        <v>3221</v>
      </c>
      <c r="S48" t="s">
        <v>3222</v>
      </c>
      <c r="T48" t="s">
        <v>3223</v>
      </c>
      <c r="U48" t="s">
        <v>2692</v>
      </c>
      <c r="Y48" t="s">
        <v>3217</v>
      </c>
      <c r="Z48">
        <v>325</v>
      </c>
      <c r="AA48" s="31">
        <v>45604</v>
      </c>
      <c r="AB48" s="61">
        <v>0.72950231481481487</v>
      </c>
      <c r="AC48" t="s">
        <v>795</v>
      </c>
      <c r="AD48" s="31">
        <v>45929</v>
      </c>
      <c r="AE48" s="61">
        <v>0.70251157407407405</v>
      </c>
      <c r="AF48" t="s">
        <v>796</v>
      </c>
      <c r="AQ48">
        <v>1</v>
      </c>
    </row>
    <row r="49" spans="1:43" hidden="1" x14ac:dyDescent="0.3">
      <c r="A49" t="s">
        <v>3217</v>
      </c>
      <c r="B49">
        <v>48</v>
      </c>
      <c r="C49">
        <v>120</v>
      </c>
      <c r="D49">
        <v>133</v>
      </c>
      <c r="G49" t="s">
        <v>3346</v>
      </c>
      <c r="I49" t="s">
        <v>3346</v>
      </c>
      <c r="J49" t="s">
        <v>3346</v>
      </c>
      <c r="M49" t="s">
        <v>3347</v>
      </c>
      <c r="R49" t="s">
        <v>3221</v>
      </c>
      <c r="S49" t="s">
        <v>3222</v>
      </c>
      <c r="T49" t="s">
        <v>3223</v>
      </c>
      <c r="U49" t="s">
        <v>2692</v>
      </c>
      <c r="Y49" t="s">
        <v>3217</v>
      </c>
      <c r="Z49">
        <v>325</v>
      </c>
      <c r="AA49" s="31">
        <v>45604</v>
      </c>
      <c r="AB49" s="61">
        <v>0.72950231481481487</v>
      </c>
      <c r="AC49" t="s">
        <v>795</v>
      </c>
      <c r="AD49" s="31">
        <v>45929</v>
      </c>
      <c r="AE49" s="61">
        <v>0.70253472222222224</v>
      </c>
      <c r="AF49" t="s">
        <v>796</v>
      </c>
      <c r="AQ49">
        <v>1</v>
      </c>
    </row>
    <row r="50" spans="1:43" hidden="1" x14ac:dyDescent="0.3">
      <c r="A50" t="s">
        <v>3217</v>
      </c>
      <c r="B50">
        <v>49</v>
      </c>
      <c r="C50">
        <v>121</v>
      </c>
      <c r="D50">
        <v>135</v>
      </c>
      <c r="G50" t="s">
        <v>3348</v>
      </c>
      <c r="I50" t="s">
        <v>3348</v>
      </c>
      <c r="J50" t="s">
        <v>3348</v>
      </c>
      <c r="M50" t="s">
        <v>3349</v>
      </c>
      <c r="R50" t="s">
        <v>3221</v>
      </c>
      <c r="S50" t="s">
        <v>3222</v>
      </c>
      <c r="T50" t="s">
        <v>3223</v>
      </c>
      <c r="U50" t="s">
        <v>2692</v>
      </c>
      <c r="Y50" t="s">
        <v>3217</v>
      </c>
      <c r="Z50">
        <v>325</v>
      </c>
      <c r="AA50" s="31">
        <v>45604</v>
      </c>
      <c r="AB50" s="61">
        <v>0.72950231481481487</v>
      </c>
      <c r="AC50" t="s">
        <v>795</v>
      </c>
      <c r="AD50" s="31">
        <v>45929</v>
      </c>
      <c r="AE50" s="61">
        <v>0.70255787037037032</v>
      </c>
      <c r="AF50" t="s">
        <v>796</v>
      </c>
      <c r="AQ50">
        <v>1</v>
      </c>
    </row>
    <row r="51" spans="1:43" hidden="1" x14ac:dyDescent="0.3">
      <c r="A51" t="s">
        <v>3217</v>
      </c>
      <c r="B51">
        <v>50</v>
      </c>
      <c r="C51">
        <v>122</v>
      </c>
      <c r="D51">
        <v>137</v>
      </c>
      <c r="G51" t="s">
        <v>680</v>
      </c>
      <c r="I51" t="s">
        <v>680</v>
      </c>
      <c r="J51" t="s">
        <v>680</v>
      </c>
      <c r="K51" t="s">
        <v>3350</v>
      </c>
      <c r="M51" t="s">
        <v>3351</v>
      </c>
      <c r="R51" t="s">
        <v>3221</v>
      </c>
      <c r="S51" t="s">
        <v>3222</v>
      </c>
      <c r="T51" t="s">
        <v>3223</v>
      </c>
      <c r="U51" t="s">
        <v>2692</v>
      </c>
      <c r="Y51" t="s">
        <v>3217</v>
      </c>
      <c r="Z51">
        <v>325</v>
      </c>
      <c r="AA51" s="31">
        <v>45604</v>
      </c>
      <c r="AB51" s="61">
        <v>0.72950231481481487</v>
      </c>
      <c r="AC51" t="s">
        <v>795</v>
      </c>
      <c r="AD51" s="31">
        <v>45929</v>
      </c>
      <c r="AE51" s="61">
        <v>0.70258101851851851</v>
      </c>
      <c r="AF51" t="s">
        <v>796</v>
      </c>
      <c r="AQ51">
        <v>1</v>
      </c>
    </row>
    <row r="52" spans="1:43" hidden="1" x14ac:dyDescent="0.3">
      <c r="A52" t="s">
        <v>3217</v>
      </c>
      <c r="B52">
        <v>51</v>
      </c>
      <c r="C52">
        <v>123</v>
      </c>
      <c r="D52">
        <v>139</v>
      </c>
      <c r="G52" t="s">
        <v>647</v>
      </c>
      <c r="I52" t="s">
        <v>647</v>
      </c>
      <c r="J52" t="s">
        <v>647</v>
      </c>
      <c r="K52" t="s">
        <v>3352</v>
      </c>
      <c r="M52" t="s">
        <v>3353</v>
      </c>
      <c r="R52" t="s">
        <v>3221</v>
      </c>
      <c r="S52" t="s">
        <v>3222</v>
      </c>
      <c r="T52" t="s">
        <v>3223</v>
      </c>
      <c r="U52" t="s">
        <v>2692</v>
      </c>
      <c r="Y52" t="s">
        <v>3217</v>
      </c>
      <c r="Z52">
        <v>325</v>
      </c>
      <c r="AA52" s="31">
        <v>45604</v>
      </c>
      <c r="AB52" s="61">
        <v>0.72950231481481487</v>
      </c>
      <c r="AC52" t="s">
        <v>795</v>
      </c>
      <c r="AD52" s="31">
        <v>45929</v>
      </c>
      <c r="AE52" s="61">
        <v>0.7026041666666667</v>
      </c>
      <c r="AF52" t="s">
        <v>796</v>
      </c>
      <c r="AQ52">
        <v>1</v>
      </c>
    </row>
    <row r="53" spans="1:43" hidden="1" x14ac:dyDescent="0.3">
      <c r="A53" t="s">
        <v>3217</v>
      </c>
      <c r="B53">
        <v>52</v>
      </c>
      <c r="C53">
        <v>124</v>
      </c>
      <c r="D53">
        <v>141</v>
      </c>
      <c r="G53" t="s">
        <v>3354</v>
      </c>
      <c r="I53" t="s">
        <v>3354</v>
      </c>
      <c r="J53" t="s">
        <v>3354</v>
      </c>
      <c r="M53" t="s">
        <v>3355</v>
      </c>
      <c r="R53" t="s">
        <v>3221</v>
      </c>
      <c r="S53" t="s">
        <v>3222</v>
      </c>
      <c r="T53" t="s">
        <v>3223</v>
      </c>
      <c r="U53" t="s">
        <v>2692</v>
      </c>
      <c r="Y53" t="s">
        <v>3217</v>
      </c>
      <c r="Z53">
        <v>325</v>
      </c>
      <c r="AA53" s="31">
        <v>45604</v>
      </c>
      <c r="AB53" s="61">
        <v>0.72950231481481487</v>
      </c>
      <c r="AC53" t="s">
        <v>795</v>
      </c>
      <c r="AD53" s="31">
        <v>45929</v>
      </c>
      <c r="AE53" s="61">
        <v>0.70262731481481477</v>
      </c>
      <c r="AF53" t="s">
        <v>796</v>
      </c>
      <c r="AQ53">
        <v>1</v>
      </c>
    </row>
    <row r="54" spans="1:43" hidden="1" x14ac:dyDescent="0.3">
      <c r="A54" t="s">
        <v>3217</v>
      </c>
      <c r="B54">
        <v>53</v>
      </c>
      <c r="C54">
        <v>125</v>
      </c>
      <c r="D54">
        <v>143</v>
      </c>
      <c r="G54" t="s">
        <v>3356</v>
      </c>
      <c r="I54" t="s">
        <v>3356</v>
      </c>
      <c r="J54" t="s">
        <v>3356</v>
      </c>
      <c r="M54" t="s">
        <v>3357</v>
      </c>
      <c r="R54" t="s">
        <v>3221</v>
      </c>
      <c r="S54" t="s">
        <v>3222</v>
      </c>
      <c r="T54" t="s">
        <v>3223</v>
      </c>
      <c r="U54" t="s">
        <v>2692</v>
      </c>
      <c r="Y54" t="s">
        <v>3217</v>
      </c>
      <c r="Z54">
        <v>325</v>
      </c>
      <c r="AA54" s="31">
        <v>45604</v>
      </c>
      <c r="AB54" s="61">
        <v>0.72950231481481487</v>
      </c>
      <c r="AC54" t="s">
        <v>795</v>
      </c>
      <c r="AD54" s="31">
        <v>45929</v>
      </c>
      <c r="AE54" s="61">
        <v>0.702662037037037</v>
      </c>
      <c r="AF54" t="s">
        <v>796</v>
      </c>
      <c r="AQ54">
        <v>1</v>
      </c>
    </row>
    <row r="55" spans="1:43" hidden="1" x14ac:dyDescent="0.3">
      <c r="A55" t="s">
        <v>3217</v>
      </c>
      <c r="B55">
        <v>54</v>
      </c>
      <c r="C55">
        <v>126</v>
      </c>
      <c r="D55">
        <v>145</v>
      </c>
      <c r="G55" t="s">
        <v>3358</v>
      </c>
      <c r="I55" t="s">
        <v>3358</v>
      </c>
      <c r="J55" t="s">
        <v>3358</v>
      </c>
      <c r="M55" t="s">
        <v>3359</v>
      </c>
      <c r="R55" t="s">
        <v>3221</v>
      </c>
      <c r="S55" t="s">
        <v>3222</v>
      </c>
      <c r="T55" t="s">
        <v>3223</v>
      </c>
      <c r="U55" t="s">
        <v>2692</v>
      </c>
      <c r="Y55" t="s">
        <v>3217</v>
      </c>
      <c r="Z55">
        <v>325</v>
      </c>
      <c r="AA55" s="31">
        <v>45604</v>
      </c>
      <c r="AB55" s="61">
        <v>0.72950231481481487</v>
      </c>
      <c r="AC55" t="s">
        <v>795</v>
      </c>
      <c r="AD55" s="31">
        <v>45929</v>
      </c>
      <c r="AE55" s="61">
        <v>0.70270833333333338</v>
      </c>
      <c r="AF55" t="s">
        <v>796</v>
      </c>
      <c r="AQ55">
        <v>1</v>
      </c>
    </row>
    <row r="56" spans="1:43" hidden="1" x14ac:dyDescent="0.3">
      <c r="A56" t="s">
        <v>3217</v>
      </c>
      <c r="B56">
        <v>55</v>
      </c>
      <c r="C56">
        <v>127</v>
      </c>
      <c r="D56">
        <v>147</v>
      </c>
      <c r="G56" t="s">
        <v>3360</v>
      </c>
      <c r="I56" t="s">
        <v>3360</v>
      </c>
      <c r="J56" t="s">
        <v>3360</v>
      </c>
      <c r="K56" t="s">
        <v>3361</v>
      </c>
      <c r="M56" t="s">
        <v>3362</v>
      </c>
      <c r="R56" t="s">
        <v>3221</v>
      </c>
      <c r="S56" t="s">
        <v>3222</v>
      </c>
      <c r="T56" t="s">
        <v>3223</v>
      </c>
      <c r="U56" t="s">
        <v>2692</v>
      </c>
      <c r="Y56" t="s">
        <v>3217</v>
      </c>
      <c r="Z56">
        <v>325</v>
      </c>
      <c r="AA56" s="31">
        <v>45604</v>
      </c>
      <c r="AB56" s="61">
        <v>0.72950231481481487</v>
      </c>
      <c r="AC56" t="s">
        <v>795</v>
      </c>
      <c r="AD56" s="31">
        <v>45929</v>
      </c>
      <c r="AE56" s="61">
        <v>0.70274305555555561</v>
      </c>
      <c r="AF56" t="s">
        <v>796</v>
      </c>
      <c r="AQ56">
        <v>1</v>
      </c>
    </row>
    <row r="57" spans="1:43" hidden="1" x14ac:dyDescent="0.3">
      <c r="A57" t="s">
        <v>3217</v>
      </c>
      <c r="B57">
        <v>56</v>
      </c>
      <c r="C57">
        <v>128</v>
      </c>
      <c r="D57">
        <v>149</v>
      </c>
      <c r="G57" t="s">
        <v>3363</v>
      </c>
      <c r="I57" t="s">
        <v>3363</v>
      </c>
      <c r="J57" t="s">
        <v>3363</v>
      </c>
      <c r="M57" t="s">
        <v>3364</v>
      </c>
      <c r="R57" t="s">
        <v>3221</v>
      </c>
      <c r="S57" t="s">
        <v>3222</v>
      </c>
      <c r="T57" t="s">
        <v>3223</v>
      </c>
      <c r="U57" t="s">
        <v>2692</v>
      </c>
      <c r="Y57" t="s">
        <v>3217</v>
      </c>
      <c r="Z57">
        <v>325</v>
      </c>
      <c r="AA57" s="31">
        <v>45604</v>
      </c>
      <c r="AB57" s="61">
        <v>0.72950231481481487</v>
      </c>
      <c r="AC57" t="s">
        <v>795</v>
      </c>
      <c r="AD57" s="31">
        <v>45929</v>
      </c>
      <c r="AE57" s="61">
        <v>0.70277777777777772</v>
      </c>
      <c r="AF57" t="s">
        <v>796</v>
      </c>
      <c r="AQ57">
        <v>1</v>
      </c>
    </row>
    <row r="58" spans="1:43" hidden="1" x14ac:dyDescent="0.3">
      <c r="A58" t="s">
        <v>3217</v>
      </c>
      <c r="B58">
        <v>57</v>
      </c>
      <c r="C58">
        <v>129</v>
      </c>
      <c r="D58">
        <v>151</v>
      </c>
      <c r="G58" t="s">
        <v>679</v>
      </c>
      <c r="I58" t="s">
        <v>679</v>
      </c>
      <c r="J58" t="s">
        <v>679</v>
      </c>
      <c r="K58" t="s">
        <v>3365</v>
      </c>
      <c r="M58" t="s">
        <v>3366</v>
      </c>
      <c r="R58" t="s">
        <v>3221</v>
      </c>
      <c r="S58" t="s">
        <v>3222</v>
      </c>
      <c r="T58" t="s">
        <v>3223</v>
      </c>
      <c r="U58" t="s">
        <v>2692</v>
      </c>
      <c r="Y58" t="s">
        <v>3217</v>
      </c>
      <c r="Z58">
        <v>325</v>
      </c>
      <c r="AA58" s="31">
        <v>45604</v>
      </c>
      <c r="AB58" s="61">
        <v>0.72950231481481487</v>
      </c>
      <c r="AC58" t="s">
        <v>795</v>
      </c>
      <c r="AD58" s="31">
        <v>45929</v>
      </c>
      <c r="AE58" s="61">
        <v>0.70280092592592591</v>
      </c>
      <c r="AF58" t="s">
        <v>796</v>
      </c>
      <c r="AQ58">
        <v>1</v>
      </c>
    </row>
    <row r="59" spans="1:43" hidden="1" x14ac:dyDescent="0.3">
      <c r="A59" t="s">
        <v>3217</v>
      </c>
      <c r="B59">
        <v>58</v>
      </c>
      <c r="C59">
        <v>130</v>
      </c>
      <c r="D59">
        <v>153</v>
      </c>
      <c r="G59" t="s">
        <v>141</v>
      </c>
      <c r="I59" t="s">
        <v>141</v>
      </c>
      <c r="J59" t="s">
        <v>141</v>
      </c>
      <c r="K59" t="s">
        <v>3367</v>
      </c>
      <c r="M59" t="s">
        <v>3368</v>
      </c>
      <c r="P59" t="s">
        <v>923</v>
      </c>
      <c r="Q59" t="s">
        <v>790</v>
      </c>
      <c r="R59" t="s">
        <v>3221</v>
      </c>
      <c r="S59" t="s">
        <v>3222</v>
      </c>
      <c r="T59" t="s">
        <v>3223</v>
      </c>
      <c r="U59" t="s">
        <v>2692</v>
      </c>
      <c r="Y59" t="s">
        <v>3217</v>
      </c>
      <c r="Z59">
        <v>325</v>
      </c>
      <c r="AA59" s="31">
        <v>45604</v>
      </c>
      <c r="AB59" s="61">
        <v>0.72950231481481487</v>
      </c>
      <c r="AC59" t="s">
        <v>795</v>
      </c>
      <c r="AD59" s="31">
        <v>45929</v>
      </c>
      <c r="AE59" s="61">
        <v>0.7028240740740741</v>
      </c>
      <c r="AF59" t="s">
        <v>796</v>
      </c>
      <c r="AQ59">
        <v>1</v>
      </c>
    </row>
    <row r="60" spans="1:43" hidden="1" x14ac:dyDescent="0.3">
      <c r="A60" t="s">
        <v>3217</v>
      </c>
      <c r="B60">
        <v>59</v>
      </c>
      <c r="C60">
        <v>131</v>
      </c>
      <c r="D60">
        <v>155</v>
      </c>
      <c r="G60" t="s">
        <v>3369</v>
      </c>
      <c r="I60" t="s">
        <v>3369</v>
      </c>
      <c r="J60" t="s">
        <v>3369</v>
      </c>
      <c r="K60" t="s">
        <v>3370</v>
      </c>
      <c r="M60" t="s">
        <v>3371</v>
      </c>
      <c r="P60" t="s">
        <v>3372</v>
      </c>
      <c r="Q60" t="s">
        <v>1027</v>
      </c>
      <c r="R60" t="s">
        <v>3221</v>
      </c>
      <c r="S60" t="s">
        <v>3222</v>
      </c>
      <c r="T60" t="s">
        <v>3223</v>
      </c>
      <c r="U60" t="s">
        <v>2692</v>
      </c>
      <c r="Y60" t="s">
        <v>3217</v>
      </c>
      <c r="Z60">
        <v>325</v>
      </c>
      <c r="AA60" s="31">
        <v>45604</v>
      </c>
      <c r="AB60" s="61">
        <v>0.72950231481481487</v>
      </c>
      <c r="AC60" t="s">
        <v>795</v>
      </c>
      <c r="AD60" s="31">
        <v>45929</v>
      </c>
      <c r="AE60" s="61">
        <v>0.70284722222222218</v>
      </c>
      <c r="AF60" t="s">
        <v>796</v>
      </c>
      <c r="AQ60">
        <v>1</v>
      </c>
    </row>
    <row r="61" spans="1:43" hidden="1" x14ac:dyDescent="0.3">
      <c r="A61" t="s">
        <v>3217</v>
      </c>
      <c r="B61">
        <v>60</v>
      </c>
      <c r="C61">
        <v>132</v>
      </c>
      <c r="D61">
        <v>157</v>
      </c>
      <c r="G61" t="s">
        <v>3373</v>
      </c>
      <c r="I61" t="s">
        <v>3373</v>
      </c>
      <c r="J61" t="s">
        <v>3373</v>
      </c>
      <c r="K61" t="s">
        <v>3374</v>
      </c>
      <c r="M61" t="s">
        <v>3375</v>
      </c>
      <c r="R61" t="s">
        <v>3221</v>
      </c>
      <c r="S61" t="s">
        <v>3222</v>
      </c>
      <c r="T61" t="s">
        <v>3223</v>
      </c>
      <c r="U61" t="s">
        <v>2692</v>
      </c>
      <c r="Y61" t="s">
        <v>3217</v>
      </c>
      <c r="Z61">
        <v>325</v>
      </c>
      <c r="AA61" s="31">
        <v>45604</v>
      </c>
      <c r="AB61" s="61">
        <v>0.72950231481481487</v>
      </c>
      <c r="AC61" t="s">
        <v>795</v>
      </c>
      <c r="AD61" s="31">
        <v>45929</v>
      </c>
      <c r="AE61" s="61">
        <v>0.70288194444444441</v>
      </c>
      <c r="AF61" t="s">
        <v>796</v>
      </c>
      <c r="AQ61">
        <v>1</v>
      </c>
    </row>
    <row r="62" spans="1:43" hidden="1" x14ac:dyDescent="0.3">
      <c r="A62" t="s">
        <v>3217</v>
      </c>
      <c r="B62">
        <v>61</v>
      </c>
      <c r="C62">
        <v>133</v>
      </c>
      <c r="D62">
        <v>159</v>
      </c>
      <c r="G62" t="s">
        <v>625</v>
      </c>
      <c r="I62" t="s">
        <v>625</v>
      </c>
      <c r="J62" t="s">
        <v>625</v>
      </c>
      <c r="K62" t="s">
        <v>3376</v>
      </c>
      <c r="M62" t="s">
        <v>2207</v>
      </c>
      <c r="R62" t="s">
        <v>3221</v>
      </c>
      <c r="S62" t="s">
        <v>3222</v>
      </c>
      <c r="T62" t="s">
        <v>3223</v>
      </c>
      <c r="U62" t="s">
        <v>2692</v>
      </c>
      <c r="Y62" t="s">
        <v>3217</v>
      </c>
      <c r="Z62">
        <v>325</v>
      </c>
      <c r="AA62" s="31">
        <v>45604</v>
      </c>
      <c r="AB62" s="61">
        <v>0.72951388888888891</v>
      </c>
      <c r="AC62" t="s">
        <v>795</v>
      </c>
      <c r="AD62" s="31">
        <v>45929</v>
      </c>
      <c r="AE62" s="61">
        <v>0.70248842592592597</v>
      </c>
      <c r="AF62" t="s">
        <v>796</v>
      </c>
      <c r="AQ62">
        <v>1</v>
      </c>
    </row>
    <row r="63" spans="1:43" hidden="1" x14ac:dyDescent="0.3">
      <c r="A63" t="s">
        <v>3217</v>
      </c>
      <c r="B63">
        <v>62</v>
      </c>
      <c r="C63">
        <v>134</v>
      </c>
      <c r="D63">
        <v>161</v>
      </c>
      <c r="G63" t="s">
        <v>3377</v>
      </c>
      <c r="I63" t="s">
        <v>3377</v>
      </c>
      <c r="J63" t="s">
        <v>3377</v>
      </c>
      <c r="K63" t="s">
        <v>3378</v>
      </c>
      <c r="M63" t="s">
        <v>3379</v>
      </c>
      <c r="R63" t="s">
        <v>3221</v>
      </c>
      <c r="S63" t="s">
        <v>3222</v>
      </c>
      <c r="T63" t="s">
        <v>3223</v>
      </c>
      <c r="U63" t="s">
        <v>2692</v>
      </c>
      <c r="Y63" t="s">
        <v>3217</v>
      </c>
      <c r="Z63">
        <v>325</v>
      </c>
      <c r="AA63" s="31">
        <v>45604</v>
      </c>
      <c r="AB63" s="61">
        <v>0.72951388888888891</v>
      </c>
      <c r="AC63" t="s">
        <v>795</v>
      </c>
      <c r="AD63" s="31">
        <v>45929</v>
      </c>
      <c r="AE63" s="61">
        <v>0.7025231481481482</v>
      </c>
      <c r="AF63" t="s">
        <v>796</v>
      </c>
      <c r="AQ63">
        <v>1</v>
      </c>
    </row>
    <row r="64" spans="1:43" hidden="1" x14ac:dyDescent="0.3">
      <c r="A64" t="s">
        <v>3217</v>
      </c>
      <c r="B64">
        <v>63</v>
      </c>
      <c r="C64">
        <v>135</v>
      </c>
      <c r="D64">
        <v>163</v>
      </c>
      <c r="G64" t="s">
        <v>229</v>
      </c>
      <c r="I64" t="s">
        <v>229</v>
      </c>
      <c r="J64" t="s">
        <v>229</v>
      </c>
      <c r="K64" t="s">
        <v>3380</v>
      </c>
      <c r="M64" t="s">
        <v>3381</v>
      </c>
      <c r="R64" t="s">
        <v>3221</v>
      </c>
      <c r="S64" t="s">
        <v>3222</v>
      </c>
      <c r="T64" t="s">
        <v>3223</v>
      </c>
      <c r="U64" t="s">
        <v>2692</v>
      </c>
      <c r="Y64" t="s">
        <v>3217</v>
      </c>
      <c r="Z64">
        <v>325</v>
      </c>
      <c r="AA64" s="31">
        <v>45604</v>
      </c>
      <c r="AB64" s="61">
        <v>0.72951388888888891</v>
      </c>
      <c r="AC64" t="s">
        <v>795</v>
      </c>
      <c r="AD64" s="31">
        <v>45929</v>
      </c>
      <c r="AE64" s="61">
        <v>0.70254629629629628</v>
      </c>
      <c r="AF64" t="s">
        <v>796</v>
      </c>
      <c r="AQ64">
        <v>1</v>
      </c>
    </row>
    <row r="65" spans="1:43" hidden="1" x14ac:dyDescent="0.3">
      <c r="A65" t="s">
        <v>3217</v>
      </c>
      <c r="B65">
        <v>64</v>
      </c>
      <c r="C65">
        <v>136</v>
      </c>
      <c r="D65">
        <v>165</v>
      </c>
      <c r="G65" t="s">
        <v>3382</v>
      </c>
      <c r="I65" t="s">
        <v>3382</v>
      </c>
      <c r="J65" t="s">
        <v>3382</v>
      </c>
      <c r="K65" t="s">
        <v>3383</v>
      </c>
      <c r="M65" t="s">
        <v>3384</v>
      </c>
      <c r="R65" t="s">
        <v>3221</v>
      </c>
      <c r="S65" t="s">
        <v>3222</v>
      </c>
      <c r="T65" t="s">
        <v>3223</v>
      </c>
      <c r="U65" t="s">
        <v>2692</v>
      </c>
      <c r="Y65" t="s">
        <v>3217</v>
      </c>
      <c r="Z65">
        <v>325</v>
      </c>
      <c r="AA65" s="31">
        <v>45604</v>
      </c>
      <c r="AB65" s="61">
        <v>0.72951388888888891</v>
      </c>
      <c r="AC65" t="s">
        <v>795</v>
      </c>
      <c r="AD65" s="31">
        <v>45929</v>
      </c>
      <c r="AE65" s="61">
        <v>0.70256944444444447</v>
      </c>
      <c r="AF65" t="s">
        <v>796</v>
      </c>
      <c r="AQ65">
        <v>1</v>
      </c>
    </row>
    <row r="66" spans="1:43" hidden="1" x14ac:dyDescent="0.3">
      <c r="A66" t="s">
        <v>3217</v>
      </c>
      <c r="B66">
        <v>65</v>
      </c>
      <c r="C66">
        <v>137</v>
      </c>
      <c r="D66">
        <v>167</v>
      </c>
      <c r="G66" t="s">
        <v>116</v>
      </c>
      <c r="I66" t="s">
        <v>116</v>
      </c>
      <c r="J66" t="s">
        <v>116</v>
      </c>
      <c r="K66" t="s">
        <v>3385</v>
      </c>
      <c r="M66" t="s">
        <v>3386</v>
      </c>
      <c r="R66" t="s">
        <v>3221</v>
      </c>
      <c r="S66" t="s">
        <v>3222</v>
      </c>
      <c r="T66" t="s">
        <v>3223</v>
      </c>
      <c r="U66" t="s">
        <v>2692</v>
      </c>
      <c r="Y66" t="s">
        <v>3217</v>
      </c>
      <c r="Z66">
        <v>325</v>
      </c>
      <c r="AA66" s="31">
        <v>45604</v>
      </c>
      <c r="AB66" s="61">
        <v>0.72951388888888891</v>
      </c>
      <c r="AC66" t="s">
        <v>795</v>
      </c>
      <c r="AD66" s="31">
        <v>45929</v>
      </c>
      <c r="AE66" s="61">
        <v>0.70259259259259255</v>
      </c>
      <c r="AF66" t="s">
        <v>796</v>
      </c>
      <c r="AQ66">
        <v>1</v>
      </c>
    </row>
    <row r="67" spans="1:43" hidden="1" x14ac:dyDescent="0.3">
      <c r="A67" t="s">
        <v>3217</v>
      </c>
      <c r="B67">
        <v>66</v>
      </c>
      <c r="C67">
        <v>138</v>
      </c>
      <c r="D67">
        <v>169</v>
      </c>
      <c r="G67" t="s">
        <v>3387</v>
      </c>
      <c r="I67" t="s">
        <v>3387</v>
      </c>
      <c r="J67" t="s">
        <v>3387</v>
      </c>
      <c r="K67" t="s">
        <v>3388</v>
      </c>
      <c r="M67" t="s">
        <v>3389</v>
      </c>
      <c r="R67" t="s">
        <v>3221</v>
      </c>
      <c r="S67" t="s">
        <v>3222</v>
      </c>
      <c r="T67" t="s">
        <v>3223</v>
      </c>
      <c r="U67" t="s">
        <v>2692</v>
      </c>
      <c r="Y67" t="s">
        <v>3217</v>
      </c>
      <c r="Z67">
        <v>325</v>
      </c>
      <c r="AA67" s="31">
        <v>45604</v>
      </c>
      <c r="AB67" s="61">
        <v>0.72951388888888891</v>
      </c>
      <c r="AC67" t="s">
        <v>795</v>
      </c>
      <c r="AD67" s="31">
        <v>45929</v>
      </c>
      <c r="AE67" s="61">
        <v>0.70262731481481477</v>
      </c>
      <c r="AF67" t="s">
        <v>796</v>
      </c>
      <c r="AQ67">
        <v>1</v>
      </c>
    </row>
    <row r="68" spans="1:43" hidden="1" x14ac:dyDescent="0.3">
      <c r="A68" t="s">
        <v>3217</v>
      </c>
      <c r="B68">
        <v>67</v>
      </c>
      <c r="C68">
        <v>139</v>
      </c>
      <c r="D68">
        <v>171</v>
      </c>
      <c r="G68" t="s">
        <v>3390</v>
      </c>
      <c r="I68" t="s">
        <v>3390</v>
      </c>
      <c r="J68" t="s">
        <v>3390</v>
      </c>
      <c r="K68" t="s">
        <v>2046</v>
      </c>
      <c r="M68" t="s">
        <v>2047</v>
      </c>
      <c r="P68" t="s">
        <v>3391</v>
      </c>
      <c r="R68" t="s">
        <v>3221</v>
      </c>
      <c r="S68" t="s">
        <v>3222</v>
      </c>
      <c r="T68" t="s">
        <v>3223</v>
      </c>
      <c r="U68" t="s">
        <v>2692</v>
      </c>
      <c r="Y68" t="s">
        <v>3217</v>
      </c>
      <c r="Z68">
        <v>325</v>
      </c>
      <c r="AA68" s="31">
        <v>45604</v>
      </c>
      <c r="AB68" s="61">
        <v>0.72951388888888891</v>
      </c>
      <c r="AC68" t="s">
        <v>795</v>
      </c>
      <c r="AD68" s="31">
        <v>45929</v>
      </c>
      <c r="AE68" s="61">
        <v>0.70265046296296296</v>
      </c>
      <c r="AF68" t="s">
        <v>796</v>
      </c>
      <c r="AQ68">
        <v>1</v>
      </c>
    </row>
    <row r="69" spans="1:43" hidden="1" x14ac:dyDescent="0.3">
      <c r="A69" t="s">
        <v>3217</v>
      </c>
      <c r="B69">
        <v>68</v>
      </c>
      <c r="C69">
        <v>140</v>
      </c>
      <c r="D69">
        <v>173</v>
      </c>
      <c r="G69" t="s">
        <v>3392</v>
      </c>
      <c r="I69" t="s">
        <v>3392</v>
      </c>
      <c r="J69" t="s">
        <v>3392</v>
      </c>
      <c r="K69" t="s">
        <v>3393</v>
      </c>
      <c r="M69" t="s">
        <v>3394</v>
      </c>
      <c r="R69" t="s">
        <v>3221</v>
      </c>
      <c r="S69" t="s">
        <v>3222</v>
      </c>
      <c r="T69" t="s">
        <v>3223</v>
      </c>
      <c r="U69" t="s">
        <v>2692</v>
      </c>
      <c r="Y69" t="s">
        <v>3217</v>
      </c>
      <c r="Z69">
        <v>325</v>
      </c>
      <c r="AA69" s="31">
        <v>45604</v>
      </c>
      <c r="AB69" s="61">
        <v>0.72951388888888891</v>
      </c>
      <c r="AC69" t="s">
        <v>795</v>
      </c>
      <c r="AD69" s="31">
        <v>45929</v>
      </c>
      <c r="AE69" s="61">
        <v>0.70267361111111115</v>
      </c>
      <c r="AF69" t="s">
        <v>796</v>
      </c>
      <c r="AQ69">
        <v>1</v>
      </c>
    </row>
    <row r="70" spans="1:43" hidden="1" x14ac:dyDescent="0.3">
      <c r="A70" t="s">
        <v>3217</v>
      </c>
      <c r="B70">
        <v>69</v>
      </c>
      <c r="C70">
        <v>141</v>
      </c>
      <c r="D70">
        <v>175</v>
      </c>
      <c r="G70" t="s">
        <v>434</v>
      </c>
      <c r="I70" t="s">
        <v>434</v>
      </c>
      <c r="J70" t="s">
        <v>434</v>
      </c>
      <c r="K70" t="s">
        <v>3395</v>
      </c>
      <c r="M70" t="s">
        <v>3396</v>
      </c>
      <c r="R70" t="s">
        <v>3221</v>
      </c>
      <c r="S70" t="s">
        <v>3222</v>
      </c>
      <c r="T70" t="s">
        <v>3223</v>
      </c>
      <c r="U70" t="s">
        <v>2692</v>
      </c>
      <c r="Y70" t="s">
        <v>3217</v>
      </c>
      <c r="Z70">
        <v>325</v>
      </c>
      <c r="AA70" s="31">
        <v>45604</v>
      </c>
      <c r="AB70" s="61">
        <v>0.72951388888888891</v>
      </c>
      <c r="AC70" t="s">
        <v>795</v>
      </c>
      <c r="AD70" s="31">
        <v>45929</v>
      </c>
      <c r="AE70" s="61">
        <v>0.70270833333333338</v>
      </c>
      <c r="AF70" t="s">
        <v>796</v>
      </c>
      <c r="AQ70">
        <v>1</v>
      </c>
    </row>
    <row r="71" spans="1:43" hidden="1" x14ac:dyDescent="0.3">
      <c r="A71" t="s">
        <v>3217</v>
      </c>
      <c r="B71">
        <v>70</v>
      </c>
      <c r="C71">
        <v>142</v>
      </c>
      <c r="D71">
        <v>177</v>
      </c>
      <c r="G71" t="s">
        <v>3397</v>
      </c>
      <c r="I71" t="s">
        <v>3397</v>
      </c>
      <c r="J71" t="s">
        <v>3397</v>
      </c>
      <c r="K71" t="s">
        <v>3398</v>
      </c>
      <c r="M71" t="s">
        <v>3399</v>
      </c>
      <c r="P71" t="s">
        <v>3400</v>
      </c>
      <c r="Q71" t="s">
        <v>1699</v>
      </c>
      <c r="R71" t="s">
        <v>3221</v>
      </c>
      <c r="S71" t="s">
        <v>3222</v>
      </c>
      <c r="T71" t="s">
        <v>3223</v>
      </c>
      <c r="U71" t="s">
        <v>2692</v>
      </c>
      <c r="Y71" t="s">
        <v>3217</v>
      </c>
      <c r="Z71">
        <v>325</v>
      </c>
      <c r="AA71" s="31">
        <v>45604</v>
      </c>
      <c r="AB71" s="61">
        <v>0.72951388888888891</v>
      </c>
      <c r="AC71" t="s">
        <v>795</v>
      </c>
      <c r="AD71" s="31">
        <v>45929</v>
      </c>
      <c r="AE71" s="61">
        <v>0.70271990740740742</v>
      </c>
      <c r="AF71" t="s">
        <v>796</v>
      </c>
      <c r="AQ71">
        <v>1</v>
      </c>
    </row>
    <row r="72" spans="1:43" hidden="1" x14ac:dyDescent="0.3">
      <c r="A72" t="s">
        <v>3217</v>
      </c>
      <c r="B72">
        <v>71</v>
      </c>
      <c r="C72">
        <v>143</v>
      </c>
      <c r="D72">
        <v>179</v>
      </c>
      <c r="G72" t="s">
        <v>689</v>
      </c>
      <c r="I72" t="s">
        <v>689</v>
      </c>
      <c r="J72" t="s">
        <v>689</v>
      </c>
      <c r="K72" t="s">
        <v>3401</v>
      </c>
      <c r="M72" t="s">
        <v>3402</v>
      </c>
      <c r="R72" t="s">
        <v>3221</v>
      </c>
      <c r="S72" t="s">
        <v>3222</v>
      </c>
      <c r="T72" t="s">
        <v>3223</v>
      </c>
      <c r="U72" t="s">
        <v>2692</v>
      </c>
      <c r="Y72" t="s">
        <v>3217</v>
      </c>
      <c r="Z72">
        <v>325</v>
      </c>
      <c r="AA72" s="31">
        <v>45604</v>
      </c>
      <c r="AB72" s="61">
        <v>0.72951388888888891</v>
      </c>
      <c r="AC72" t="s">
        <v>795</v>
      </c>
      <c r="AD72" s="31">
        <v>45929</v>
      </c>
      <c r="AE72" s="61">
        <v>0.70274305555555561</v>
      </c>
      <c r="AF72" t="s">
        <v>796</v>
      </c>
      <c r="AQ72">
        <v>1</v>
      </c>
    </row>
    <row r="73" spans="1:43" hidden="1" x14ac:dyDescent="0.3">
      <c r="A73" t="s">
        <v>31</v>
      </c>
      <c r="B73">
        <v>72</v>
      </c>
      <c r="C73">
        <v>144</v>
      </c>
      <c r="D73">
        <v>521</v>
      </c>
      <c r="G73" t="s">
        <v>3403</v>
      </c>
      <c r="I73" t="s">
        <v>3404</v>
      </c>
      <c r="J73" t="s">
        <v>3405</v>
      </c>
      <c r="K73" t="s">
        <v>3406</v>
      </c>
      <c r="M73" t="s">
        <v>3407</v>
      </c>
      <c r="S73" t="s">
        <v>3408</v>
      </c>
      <c r="T73" t="s">
        <v>319</v>
      </c>
      <c r="U73" t="s">
        <v>3409</v>
      </c>
      <c r="Y73" t="s">
        <v>22</v>
      </c>
      <c r="Z73">
        <v>142</v>
      </c>
      <c r="AA73" s="31">
        <v>45622</v>
      </c>
      <c r="AB73" s="61">
        <v>0.68312499999999998</v>
      </c>
      <c r="AC73" t="s">
        <v>795</v>
      </c>
      <c r="AD73" s="31">
        <v>45764</v>
      </c>
      <c r="AE73" s="61">
        <v>0.50594907407407408</v>
      </c>
      <c r="AF73" t="s">
        <v>934</v>
      </c>
      <c r="AH73" t="s">
        <v>3410</v>
      </c>
      <c r="AQ73">
        <v>1</v>
      </c>
    </row>
    <row r="74" spans="1:43" hidden="1" x14ac:dyDescent="0.3">
      <c r="A74" t="s">
        <v>31</v>
      </c>
      <c r="B74">
        <v>73</v>
      </c>
      <c r="C74">
        <v>144</v>
      </c>
      <c r="D74">
        <v>521</v>
      </c>
      <c r="G74" t="s">
        <v>3411</v>
      </c>
      <c r="I74" t="s">
        <v>3404</v>
      </c>
      <c r="J74" t="s">
        <v>3405</v>
      </c>
      <c r="K74" t="s">
        <v>3406</v>
      </c>
      <c r="M74" t="s">
        <v>3407</v>
      </c>
      <c r="S74" t="s">
        <v>3412</v>
      </c>
      <c r="T74" t="s">
        <v>319</v>
      </c>
      <c r="U74" t="s">
        <v>3409</v>
      </c>
      <c r="Y74" t="s">
        <v>22</v>
      </c>
      <c r="Z74">
        <v>142</v>
      </c>
      <c r="AA74" s="31">
        <v>45622</v>
      </c>
      <c r="AB74" s="61">
        <v>0.68312499999999998</v>
      </c>
      <c r="AC74" t="s">
        <v>795</v>
      </c>
      <c r="AD74" s="31">
        <v>45764</v>
      </c>
      <c r="AE74" s="61">
        <v>0.50575231481481486</v>
      </c>
      <c r="AF74" t="s">
        <v>934</v>
      </c>
      <c r="AH74" t="s">
        <v>945</v>
      </c>
      <c r="AQ74">
        <v>1</v>
      </c>
    </row>
    <row r="75" spans="1:43" hidden="1" x14ac:dyDescent="0.3">
      <c r="A75" t="s">
        <v>31</v>
      </c>
      <c r="B75">
        <v>74</v>
      </c>
      <c r="C75">
        <v>97</v>
      </c>
      <c r="D75">
        <v>88</v>
      </c>
      <c r="G75" t="s">
        <v>3413</v>
      </c>
      <c r="H75">
        <v>22500484000170</v>
      </c>
      <c r="I75" t="s">
        <v>669</v>
      </c>
      <c r="J75" t="s">
        <v>3414</v>
      </c>
      <c r="K75" t="s">
        <v>3415</v>
      </c>
      <c r="M75" t="s">
        <v>3294</v>
      </c>
      <c r="S75" t="s">
        <v>3416</v>
      </c>
      <c r="T75" t="s">
        <v>319</v>
      </c>
      <c r="U75" t="s">
        <v>3417</v>
      </c>
      <c r="Y75" t="s">
        <v>22</v>
      </c>
      <c r="Z75">
        <v>84</v>
      </c>
      <c r="AA75" s="31">
        <v>45622</v>
      </c>
      <c r="AB75" s="61">
        <v>0.68312499999999998</v>
      </c>
      <c r="AC75" t="s">
        <v>795</v>
      </c>
      <c r="AD75" s="31">
        <v>45706</v>
      </c>
      <c r="AE75" s="61">
        <v>0.72165509259259264</v>
      </c>
      <c r="AF75" t="s">
        <v>796</v>
      </c>
      <c r="AH75" t="s">
        <v>3418</v>
      </c>
      <c r="AQ75">
        <v>1</v>
      </c>
    </row>
    <row r="76" spans="1:43" hidden="1" x14ac:dyDescent="0.3">
      <c r="A76" t="s">
        <v>31</v>
      </c>
      <c r="B76">
        <v>75</v>
      </c>
      <c r="C76">
        <v>145</v>
      </c>
      <c r="D76">
        <v>525</v>
      </c>
      <c r="G76" t="s">
        <v>3419</v>
      </c>
      <c r="H76">
        <v>774215000160</v>
      </c>
      <c r="I76" t="s">
        <v>3420</v>
      </c>
      <c r="J76" t="s">
        <v>2927</v>
      </c>
      <c r="K76" t="s">
        <v>3421</v>
      </c>
      <c r="M76" t="s">
        <v>3422</v>
      </c>
      <c r="S76" t="s">
        <v>3423</v>
      </c>
      <c r="T76" t="s">
        <v>319</v>
      </c>
      <c r="U76" t="s">
        <v>3417</v>
      </c>
      <c r="Y76" t="s">
        <v>22</v>
      </c>
      <c r="Z76">
        <v>15</v>
      </c>
      <c r="AA76" s="31">
        <v>45622</v>
      </c>
      <c r="AB76" s="61">
        <v>0.68312499999999998</v>
      </c>
      <c r="AC76" t="s">
        <v>795</v>
      </c>
      <c r="AD76" s="31">
        <v>45637</v>
      </c>
      <c r="AE76" s="61">
        <v>0.41211805555555547</v>
      </c>
      <c r="AF76" t="s">
        <v>974</v>
      </c>
      <c r="AH76" t="s">
        <v>947</v>
      </c>
      <c r="AQ76">
        <v>1</v>
      </c>
    </row>
    <row r="77" spans="1:43" hidden="1" x14ac:dyDescent="0.3">
      <c r="A77" t="s">
        <v>31</v>
      </c>
      <c r="B77">
        <v>76</v>
      </c>
      <c r="C77">
        <v>146</v>
      </c>
      <c r="D77">
        <v>527</v>
      </c>
      <c r="G77" t="s">
        <v>3424</v>
      </c>
      <c r="I77" t="s">
        <v>3425</v>
      </c>
      <c r="J77" t="s">
        <v>3426</v>
      </c>
      <c r="K77" t="s">
        <v>3427</v>
      </c>
      <c r="M77" t="s">
        <v>3428</v>
      </c>
      <c r="S77" t="s">
        <v>3408</v>
      </c>
      <c r="T77" t="s">
        <v>319</v>
      </c>
      <c r="U77" t="s">
        <v>3409</v>
      </c>
      <c r="Y77" t="s">
        <v>22</v>
      </c>
      <c r="Z77">
        <v>182</v>
      </c>
      <c r="AA77" s="31">
        <v>45622</v>
      </c>
      <c r="AB77" s="61">
        <v>0.68312499999999998</v>
      </c>
      <c r="AC77" t="s">
        <v>795</v>
      </c>
      <c r="AD77" s="31">
        <v>45804</v>
      </c>
      <c r="AE77" s="61">
        <v>0.79173611111111108</v>
      </c>
      <c r="AF77" t="s">
        <v>796</v>
      </c>
      <c r="AH77" t="s">
        <v>946</v>
      </c>
      <c r="AQ77">
        <v>1</v>
      </c>
    </row>
    <row r="78" spans="1:43" hidden="1" x14ac:dyDescent="0.3">
      <c r="A78" t="s">
        <v>31</v>
      </c>
      <c r="B78">
        <v>77</v>
      </c>
      <c r="C78">
        <v>147</v>
      </c>
      <c r="D78">
        <v>848</v>
      </c>
      <c r="G78" t="s">
        <v>3429</v>
      </c>
      <c r="H78">
        <v>7964558000136</v>
      </c>
      <c r="I78" t="s">
        <v>3430</v>
      </c>
      <c r="J78" t="s">
        <v>3431</v>
      </c>
      <c r="K78" t="s">
        <v>3432</v>
      </c>
      <c r="M78" t="s">
        <v>3433</v>
      </c>
      <c r="S78" t="s">
        <v>984</v>
      </c>
      <c r="T78" t="s">
        <v>319</v>
      </c>
      <c r="U78" t="s">
        <v>816</v>
      </c>
      <c r="W78">
        <v>4240</v>
      </c>
      <c r="Y78" t="s">
        <v>22</v>
      </c>
      <c r="Z78">
        <v>41</v>
      </c>
      <c r="AA78" s="31">
        <v>45622</v>
      </c>
      <c r="AB78" s="61">
        <v>0.68313657407407402</v>
      </c>
      <c r="AC78" t="s">
        <v>818</v>
      </c>
      <c r="AD78" s="31">
        <v>45663</v>
      </c>
      <c r="AE78" s="61">
        <v>0.61962962962962964</v>
      </c>
      <c r="AH78" t="s">
        <v>888</v>
      </c>
      <c r="AQ78">
        <v>1</v>
      </c>
    </row>
    <row r="79" spans="1:43" hidden="1" x14ac:dyDescent="0.3">
      <c r="A79" t="s">
        <v>31</v>
      </c>
      <c r="B79">
        <v>80</v>
      </c>
      <c r="C79">
        <v>150</v>
      </c>
      <c r="D79">
        <v>535</v>
      </c>
      <c r="G79" t="s">
        <v>3434</v>
      </c>
      <c r="H79">
        <v>32258848000101</v>
      </c>
      <c r="I79" t="s">
        <v>3435</v>
      </c>
      <c r="J79" t="s">
        <v>1540</v>
      </c>
      <c r="K79" t="s">
        <v>3436</v>
      </c>
      <c r="M79" t="s">
        <v>3437</v>
      </c>
      <c r="S79" t="s">
        <v>3408</v>
      </c>
      <c r="T79" t="s">
        <v>319</v>
      </c>
      <c r="U79" t="s">
        <v>3417</v>
      </c>
      <c r="Y79" t="s">
        <v>22</v>
      </c>
      <c r="Z79">
        <v>121</v>
      </c>
      <c r="AA79" s="31">
        <v>45622</v>
      </c>
      <c r="AB79" s="61">
        <v>0.68313657407407402</v>
      </c>
      <c r="AC79" t="s">
        <v>795</v>
      </c>
      <c r="AD79" s="31">
        <v>45743</v>
      </c>
      <c r="AE79" s="61">
        <v>0.35857638888888888</v>
      </c>
      <c r="AF79" t="s">
        <v>796</v>
      </c>
      <c r="AH79" t="s">
        <v>957</v>
      </c>
      <c r="AI79" t="s">
        <v>1364</v>
      </c>
      <c r="AQ79">
        <v>1</v>
      </c>
    </row>
    <row r="80" spans="1:43" hidden="1" x14ac:dyDescent="0.3">
      <c r="A80" t="s">
        <v>31</v>
      </c>
      <c r="B80">
        <v>81</v>
      </c>
      <c r="C80">
        <v>151</v>
      </c>
      <c r="D80">
        <v>537</v>
      </c>
      <c r="G80" t="s">
        <v>3438</v>
      </c>
      <c r="I80" t="s">
        <v>3439</v>
      </c>
      <c r="J80" t="s">
        <v>3440</v>
      </c>
      <c r="K80" t="s">
        <v>3395</v>
      </c>
      <c r="M80" t="s">
        <v>3441</v>
      </c>
      <c r="S80" t="s">
        <v>3442</v>
      </c>
      <c r="T80" t="s">
        <v>319</v>
      </c>
      <c r="U80" t="s">
        <v>816</v>
      </c>
      <c r="Y80" t="s">
        <v>22</v>
      </c>
      <c r="Z80">
        <v>73</v>
      </c>
      <c r="AA80" s="31">
        <v>45622</v>
      </c>
      <c r="AB80" s="61">
        <v>0.68313657407407402</v>
      </c>
      <c r="AC80" t="s">
        <v>795</v>
      </c>
      <c r="AD80" s="31">
        <v>45695</v>
      </c>
      <c r="AE80" s="61">
        <v>0.65645833333333337</v>
      </c>
      <c r="AF80" t="s">
        <v>796</v>
      </c>
      <c r="AH80" t="s">
        <v>3443</v>
      </c>
      <c r="AQ80">
        <v>1</v>
      </c>
    </row>
    <row r="81" spans="1:43" hidden="1" x14ac:dyDescent="0.3">
      <c r="A81" t="s">
        <v>31</v>
      </c>
      <c r="B81">
        <v>82</v>
      </c>
      <c r="C81">
        <v>152</v>
      </c>
      <c r="D81">
        <v>539</v>
      </c>
      <c r="G81" t="s">
        <v>3444</v>
      </c>
      <c r="I81" t="s">
        <v>3445</v>
      </c>
      <c r="J81" t="s">
        <v>3446</v>
      </c>
      <c r="K81" t="s">
        <v>3447</v>
      </c>
      <c r="M81" t="s">
        <v>3448</v>
      </c>
      <c r="S81" t="s">
        <v>3408</v>
      </c>
      <c r="T81" t="s">
        <v>319</v>
      </c>
      <c r="U81" t="s">
        <v>3417</v>
      </c>
      <c r="Y81" t="s">
        <v>22</v>
      </c>
      <c r="Z81">
        <v>121</v>
      </c>
      <c r="AA81" s="31">
        <v>45622</v>
      </c>
      <c r="AB81" s="61">
        <v>0.68313657407407402</v>
      </c>
      <c r="AC81" t="s">
        <v>795</v>
      </c>
      <c r="AD81" s="31">
        <v>45743</v>
      </c>
      <c r="AE81" s="61">
        <v>0.35847222222222219</v>
      </c>
      <c r="AF81" t="s">
        <v>796</v>
      </c>
      <c r="AH81" t="s">
        <v>3449</v>
      </c>
      <c r="AQ81">
        <v>1</v>
      </c>
    </row>
    <row r="82" spans="1:43" hidden="1" x14ac:dyDescent="0.3">
      <c r="A82" t="s">
        <v>31</v>
      </c>
      <c r="B82">
        <v>83</v>
      </c>
      <c r="C82">
        <v>153</v>
      </c>
      <c r="D82">
        <v>541</v>
      </c>
      <c r="G82" t="s">
        <v>3450</v>
      </c>
      <c r="I82" t="s">
        <v>3451</v>
      </c>
      <c r="J82" t="s">
        <v>3451</v>
      </c>
      <c r="K82" t="s">
        <v>3453</v>
      </c>
      <c r="M82" t="s">
        <v>3454</v>
      </c>
      <c r="S82" t="s">
        <v>984</v>
      </c>
      <c r="T82" t="s">
        <v>319</v>
      </c>
      <c r="U82" t="s">
        <v>3409</v>
      </c>
      <c r="Y82" t="s">
        <v>22</v>
      </c>
      <c r="Z82">
        <v>45</v>
      </c>
      <c r="AA82" s="31">
        <v>45622</v>
      </c>
      <c r="AB82" s="61">
        <v>0.68313657407407402</v>
      </c>
      <c r="AC82" t="s">
        <v>795</v>
      </c>
      <c r="AD82" s="31">
        <v>45667</v>
      </c>
      <c r="AE82" s="61">
        <v>0.63896990740740744</v>
      </c>
      <c r="AF82" t="s">
        <v>934</v>
      </c>
      <c r="AH82" t="s">
        <v>1021</v>
      </c>
      <c r="AQ82">
        <v>1</v>
      </c>
    </row>
    <row r="83" spans="1:43" hidden="1" x14ac:dyDescent="0.3">
      <c r="A83" t="s">
        <v>31</v>
      </c>
      <c r="B83">
        <v>84</v>
      </c>
      <c r="C83">
        <v>154</v>
      </c>
      <c r="D83">
        <v>543</v>
      </c>
      <c r="G83" t="s">
        <v>3455</v>
      </c>
      <c r="H83">
        <v>790751000159</v>
      </c>
      <c r="I83" t="s">
        <v>3456</v>
      </c>
      <c r="J83" t="s">
        <v>3457</v>
      </c>
      <c r="K83" t="s">
        <v>3458</v>
      </c>
      <c r="M83" t="s">
        <v>3459</v>
      </c>
      <c r="S83" t="s">
        <v>3460</v>
      </c>
      <c r="T83" t="s">
        <v>319</v>
      </c>
      <c r="U83" t="s">
        <v>3417</v>
      </c>
      <c r="V83" t="s">
        <v>817</v>
      </c>
      <c r="W83">
        <v>169128</v>
      </c>
      <c r="X83">
        <v>7128</v>
      </c>
      <c r="Y83" t="s">
        <v>22</v>
      </c>
      <c r="Z83">
        <v>104</v>
      </c>
      <c r="AA83" s="31">
        <v>45622</v>
      </c>
      <c r="AB83" s="61">
        <v>0.68313657407407402</v>
      </c>
      <c r="AC83" t="s">
        <v>795</v>
      </c>
      <c r="AD83" s="31">
        <v>45726</v>
      </c>
      <c r="AE83" s="61">
        <v>0.42429398148148151</v>
      </c>
      <c r="AF83" t="s">
        <v>796</v>
      </c>
      <c r="AH83" t="s">
        <v>829</v>
      </c>
      <c r="AI83" t="s">
        <v>3461</v>
      </c>
      <c r="AQ83">
        <v>1</v>
      </c>
    </row>
    <row r="84" spans="1:43" hidden="1" x14ac:dyDescent="0.3">
      <c r="A84" t="s">
        <v>31</v>
      </c>
      <c r="B84">
        <v>117</v>
      </c>
      <c r="C84">
        <v>147</v>
      </c>
      <c r="D84">
        <v>848</v>
      </c>
      <c r="G84" t="s">
        <v>3462</v>
      </c>
      <c r="H84">
        <v>7964558000136</v>
      </c>
      <c r="I84" t="s">
        <v>3430</v>
      </c>
      <c r="J84" t="s">
        <v>3431</v>
      </c>
      <c r="K84" t="s">
        <v>3432</v>
      </c>
      <c r="M84" t="s">
        <v>3433</v>
      </c>
      <c r="T84" t="s">
        <v>319</v>
      </c>
      <c r="U84" t="s">
        <v>3417</v>
      </c>
      <c r="Z84">
        <v>8</v>
      </c>
      <c r="AA84" s="31">
        <v>45629</v>
      </c>
      <c r="AB84" s="61">
        <v>0.68774305555555559</v>
      </c>
      <c r="AC84" t="s">
        <v>795</v>
      </c>
      <c r="AD84" s="31">
        <v>45637</v>
      </c>
      <c r="AE84" s="61">
        <v>0.41108796296296302</v>
      </c>
      <c r="AF84" t="s">
        <v>867</v>
      </c>
      <c r="AH84" t="s">
        <v>829</v>
      </c>
      <c r="AI84" t="s">
        <v>829</v>
      </c>
      <c r="AQ84">
        <v>1</v>
      </c>
    </row>
    <row r="85" spans="1:43" hidden="1" x14ac:dyDescent="0.3">
      <c r="A85" t="s">
        <v>31</v>
      </c>
      <c r="B85">
        <v>120</v>
      </c>
      <c r="C85">
        <v>169</v>
      </c>
      <c r="D85">
        <v>853</v>
      </c>
      <c r="G85" t="s">
        <v>3464</v>
      </c>
      <c r="H85">
        <v>11458315000101</v>
      </c>
      <c r="I85" t="s">
        <v>3465</v>
      </c>
      <c r="J85" t="s">
        <v>3474</v>
      </c>
      <c r="K85" t="s">
        <v>3467</v>
      </c>
      <c r="M85" t="s">
        <v>3468</v>
      </c>
      <c r="O85" t="s">
        <v>6442</v>
      </c>
      <c r="P85" t="s">
        <v>3470</v>
      </c>
      <c r="Q85" t="s">
        <v>790</v>
      </c>
      <c r="S85" t="s">
        <v>3460</v>
      </c>
      <c r="T85" t="s">
        <v>319</v>
      </c>
      <c r="U85" t="s">
        <v>816</v>
      </c>
      <c r="W85">
        <v>66375</v>
      </c>
      <c r="X85">
        <v>0</v>
      </c>
      <c r="Z85">
        <v>147</v>
      </c>
      <c r="AA85" s="31">
        <v>45630</v>
      </c>
      <c r="AB85" s="61">
        <v>0.50695601851851857</v>
      </c>
      <c r="AC85" t="s">
        <v>818</v>
      </c>
      <c r="AD85" s="31">
        <v>45777</v>
      </c>
      <c r="AE85" s="61">
        <v>0.66732638888888884</v>
      </c>
      <c r="AH85" t="s">
        <v>1584</v>
      </c>
      <c r="AQ85">
        <v>1</v>
      </c>
    </row>
    <row r="86" spans="1:43" hidden="1" x14ac:dyDescent="0.3">
      <c r="A86" t="s">
        <v>31</v>
      </c>
      <c r="B86">
        <v>121</v>
      </c>
      <c r="C86">
        <v>113</v>
      </c>
      <c r="D86">
        <v>854</v>
      </c>
      <c r="G86" t="s">
        <v>3471</v>
      </c>
      <c r="I86" t="s">
        <v>65</v>
      </c>
      <c r="J86" t="s">
        <v>1252</v>
      </c>
      <c r="K86" t="s">
        <v>3472</v>
      </c>
      <c r="M86" t="s">
        <v>3329</v>
      </c>
      <c r="T86" t="s">
        <v>319</v>
      </c>
      <c r="U86" t="s">
        <v>816</v>
      </c>
      <c r="W86">
        <v>3564</v>
      </c>
      <c r="Z86">
        <v>0</v>
      </c>
      <c r="AA86" s="31">
        <v>45630</v>
      </c>
      <c r="AB86" s="61">
        <v>0.51474537037037038</v>
      </c>
      <c r="AC86" t="s">
        <v>818</v>
      </c>
      <c r="AD86" s="31">
        <v>45630</v>
      </c>
      <c r="AE86" s="61">
        <v>0.65880787037037036</v>
      </c>
      <c r="AH86" t="s">
        <v>821</v>
      </c>
      <c r="AI86" t="s">
        <v>829</v>
      </c>
      <c r="AQ86">
        <v>1</v>
      </c>
    </row>
    <row r="87" spans="1:43" hidden="1" x14ac:dyDescent="0.3">
      <c r="A87" t="s">
        <v>31</v>
      </c>
      <c r="B87">
        <v>123</v>
      </c>
      <c r="C87">
        <v>169</v>
      </c>
      <c r="D87">
        <v>852</v>
      </c>
      <c r="G87" t="s">
        <v>3473</v>
      </c>
      <c r="H87">
        <v>11458315000101</v>
      </c>
      <c r="I87" t="s">
        <v>3465</v>
      </c>
      <c r="J87" t="s">
        <v>3474</v>
      </c>
      <c r="K87" t="s">
        <v>3475</v>
      </c>
      <c r="M87" t="s">
        <v>3468</v>
      </c>
      <c r="O87" t="s">
        <v>6442</v>
      </c>
      <c r="P87" t="s">
        <v>3470</v>
      </c>
      <c r="Q87" t="s">
        <v>790</v>
      </c>
      <c r="T87" t="s">
        <v>319</v>
      </c>
      <c r="U87" t="s">
        <v>3417</v>
      </c>
      <c r="Z87">
        <v>6</v>
      </c>
      <c r="AA87" s="31">
        <v>45631</v>
      </c>
      <c r="AB87" s="61">
        <v>0.45709490740740738</v>
      </c>
      <c r="AC87" t="s">
        <v>795</v>
      </c>
      <c r="AD87" s="31">
        <v>45637</v>
      </c>
      <c r="AE87" s="61">
        <v>0.61721064814814819</v>
      </c>
      <c r="AF87" t="s">
        <v>867</v>
      </c>
      <c r="AH87" t="s">
        <v>1019</v>
      </c>
      <c r="AI87" t="s">
        <v>1019</v>
      </c>
      <c r="AQ87">
        <v>1</v>
      </c>
    </row>
    <row r="88" spans="1:43" hidden="1" x14ac:dyDescent="0.3">
      <c r="A88" t="s">
        <v>31</v>
      </c>
      <c r="B88">
        <v>124</v>
      </c>
      <c r="C88">
        <v>108</v>
      </c>
      <c r="D88">
        <v>109</v>
      </c>
      <c r="G88" t="s">
        <v>6443</v>
      </c>
      <c r="I88" t="s">
        <v>3321</v>
      </c>
      <c r="J88" t="s">
        <v>3321</v>
      </c>
      <c r="M88" t="s">
        <v>3322</v>
      </c>
      <c r="T88" t="s">
        <v>319</v>
      </c>
      <c r="U88" t="s">
        <v>3417</v>
      </c>
      <c r="W88">
        <v>7140</v>
      </c>
      <c r="X88">
        <v>0</v>
      </c>
      <c r="Z88">
        <v>105</v>
      </c>
      <c r="AA88" s="31">
        <v>45631</v>
      </c>
      <c r="AB88" s="61">
        <v>0.6162037037037037</v>
      </c>
      <c r="AC88" t="s">
        <v>795</v>
      </c>
      <c r="AD88" s="31">
        <v>45736</v>
      </c>
      <c r="AE88" s="61">
        <v>0.41983796296296289</v>
      </c>
      <c r="AF88" t="s">
        <v>867</v>
      </c>
      <c r="AH88" t="s">
        <v>1020</v>
      </c>
      <c r="AQ88">
        <v>1</v>
      </c>
    </row>
    <row r="89" spans="1:43" hidden="1" x14ac:dyDescent="0.3">
      <c r="A89" t="s">
        <v>31</v>
      </c>
      <c r="B89">
        <v>126</v>
      </c>
      <c r="C89">
        <v>170</v>
      </c>
      <c r="D89">
        <v>864</v>
      </c>
      <c r="G89" t="s">
        <v>496</v>
      </c>
      <c r="H89">
        <v>4150555001304</v>
      </c>
      <c r="I89" t="s">
        <v>3477</v>
      </c>
      <c r="J89" t="s">
        <v>3478</v>
      </c>
      <c r="K89" t="s">
        <v>3479</v>
      </c>
      <c r="M89" t="s">
        <v>3480</v>
      </c>
      <c r="O89" t="s">
        <v>6444</v>
      </c>
      <c r="P89" t="s">
        <v>3482</v>
      </c>
      <c r="Q89" t="s">
        <v>1699</v>
      </c>
      <c r="T89" t="s">
        <v>319</v>
      </c>
      <c r="U89" t="s">
        <v>816</v>
      </c>
      <c r="W89">
        <v>7128</v>
      </c>
      <c r="Z89">
        <v>2</v>
      </c>
      <c r="AA89" s="31">
        <v>45635</v>
      </c>
      <c r="AB89" s="61">
        <v>0.50931712962962961</v>
      </c>
      <c r="AC89" t="s">
        <v>818</v>
      </c>
      <c r="AD89" s="31">
        <v>45637</v>
      </c>
      <c r="AE89" s="61">
        <v>0.61657407407407405</v>
      </c>
      <c r="AH89" t="s">
        <v>841</v>
      </c>
      <c r="AI89" t="s">
        <v>1011</v>
      </c>
      <c r="AQ89">
        <v>1</v>
      </c>
    </row>
    <row r="90" spans="1:43" hidden="1" x14ac:dyDescent="0.3">
      <c r="A90" t="s">
        <v>31</v>
      </c>
      <c r="B90">
        <v>128</v>
      </c>
      <c r="C90">
        <v>171</v>
      </c>
      <c r="D90">
        <v>983</v>
      </c>
      <c r="G90" t="s">
        <v>3483</v>
      </c>
      <c r="H90">
        <v>39955762000187</v>
      </c>
      <c r="I90" t="s">
        <v>3484</v>
      </c>
      <c r="J90" t="s">
        <v>1243</v>
      </c>
      <c r="K90" t="s">
        <v>3486</v>
      </c>
      <c r="M90" t="s">
        <v>3487</v>
      </c>
      <c r="O90" t="s">
        <v>6445</v>
      </c>
      <c r="P90" t="s">
        <v>1094</v>
      </c>
      <c r="Q90" t="s">
        <v>790</v>
      </c>
      <c r="T90" t="s">
        <v>319</v>
      </c>
      <c r="U90" t="s">
        <v>816</v>
      </c>
      <c r="Z90">
        <v>2</v>
      </c>
      <c r="AA90" s="31">
        <v>45636</v>
      </c>
      <c r="AB90" s="61">
        <v>0.46460648148148148</v>
      </c>
      <c r="AC90" t="s">
        <v>818</v>
      </c>
      <c r="AD90" s="31">
        <v>45638</v>
      </c>
      <c r="AE90" s="61">
        <v>0.4626736111111111</v>
      </c>
      <c r="AH90" t="s">
        <v>1020</v>
      </c>
      <c r="AI90" t="s">
        <v>821</v>
      </c>
      <c r="AQ90">
        <v>1</v>
      </c>
    </row>
    <row r="91" spans="1:43" hidden="1" x14ac:dyDescent="0.3">
      <c r="A91" t="s">
        <v>31</v>
      </c>
      <c r="B91">
        <v>129</v>
      </c>
      <c r="C91">
        <v>93</v>
      </c>
      <c r="D91">
        <v>986</v>
      </c>
      <c r="G91" t="s">
        <v>3489</v>
      </c>
      <c r="I91" t="s">
        <v>3285</v>
      </c>
      <c r="J91" t="s">
        <v>3490</v>
      </c>
      <c r="K91" t="s">
        <v>3491</v>
      </c>
      <c r="M91" t="s">
        <v>3286</v>
      </c>
      <c r="T91" t="s">
        <v>319</v>
      </c>
      <c r="U91" t="s">
        <v>781</v>
      </c>
      <c r="V91" t="s">
        <v>817</v>
      </c>
      <c r="W91">
        <v>0</v>
      </c>
      <c r="X91">
        <v>0</v>
      </c>
      <c r="Z91">
        <v>49</v>
      </c>
      <c r="AA91" s="31">
        <v>45637</v>
      </c>
      <c r="AB91" s="61">
        <v>0.61811342592592589</v>
      </c>
      <c r="AC91" t="s">
        <v>795</v>
      </c>
      <c r="AD91" s="31">
        <v>45686</v>
      </c>
      <c r="AE91" s="61">
        <v>0.72059027777777773</v>
      </c>
      <c r="AF91" t="s">
        <v>796</v>
      </c>
      <c r="AH91" t="s">
        <v>1003</v>
      </c>
      <c r="AI91" t="s">
        <v>3492</v>
      </c>
      <c r="AQ91">
        <v>1</v>
      </c>
    </row>
    <row r="92" spans="1:43" hidden="1" x14ac:dyDescent="0.3">
      <c r="A92" t="s">
        <v>31</v>
      </c>
      <c r="B92">
        <v>132</v>
      </c>
      <c r="C92">
        <v>150</v>
      </c>
      <c r="D92">
        <v>991</v>
      </c>
      <c r="G92" t="s">
        <v>3435</v>
      </c>
      <c r="H92">
        <v>32258848000101</v>
      </c>
      <c r="I92" t="s">
        <v>3435</v>
      </c>
      <c r="J92" t="s">
        <v>1540</v>
      </c>
      <c r="K92" t="s">
        <v>3493</v>
      </c>
      <c r="M92" t="s">
        <v>3437</v>
      </c>
      <c r="T92" t="s">
        <v>319</v>
      </c>
      <c r="U92" t="s">
        <v>781</v>
      </c>
      <c r="Z92">
        <v>48</v>
      </c>
      <c r="AA92" s="31">
        <v>45638</v>
      </c>
      <c r="AB92" s="61">
        <v>0.50313657407407408</v>
      </c>
      <c r="AC92" t="s">
        <v>795</v>
      </c>
      <c r="AD92" s="31">
        <v>45686</v>
      </c>
      <c r="AE92" s="61">
        <v>0.72013888888888888</v>
      </c>
      <c r="AF92" t="s">
        <v>796</v>
      </c>
      <c r="AH92" t="s">
        <v>924</v>
      </c>
      <c r="AQ92">
        <v>1</v>
      </c>
    </row>
    <row r="93" spans="1:43" hidden="1" x14ac:dyDescent="0.3">
      <c r="A93" t="s">
        <v>31</v>
      </c>
      <c r="B93">
        <v>133</v>
      </c>
      <c r="C93">
        <v>173</v>
      </c>
      <c r="D93">
        <v>993</v>
      </c>
      <c r="G93" t="s">
        <v>3494</v>
      </c>
      <c r="H93">
        <v>27914031000104</v>
      </c>
      <c r="I93" t="s">
        <v>3495</v>
      </c>
      <c r="J93" t="s">
        <v>3496</v>
      </c>
      <c r="K93" t="s">
        <v>3497</v>
      </c>
      <c r="M93" t="s">
        <v>3498</v>
      </c>
      <c r="O93" t="s">
        <v>6446</v>
      </c>
      <c r="P93" t="s">
        <v>2489</v>
      </c>
      <c r="Q93" t="s">
        <v>790</v>
      </c>
      <c r="T93" t="s">
        <v>319</v>
      </c>
      <c r="U93" t="s">
        <v>816</v>
      </c>
      <c r="W93">
        <v>324648</v>
      </c>
      <c r="X93">
        <v>57024</v>
      </c>
      <c r="Z93">
        <v>67</v>
      </c>
      <c r="AA93" s="31">
        <v>45638</v>
      </c>
      <c r="AB93" s="61">
        <v>0.67980324074074072</v>
      </c>
      <c r="AC93" t="s">
        <v>818</v>
      </c>
      <c r="AD93" s="31">
        <v>45705</v>
      </c>
      <c r="AE93" s="61">
        <v>0.39378472222222222</v>
      </c>
      <c r="AH93" t="s">
        <v>830</v>
      </c>
      <c r="AI93" t="s">
        <v>1059</v>
      </c>
      <c r="AQ93">
        <v>1</v>
      </c>
    </row>
    <row r="94" spans="1:43" hidden="1" x14ac:dyDescent="0.3">
      <c r="A94" t="s">
        <v>31</v>
      </c>
      <c r="B94">
        <v>134</v>
      </c>
      <c r="C94">
        <v>172</v>
      </c>
      <c r="D94">
        <v>994</v>
      </c>
      <c r="G94" t="s">
        <v>3500</v>
      </c>
      <c r="H94">
        <v>33561753000125</v>
      </c>
      <c r="I94" t="s">
        <v>3501</v>
      </c>
      <c r="J94" t="s">
        <v>952</v>
      </c>
      <c r="K94" t="s">
        <v>3502</v>
      </c>
      <c r="M94" t="s">
        <v>3503</v>
      </c>
      <c r="O94" t="s">
        <v>6447</v>
      </c>
      <c r="P94" t="s">
        <v>3505</v>
      </c>
      <c r="Q94" t="s">
        <v>790</v>
      </c>
      <c r="T94" t="s">
        <v>319</v>
      </c>
      <c r="U94" t="s">
        <v>3417</v>
      </c>
      <c r="Z94">
        <v>29</v>
      </c>
      <c r="AA94" s="31">
        <v>45638</v>
      </c>
      <c r="AB94" s="61">
        <v>0.68358796296296298</v>
      </c>
      <c r="AC94" t="s">
        <v>795</v>
      </c>
      <c r="AD94" s="31">
        <v>45667</v>
      </c>
      <c r="AE94" s="61">
        <v>0.63577546296296295</v>
      </c>
      <c r="AF94" t="s">
        <v>934</v>
      </c>
      <c r="AH94" t="s">
        <v>1003</v>
      </c>
      <c r="AI94" t="s">
        <v>3492</v>
      </c>
      <c r="AQ94">
        <v>1</v>
      </c>
    </row>
    <row r="95" spans="1:43" hidden="1" x14ac:dyDescent="0.3">
      <c r="A95" t="s">
        <v>31</v>
      </c>
      <c r="B95">
        <v>136</v>
      </c>
      <c r="C95">
        <v>174</v>
      </c>
      <c r="D95">
        <v>1000</v>
      </c>
      <c r="G95" t="s">
        <v>3506</v>
      </c>
      <c r="H95">
        <v>45238441000164</v>
      </c>
      <c r="I95" t="s">
        <v>3507</v>
      </c>
      <c r="J95" t="s">
        <v>3508</v>
      </c>
      <c r="K95" t="s">
        <v>3509</v>
      </c>
      <c r="L95">
        <v>11973359869</v>
      </c>
      <c r="M95" t="s">
        <v>3510</v>
      </c>
      <c r="O95" t="s">
        <v>6448</v>
      </c>
      <c r="P95" t="s">
        <v>1094</v>
      </c>
      <c r="Q95" t="s">
        <v>790</v>
      </c>
      <c r="T95" t="s">
        <v>319</v>
      </c>
      <c r="U95" t="s">
        <v>3417</v>
      </c>
      <c r="Z95">
        <v>25</v>
      </c>
      <c r="AA95" s="31">
        <v>45639</v>
      </c>
      <c r="AB95" s="61">
        <v>0.4911921296296296</v>
      </c>
      <c r="AC95" t="s">
        <v>795</v>
      </c>
      <c r="AD95" s="31">
        <v>45664</v>
      </c>
      <c r="AE95" s="61">
        <v>0.63392361111111106</v>
      </c>
      <c r="AF95" t="s">
        <v>867</v>
      </c>
      <c r="AH95" t="s">
        <v>3512</v>
      </c>
      <c r="AI95" t="s">
        <v>3513</v>
      </c>
      <c r="AQ95">
        <v>1</v>
      </c>
    </row>
    <row r="96" spans="1:43" hidden="1" x14ac:dyDescent="0.3">
      <c r="A96" t="s">
        <v>31</v>
      </c>
      <c r="B96">
        <v>137</v>
      </c>
      <c r="C96">
        <v>146</v>
      </c>
      <c r="D96">
        <v>1001</v>
      </c>
      <c r="G96" t="s">
        <v>3514</v>
      </c>
      <c r="I96" t="s">
        <v>3425</v>
      </c>
      <c r="J96" t="s">
        <v>3426</v>
      </c>
      <c r="K96" t="s">
        <v>3515</v>
      </c>
      <c r="M96" t="s">
        <v>3428</v>
      </c>
      <c r="T96" t="s">
        <v>319</v>
      </c>
      <c r="U96" t="s">
        <v>816</v>
      </c>
      <c r="W96">
        <v>424</v>
      </c>
      <c r="Z96">
        <v>25</v>
      </c>
      <c r="AA96" s="31">
        <v>45639</v>
      </c>
      <c r="AB96" s="61">
        <v>0.50317129629629631</v>
      </c>
      <c r="AC96" t="s">
        <v>818</v>
      </c>
      <c r="AD96" s="31">
        <v>45664</v>
      </c>
      <c r="AE96" s="61">
        <v>0.51849537037037041</v>
      </c>
      <c r="AH96" t="s">
        <v>888</v>
      </c>
      <c r="AI96" t="s">
        <v>888</v>
      </c>
      <c r="AQ96">
        <v>1</v>
      </c>
    </row>
    <row r="97" spans="1:43" hidden="1" x14ac:dyDescent="0.3">
      <c r="A97" t="s">
        <v>31</v>
      </c>
      <c r="B97">
        <v>143</v>
      </c>
      <c r="C97">
        <v>93</v>
      </c>
      <c r="D97">
        <v>986</v>
      </c>
      <c r="G97" t="s">
        <v>3516</v>
      </c>
      <c r="I97" t="s">
        <v>3285</v>
      </c>
      <c r="J97" t="s">
        <v>3490</v>
      </c>
      <c r="K97" t="s">
        <v>3491</v>
      </c>
      <c r="M97" t="s">
        <v>3286</v>
      </c>
      <c r="T97" t="s">
        <v>319</v>
      </c>
      <c r="U97" t="s">
        <v>3417</v>
      </c>
      <c r="W97">
        <v>16992</v>
      </c>
      <c r="X97">
        <v>55124</v>
      </c>
      <c r="Z97">
        <v>43</v>
      </c>
      <c r="AA97" s="31">
        <v>45663</v>
      </c>
      <c r="AB97" s="61">
        <v>0.64762731481481484</v>
      </c>
      <c r="AC97" t="s">
        <v>795</v>
      </c>
      <c r="AD97" s="31">
        <v>45706</v>
      </c>
      <c r="AE97" s="61">
        <v>0.72146990740740746</v>
      </c>
      <c r="AF97" t="s">
        <v>934</v>
      </c>
      <c r="AH97" t="s">
        <v>3517</v>
      </c>
      <c r="AI97" t="s">
        <v>3517</v>
      </c>
      <c r="AQ97">
        <v>1</v>
      </c>
    </row>
    <row r="98" spans="1:43" hidden="1" x14ac:dyDescent="0.3">
      <c r="A98" t="s">
        <v>31</v>
      </c>
      <c r="B98">
        <v>146</v>
      </c>
      <c r="C98">
        <v>175</v>
      </c>
      <c r="D98">
        <v>1520</v>
      </c>
      <c r="G98" t="s">
        <v>3518</v>
      </c>
      <c r="H98">
        <v>52362985000107</v>
      </c>
      <c r="I98" t="s">
        <v>3519</v>
      </c>
      <c r="J98" t="s">
        <v>1474</v>
      </c>
      <c r="K98" t="s">
        <v>3520</v>
      </c>
      <c r="M98" t="s">
        <v>3521</v>
      </c>
      <c r="O98" t="s">
        <v>6449</v>
      </c>
      <c r="P98" t="s">
        <v>3523</v>
      </c>
      <c r="Q98" t="s">
        <v>790</v>
      </c>
      <c r="T98" t="s">
        <v>319</v>
      </c>
      <c r="U98" t="s">
        <v>816</v>
      </c>
      <c r="Z98">
        <v>0</v>
      </c>
      <c r="AA98" s="31">
        <v>45665</v>
      </c>
      <c r="AB98" s="61">
        <v>0.44893518518518521</v>
      </c>
      <c r="AC98" t="s">
        <v>818</v>
      </c>
      <c r="AD98" s="31">
        <v>45665</v>
      </c>
      <c r="AE98" s="61">
        <v>0.44989583333333327</v>
      </c>
      <c r="AH98" t="s">
        <v>1070</v>
      </c>
      <c r="AQ98">
        <v>1</v>
      </c>
    </row>
    <row r="99" spans="1:43" hidden="1" x14ac:dyDescent="0.3">
      <c r="A99" t="s">
        <v>31</v>
      </c>
      <c r="B99">
        <v>149</v>
      </c>
      <c r="C99">
        <v>115</v>
      </c>
      <c r="D99">
        <v>1537</v>
      </c>
      <c r="G99" t="s">
        <v>3524</v>
      </c>
      <c r="I99" t="s">
        <v>3333</v>
      </c>
      <c r="J99" t="s">
        <v>6450</v>
      </c>
      <c r="K99" t="s">
        <v>3526</v>
      </c>
      <c r="M99" t="s">
        <v>3334</v>
      </c>
      <c r="T99" t="s">
        <v>319</v>
      </c>
      <c r="U99" t="s">
        <v>3417</v>
      </c>
      <c r="W99">
        <v>14416</v>
      </c>
      <c r="X99">
        <v>0</v>
      </c>
      <c r="Z99">
        <v>13</v>
      </c>
      <c r="AA99" s="31">
        <v>45666</v>
      </c>
      <c r="AB99" s="61">
        <v>0.48031249999999998</v>
      </c>
      <c r="AC99" t="s">
        <v>795</v>
      </c>
      <c r="AD99" s="31">
        <v>45679</v>
      </c>
      <c r="AE99" s="61">
        <v>0.66752314814814817</v>
      </c>
      <c r="AF99" t="s">
        <v>934</v>
      </c>
      <c r="AH99" t="s">
        <v>3527</v>
      </c>
      <c r="AQ99">
        <v>1</v>
      </c>
    </row>
    <row r="100" spans="1:43" hidden="1" x14ac:dyDescent="0.3">
      <c r="A100" t="s">
        <v>31</v>
      </c>
      <c r="B100">
        <v>150</v>
      </c>
      <c r="C100">
        <v>176</v>
      </c>
      <c r="D100">
        <v>1539</v>
      </c>
      <c r="G100" t="s">
        <v>3528</v>
      </c>
      <c r="H100">
        <v>34728104000139</v>
      </c>
      <c r="I100" t="s">
        <v>3529</v>
      </c>
      <c r="J100" t="s">
        <v>3530</v>
      </c>
      <c r="K100" t="s">
        <v>3531</v>
      </c>
      <c r="M100" t="s">
        <v>3532</v>
      </c>
      <c r="O100" t="s">
        <v>6451</v>
      </c>
      <c r="P100" t="s">
        <v>1787</v>
      </c>
      <c r="Q100" t="s">
        <v>790</v>
      </c>
      <c r="T100" t="s">
        <v>319</v>
      </c>
      <c r="U100" t="s">
        <v>3417</v>
      </c>
      <c r="V100" t="s">
        <v>817</v>
      </c>
      <c r="W100">
        <v>340984</v>
      </c>
      <c r="X100">
        <v>1350296</v>
      </c>
      <c r="Z100">
        <v>81</v>
      </c>
      <c r="AA100" s="31">
        <v>45666</v>
      </c>
      <c r="AB100" s="61">
        <v>0.60988425925925926</v>
      </c>
      <c r="AC100" t="s">
        <v>795</v>
      </c>
      <c r="AD100" s="31">
        <v>45747</v>
      </c>
      <c r="AE100" s="61">
        <v>0.50875000000000004</v>
      </c>
      <c r="AF100" t="s">
        <v>974</v>
      </c>
      <c r="AH100" t="s">
        <v>3534</v>
      </c>
      <c r="AI100" t="s">
        <v>1055</v>
      </c>
      <c r="AQ100">
        <v>1</v>
      </c>
    </row>
    <row r="101" spans="1:43" hidden="1" x14ac:dyDescent="0.3">
      <c r="A101" t="s">
        <v>31</v>
      </c>
      <c r="B101">
        <v>152</v>
      </c>
      <c r="C101">
        <v>129</v>
      </c>
      <c r="D101">
        <v>1542</v>
      </c>
      <c r="G101" t="s">
        <v>3535</v>
      </c>
      <c r="I101" t="s">
        <v>679</v>
      </c>
      <c r="J101" t="s">
        <v>3536</v>
      </c>
      <c r="K101" t="s">
        <v>3537</v>
      </c>
      <c r="M101" t="s">
        <v>3366</v>
      </c>
      <c r="T101" t="s">
        <v>319</v>
      </c>
      <c r="U101" t="s">
        <v>3417</v>
      </c>
      <c r="V101" t="s">
        <v>817</v>
      </c>
      <c r="W101">
        <v>0</v>
      </c>
      <c r="X101">
        <v>68904</v>
      </c>
      <c r="Z101">
        <v>36</v>
      </c>
      <c r="AA101" s="31">
        <v>45666</v>
      </c>
      <c r="AB101" s="61">
        <v>0.68798611111111108</v>
      </c>
      <c r="AC101" t="s">
        <v>795</v>
      </c>
      <c r="AD101" s="31">
        <v>45702</v>
      </c>
      <c r="AE101" s="61">
        <v>0.44013888888888891</v>
      </c>
      <c r="AF101" t="s">
        <v>796</v>
      </c>
      <c r="AH101" t="s">
        <v>3534</v>
      </c>
      <c r="AI101" t="s">
        <v>3534</v>
      </c>
      <c r="AQ101">
        <v>1</v>
      </c>
    </row>
    <row r="102" spans="1:43" hidden="1" x14ac:dyDescent="0.3">
      <c r="A102" t="s">
        <v>31</v>
      </c>
      <c r="B102">
        <v>153</v>
      </c>
      <c r="C102">
        <v>85</v>
      </c>
      <c r="D102">
        <v>63</v>
      </c>
      <c r="G102" t="s">
        <v>605</v>
      </c>
      <c r="I102" t="s">
        <v>3261</v>
      </c>
      <c r="J102" t="s">
        <v>3261</v>
      </c>
      <c r="K102" t="s">
        <v>3262</v>
      </c>
      <c r="M102" t="s">
        <v>3263</v>
      </c>
      <c r="P102" t="s">
        <v>3264</v>
      </c>
      <c r="T102" t="s">
        <v>319</v>
      </c>
      <c r="U102" t="s">
        <v>816</v>
      </c>
      <c r="Z102">
        <v>0</v>
      </c>
      <c r="AA102" s="31">
        <v>45667</v>
      </c>
      <c r="AB102" s="61">
        <v>0.43425925925925918</v>
      </c>
      <c r="AC102" t="s">
        <v>818</v>
      </c>
      <c r="AD102" s="31">
        <v>45667</v>
      </c>
      <c r="AE102" s="61">
        <v>0.43490740740740741</v>
      </c>
      <c r="AH102" t="s">
        <v>1113</v>
      </c>
      <c r="AQ102">
        <v>1</v>
      </c>
    </row>
    <row r="103" spans="1:43" hidden="1" x14ac:dyDescent="0.3">
      <c r="A103" t="s">
        <v>31</v>
      </c>
      <c r="B103">
        <v>157</v>
      </c>
      <c r="C103">
        <v>178</v>
      </c>
      <c r="D103">
        <v>1551</v>
      </c>
      <c r="G103" t="s">
        <v>3538</v>
      </c>
      <c r="H103">
        <v>54124158000100</v>
      </c>
      <c r="I103" t="s">
        <v>3539</v>
      </c>
      <c r="J103" t="s">
        <v>6452</v>
      </c>
      <c r="K103" t="s">
        <v>3541</v>
      </c>
      <c r="M103" t="s">
        <v>3542</v>
      </c>
      <c r="O103" t="s">
        <v>6453</v>
      </c>
      <c r="P103" t="s">
        <v>1837</v>
      </c>
      <c r="Q103" t="s">
        <v>790</v>
      </c>
      <c r="T103" t="s">
        <v>319</v>
      </c>
      <c r="U103" t="s">
        <v>816</v>
      </c>
      <c r="W103">
        <v>1360152</v>
      </c>
      <c r="X103">
        <v>64152</v>
      </c>
      <c r="Z103">
        <v>4</v>
      </c>
      <c r="AA103" s="31">
        <v>45670</v>
      </c>
      <c r="AB103" s="61">
        <v>0.40980324074074082</v>
      </c>
      <c r="AC103" t="s">
        <v>818</v>
      </c>
      <c r="AD103" s="31">
        <v>45674</v>
      </c>
      <c r="AE103" s="61">
        <v>0.48346064814814821</v>
      </c>
      <c r="AH103" t="s">
        <v>3544</v>
      </c>
      <c r="AI103" t="s">
        <v>3544</v>
      </c>
      <c r="AQ103">
        <v>1</v>
      </c>
    </row>
    <row r="104" spans="1:43" hidden="1" x14ac:dyDescent="0.3">
      <c r="A104" t="s">
        <v>31</v>
      </c>
      <c r="B104">
        <v>158</v>
      </c>
      <c r="C104">
        <v>179</v>
      </c>
      <c r="D104">
        <v>1552</v>
      </c>
      <c r="G104" t="s">
        <v>3545</v>
      </c>
      <c r="H104">
        <v>21736169000184</v>
      </c>
      <c r="I104" t="s">
        <v>3546</v>
      </c>
      <c r="J104" t="s">
        <v>1243</v>
      </c>
      <c r="K104" t="s">
        <v>3547</v>
      </c>
      <c r="M104" t="s">
        <v>3548</v>
      </c>
      <c r="O104" t="s">
        <v>6454</v>
      </c>
      <c r="P104" t="s">
        <v>3550</v>
      </c>
      <c r="Q104" t="s">
        <v>874</v>
      </c>
      <c r="T104" t="s">
        <v>319</v>
      </c>
      <c r="U104" t="s">
        <v>816</v>
      </c>
      <c r="Z104">
        <v>0</v>
      </c>
      <c r="AA104" s="31">
        <v>45670</v>
      </c>
      <c r="AB104" s="61">
        <v>0.41332175925925918</v>
      </c>
      <c r="AC104" t="s">
        <v>818</v>
      </c>
      <c r="AD104" s="31">
        <v>45670</v>
      </c>
      <c r="AE104" s="61">
        <v>0.41498842592592589</v>
      </c>
      <c r="AH104" t="s">
        <v>1113</v>
      </c>
      <c r="AQ104">
        <v>1</v>
      </c>
    </row>
    <row r="105" spans="1:43" hidden="1" x14ac:dyDescent="0.3">
      <c r="A105" t="s">
        <v>31</v>
      </c>
      <c r="B105">
        <v>159</v>
      </c>
      <c r="C105">
        <v>132</v>
      </c>
      <c r="D105">
        <v>1556</v>
      </c>
      <c r="G105" t="s">
        <v>3551</v>
      </c>
      <c r="I105" t="s">
        <v>3373</v>
      </c>
      <c r="J105" t="s">
        <v>3588</v>
      </c>
      <c r="K105" t="s">
        <v>3553</v>
      </c>
      <c r="M105" t="s">
        <v>3375</v>
      </c>
      <c r="T105" t="s">
        <v>319</v>
      </c>
      <c r="U105" t="s">
        <v>816</v>
      </c>
      <c r="V105" t="s">
        <v>817</v>
      </c>
      <c r="W105">
        <v>0</v>
      </c>
      <c r="X105">
        <v>0</v>
      </c>
      <c r="Z105">
        <v>2</v>
      </c>
      <c r="AA105" s="31">
        <v>45670</v>
      </c>
      <c r="AB105" s="61">
        <v>0.68215277777777783</v>
      </c>
      <c r="AC105" t="s">
        <v>818</v>
      </c>
      <c r="AD105" s="31">
        <v>45672</v>
      </c>
      <c r="AE105" s="61">
        <v>0.67391203703703706</v>
      </c>
      <c r="AH105" t="s">
        <v>3544</v>
      </c>
      <c r="AI105" t="s">
        <v>3544</v>
      </c>
      <c r="AQ105">
        <v>1</v>
      </c>
    </row>
    <row r="106" spans="1:43" hidden="1" x14ac:dyDescent="0.3">
      <c r="A106" t="s">
        <v>31</v>
      </c>
      <c r="B106">
        <v>160</v>
      </c>
      <c r="C106">
        <v>148</v>
      </c>
      <c r="D106">
        <v>1562</v>
      </c>
      <c r="G106" t="s">
        <v>3554</v>
      </c>
      <c r="H106">
        <v>8530284000130</v>
      </c>
      <c r="I106" t="s">
        <v>3555</v>
      </c>
      <c r="J106" t="s">
        <v>2927</v>
      </c>
      <c r="K106" t="s">
        <v>3556</v>
      </c>
      <c r="M106" t="s">
        <v>3557</v>
      </c>
      <c r="T106" t="s">
        <v>319</v>
      </c>
      <c r="U106" t="s">
        <v>3417</v>
      </c>
      <c r="V106" t="s">
        <v>3558</v>
      </c>
      <c r="W106">
        <v>1600</v>
      </c>
      <c r="X106">
        <v>339587</v>
      </c>
      <c r="Z106">
        <v>13</v>
      </c>
      <c r="AA106" s="31">
        <v>45671</v>
      </c>
      <c r="AB106" s="61">
        <v>0.48020833333333329</v>
      </c>
      <c r="AC106" t="s">
        <v>795</v>
      </c>
      <c r="AD106" s="31">
        <v>45684</v>
      </c>
      <c r="AE106" s="61">
        <v>0.41270833333333329</v>
      </c>
      <c r="AF106" t="s">
        <v>934</v>
      </c>
      <c r="AH106" t="s">
        <v>3559</v>
      </c>
      <c r="AI106" t="s">
        <v>3559</v>
      </c>
      <c r="AQ106">
        <v>1</v>
      </c>
    </row>
    <row r="107" spans="1:43" hidden="1" x14ac:dyDescent="0.3">
      <c r="A107" t="s">
        <v>31</v>
      </c>
      <c r="B107">
        <v>161</v>
      </c>
      <c r="C107">
        <v>180</v>
      </c>
      <c r="D107">
        <v>1577</v>
      </c>
      <c r="G107" t="s">
        <v>3560</v>
      </c>
      <c r="H107">
        <v>7287290000226</v>
      </c>
      <c r="I107" t="s">
        <v>3561</v>
      </c>
      <c r="J107" t="s">
        <v>3562</v>
      </c>
      <c r="K107" t="s">
        <v>3563</v>
      </c>
      <c r="M107" t="s">
        <v>3564</v>
      </c>
      <c r="O107" t="s">
        <v>6455</v>
      </c>
      <c r="P107" t="s">
        <v>3566</v>
      </c>
      <c r="Q107" t="s">
        <v>790</v>
      </c>
      <c r="T107" t="s">
        <v>319</v>
      </c>
      <c r="U107" t="s">
        <v>816</v>
      </c>
      <c r="V107" t="s">
        <v>3558</v>
      </c>
      <c r="W107">
        <v>28512</v>
      </c>
      <c r="X107">
        <v>28512</v>
      </c>
      <c r="Z107">
        <v>0</v>
      </c>
      <c r="AA107" s="31">
        <v>45672</v>
      </c>
      <c r="AB107" s="61">
        <v>0.39792824074074068</v>
      </c>
      <c r="AC107" t="s">
        <v>818</v>
      </c>
      <c r="AD107" s="31">
        <v>45672</v>
      </c>
      <c r="AE107" s="61">
        <v>0.40056712962962959</v>
      </c>
      <c r="AH107" t="s">
        <v>3559</v>
      </c>
      <c r="AI107" t="s">
        <v>3559</v>
      </c>
      <c r="AQ107">
        <v>1</v>
      </c>
    </row>
    <row r="108" spans="1:43" hidden="1" x14ac:dyDescent="0.3">
      <c r="A108" t="s">
        <v>31</v>
      </c>
      <c r="B108">
        <v>162</v>
      </c>
      <c r="C108">
        <v>170</v>
      </c>
      <c r="D108">
        <v>1579</v>
      </c>
      <c r="G108" t="s">
        <v>3567</v>
      </c>
      <c r="H108">
        <v>4150555001304</v>
      </c>
      <c r="I108" t="s">
        <v>3477</v>
      </c>
      <c r="J108" t="s">
        <v>3478</v>
      </c>
      <c r="K108" t="s">
        <v>3569</v>
      </c>
      <c r="M108" t="s">
        <v>3480</v>
      </c>
      <c r="O108" t="s">
        <v>6444</v>
      </c>
      <c r="P108" t="s">
        <v>3482</v>
      </c>
      <c r="Q108" t="s">
        <v>1699</v>
      </c>
      <c r="T108" t="s">
        <v>319</v>
      </c>
      <c r="U108" t="s">
        <v>3417</v>
      </c>
      <c r="Z108">
        <v>14</v>
      </c>
      <c r="AA108" s="31">
        <v>45672</v>
      </c>
      <c r="AB108" s="61">
        <v>0.65109953703703705</v>
      </c>
      <c r="AC108" t="s">
        <v>795</v>
      </c>
      <c r="AD108" s="31">
        <v>45686</v>
      </c>
      <c r="AE108" s="61">
        <v>0.71326388888888892</v>
      </c>
      <c r="AF108" t="s">
        <v>796</v>
      </c>
      <c r="AH108" t="s">
        <v>3570</v>
      </c>
      <c r="AI108" t="s">
        <v>3570</v>
      </c>
      <c r="AQ108">
        <v>1</v>
      </c>
    </row>
    <row r="109" spans="1:43" hidden="1" x14ac:dyDescent="0.3">
      <c r="A109" t="s">
        <v>31</v>
      </c>
      <c r="B109">
        <v>163</v>
      </c>
      <c r="C109">
        <v>170</v>
      </c>
      <c r="D109">
        <v>1580</v>
      </c>
      <c r="G109" t="s">
        <v>3571</v>
      </c>
      <c r="H109">
        <v>4150555001304</v>
      </c>
      <c r="I109" t="s">
        <v>3477</v>
      </c>
      <c r="J109" t="s">
        <v>3478</v>
      </c>
      <c r="K109" t="s">
        <v>3569</v>
      </c>
      <c r="M109" t="s">
        <v>3480</v>
      </c>
      <c r="O109" t="s">
        <v>6444</v>
      </c>
      <c r="P109" t="s">
        <v>3482</v>
      </c>
      <c r="Q109" t="s">
        <v>1699</v>
      </c>
      <c r="T109" t="s">
        <v>319</v>
      </c>
      <c r="U109" t="s">
        <v>3417</v>
      </c>
      <c r="W109">
        <v>30816</v>
      </c>
      <c r="X109">
        <v>85536</v>
      </c>
      <c r="Z109">
        <v>71</v>
      </c>
      <c r="AA109" s="31">
        <v>45672</v>
      </c>
      <c r="AB109" s="61">
        <v>0.65299768518518519</v>
      </c>
      <c r="AC109" t="s">
        <v>795</v>
      </c>
      <c r="AD109" s="31">
        <v>45743</v>
      </c>
      <c r="AE109" s="61">
        <v>0.35817129629629629</v>
      </c>
      <c r="AF109" t="s">
        <v>796</v>
      </c>
      <c r="AH109" t="s">
        <v>3570</v>
      </c>
      <c r="AI109" t="s">
        <v>3570</v>
      </c>
      <c r="AQ109">
        <v>1</v>
      </c>
    </row>
    <row r="110" spans="1:43" hidden="1" x14ac:dyDescent="0.3">
      <c r="A110" t="s">
        <v>31</v>
      </c>
      <c r="B110">
        <v>165</v>
      </c>
      <c r="C110">
        <v>182</v>
      </c>
      <c r="D110">
        <v>1586</v>
      </c>
      <c r="G110" t="s">
        <v>6456</v>
      </c>
      <c r="H110">
        <v>23873456000161</v>
      </c>
      <c r="I110" t="s">
        <v>3573</v>
      </c>
      <c r="J110" t="s">
        <v>3574</v>
      </c>
      <c r="K110" t="s">
        <v>3575</v>
      </c>
      <c r="M110" t="s">
        <v>3576</v>
      </c>
      <c r="O110" t="s">
        <v>6457</v>
      </c>
      <c r="P110" t="s">
        <v>1837</v>
      </c>
      <c r="Q110" t="s">
        <v>790</v>
      </c>
      <c r="T110" t="s">
        <v>319</v>
      </c>
      <c r="U110" t="s">
        <v>816</v>
      </c>
      <c r="V110" t="s">
        <v>817</v>
      </c>
      <c r="W110">
        <v>840</v>
      </c>
      <c r="X110">
        <v>0</v>
      </c>
      <c r="Z110">
        <v>1</v>
      </c>
      <c r="AA110" s="31">
        <v>45672</v>
      </c>
      <c r="AB110" s="61">
        <v>0.74322916666666672</v>
      </c>
      <c r="AC110" t="s">
        <v>818</v>
      </c>
      <c r="AD110" s="31">
        <v>45673</v>
      </c>
      <c r="AE110" s="61">
        <v>0.39634259259259258</v>
      </c>
      <c r="AH110" t="s">
        <v>3570</v>
      </c>
      <c r="AQ110">
        <v>1</v>
      </c>
    </row>
    <row r="111" spans="1:43" hidden="1" x14ac:dyDescent="0.3">
      <c r="A111" t="s">
        <v>31</v>
      </c>
      <c r="B111">
        <v>168</v>
      </c>
      <c r="C111">
        <v>154</v>
      </c>
      <c r="D111">
        <v>1601</v>
      </c>
      <c r="G111" t="s">
        <v>3578</v>
      </c>
      <c r="H111">
        <v>790751000159</v>
      </c>
      <c r="I111" t="s">
        <v>3456</v>
      </c>
      <c r="J111" t="s">
        <v>3579</v>
      </c>
      <c r="K111" t="s">
        <v>3580</v>
      </c>
      <c r="M111" t="s">
        <v>3459</v>
      </c>
      <c r="T111" t="s">
        <v>319</v>
      </c>
      <c r="U111" t="s">
        <v>3417</v>
      </c>
      <c r="W111">
        <v>0</v>
      </c>
      <c r="X111">
        <v>137479</v>
      </c>
      <c r="Z111">
        <v>28</v>
      </c>
      <c r="AA111" s="31">
        <v>45673</v>
      </c>
      <c r="AB111" s="61">
        <v>0.63656250000000003</v>
      </c>
      <c r="AC111" t="s">
        <v>795</v>
      </c>
      <c r="AD111" s="31">
        <v>45701</v>
      </c>
      <c r="AE111" s="61">
        <v>0.49040509259259257</v>
      </c>
      <c r="AF111" t="s">
        <v>796</v>
      </c>
      <c r="AH111" t="s">
        <v>3581</v>
      </c>
      <c r="AQ111">
        <v>1</v>
      </c>
    </row>
    <row r="112" spans="1:43" hidden="1" x14ac:dyDescent="0.3">
      <c r="A112" t="s">
        <v>31</v>
      </c>
      <c r="B112">
        <v>170</v>
      </c>
      <c r="C112">
        <v>133</v>
      </c>
      <c r="D112">
        <v>1602</v>
      </c>
      <c r="G112" t="s">
        <v>3582</v>
      </c>
      <c r="I112" t="s">
        <v>625</v>
      </c>
      <c r="J112" t="s">
        <v>3583</v>
      </c>
      <c r="K112" t="s">
        <v>3584</v>
      </c>
      <c r="M112" t="s">
        <v>2207</v>
      </c>
      <c r="T112" t="s">
        <v>319</v>
      </c>
      <c r="U112" t="s">
        <v>816</v>
      </c>
      <c r="V112" t="s">
        <v>817</v>
      </c>
      <c r="W112">
        <v>14600</v>
      </c>
      <c r="X112">
        <v>1728</v>
      </c>
      <c r="Z112">
        <v>74</v>
      </c>
      <c r="AA112" s="31">
        <v>45673</v>
      </c>
      <c r="AB112" s="61">
        <v>0.75452546296296297</v>
      </c>
      <c r="AC112" t="s">
        <v>818</v>
      </c>
      <c r="AD112" s="31">
        <v>45721</v>
      </c>
      <c r="AE112" s="61">
        <v>0.42261574074074082</v>
      </c>
      <c r="AG112">
        <v>0</v>
      </c>
      <c r="AH112" t="s">
        <v>3581</v>
      </c>
      <c r="AI112" t="s">
        <v>3581</v>
      </c>
      <c r="AQ112">
        <v>1</v>
      </c>
    </row>
    <row r="113" spans="1:43" hidden="1" x14ac:dyDescent="0.3">
      <c r="A113" t="s">
        <v>31</v>
      </c>
      <c r="B113">
        <v>171</v>
      </c>
      <c r="C113">
        <v>170</v>
      </c>
      <c r="D113">
        <v>1604</v>
      </c>
      <c r="G113" t="s">
        <v>3585</v>
      </c>
      <c r="H113">
        <v>4150555001304</v>
      </c>
      <c r="I113" t="s">
        <v>3477</v>
      </c>
      <c r="J113" t="s">
        <v>3478</v>
      </c>
      <c r="K113" t="s">
        <v>3569</v>
      </c>
      <c r="M113" t="s">
        <v>3480</v>
      </c>
      <c r="O113" t="s">
        <v>6444</v>
      </c>
      <c r="P113" t="s">
        <v>3482</v>
      </c>
      <c r="Q113" t="s">
        <v>1699</v>
      </c>
      <c r="T113" t="s">
        <v>319</v>
      </c>
      <c r="U113" t="s">
        <v>816</v>
      </c>
      <c r="V113" t="s">
        <v>3558</v>
      </c>
      <c r="W113">
        <v>7764</v>
      </c>
      <c r="X113">
        <v>3564</v>
      </c>
      <c r="Z113">
        <v>0</v>
      </c>
      <c r="AA113" s="31">
        <v>45674</v>
      </c>
      <c r="AB113" s="61">
        <v>0.48375000000000001</v>
      </c>
      <c r="AC113" t="s">
        <v>818</v>
      </c>
      <c r="AD113" s="31">
        <v>45674</v>
      </c>
      <c r="AE113" s="61">
        <v>0.48546296296296299</v>
      </c>
      <c r="AH113" t="s">
        <v>3586</v>
      </c>
      <c r="AI113" t="s">
        <v>3581</v>
      </c>
      <c r="AQ113">
        <v>1</v>
      </c>
    </row>
    <row r="114" spans="1:43" hidden="1" x14ac:dyDescent="0.3">
      <c r="A114" t="s">
        <v>31</v>
      </c>
      <c r="B114">
        <v>172</v>
      </c>
      <c r="C114">
        <v>132</v>
      </c>
      <c r="D114">
        <v>1607</v>
      </c>
      <c r="G114" t="s">
        <v>3587</v>
      </c>
      <c r="I114" t="s">
        <v>3373</v>
      </c>
      <c r="J114" t="s">
        <v>3588</v>
      </c>
      <c r="K114" t="s">
        <v>3553</v>
      </c>
      <c r="M114" t="s">
        <v>3375</v>
      </c>
      <c r="T114" t="s">
        <v>319</v>
      </c>
      <c r="U114" t="s">
        <v>816</v>
      </c>
      <c r="W114">
        <v>135165</v>
      </c>
      <c r="X114">
        <v>0</v>
      </c>
      <c r="Z114">
        <v>31</v>
      </c>
      <c r="AA114" s="31">
        <v>45674</v>
      </c>
      <c r="AB114" s="61">
        <v>0.73576388888888888</v>
      </c>
      <c r="AC114" t="s">
        <v>818</v>
      </c>
      <c r="AD114" s="31">
        <v>45705</v>
      </c>
      <c r="AE114" s="61">
        <v>0.44101851851851848</v>
      </c>
      <c r="AH114" t="s">
        <v>3586</v>
      </c>
      <c r="AQ114">
        <v>1</v>
      </c>
    </row>
    <row r="115" spans="1:43" hidden="1" x14ac:dyDescent="0.3">
      <c r="A115" t="s">
        <v>31</v>
      </c>
      <c r="B115">
        <v>173</v>
      </c>
      <c r="C115">
        <v>112</v>
      </c>
      <c r="D115">
        <v>1612</v>
      </c>
      <c r="G115" t="s">
        <v>3589</v>
      </c>
      <c r="I115" t="s">
        <v>3327</v>
      </c>
      <c r="J115" t="s">
        <v>914</v>
      </c>
      <c r="K115" t="s">
        <v>3590</v>
      </c>
      <c r="M115" t="s">
        <v>3328</v>
      </c>
      <c r="T115" t="s">
        <v>319</v>
      </c>
      <c r="U115" t="s">
        <v>816</v>
      </c>
      <c r="V115" t="s">
        <v>3558</v>
      </c>
      <c r="W115">
        <v>714</v>
      </c>
      <c r="X115">
        <v>0</v>
      </c>
      <c r="Z115">
        <v>0</v>
      </c>
      <c r="AA115" s="31">
        <v>45677</v>
      </c>
      <c r="AB115" s="61">
        <v>0.4858912037037037</v>
      </c>
      <c r="AC115" t="s">
        <v>818</v>
      </c>
      <c r="AD115" s="31">
        <v>45677</v>
      </c>
      <c r="AE115" s="61">
        <v>0.73797453703703708</v>
      </c>
      <c r="AH115" t="s">
        <v>1136</v>
      </c>
      <c r="AQ115">
        <v>1</v>
      </c>
    </row>
    <row r="116" spans="1:43" hidden="1" x14ac:dyDescent="0.3">
      <c r="A116" t="s">
        <v>31</v>
      </c>
      <c r="B116">
        <v>175</v>
      </c>
      <c r="C116">
        <v>178</v>
      </c>
      <c r="D116">
        <v>1614</v>
      </c>
      <c r="G116" t="s">
        <v>3591</v>
      </c>
      <c r="H116">
        <v>54124158000100</v>
      </c>
      <c r="I116" t="s">
        <v>3539</v>
      </c>
      <c r="J116" t="s">
        <v>1243</v>
      </c>
      <c r="K116" t="s">
        <v>3541</v>
      </c>
      <c r="M116" t="s">
        <v>3542</v>
      </c>
      <c r="O116" t="s">
        <v>6453</v>
      </c>
      <c r="P116" t="s">
        <v>1837</v>
      </c>
      <c r="Q116" t="s">
        <v>790</v>
      </c>
      <c r="T116" t="s">
        <v>319</v>
      </c>
      <c r="U116" t="s">
        <v>3417</v>
      </c>
      <c r="W116">
        <v>44651</v>
      </c>
      <c r="X116">
        <v>0</v>
      </c>
      <c r="Z116">
        <v>23</v>
      </c>
      <c r="AA116" s="31">
        <v>45678</v>
      </c>
      <c r="AB116" s="61">
        <v>0.45103009259259258</v>
      </c>
      <c r="AC116" t="s">
        <v>795</v>
      </c>
      <c r="AD116" s="31">
        <v>45701</v>
      </c>
      <c r="AE116" s="61">
        <v>0.48978009259259259</v>
      </c>
      <c r="AF116" t="s">
        <v>867</v>
      </c>
      <c r="AH116" t="s">
        <v>3592</v>
      </c>
      <c r="AQ116">
        <v>1</v>
      </c>
    </row>
    <row r="117" spans="1:43" hidden="1" x14ac:dyDescent="0.3">
      <c r="A117" t="s">
        <v>31</v>
      </c>
      <c r="B117">
        <v>176</v>
      </c>
      <c r="C117">
        <v>183</v>
      </c>
      <c r="D117">
        <v>1615</v>
      </c>
      <c r="G117" t="s">
        <v>6458</v>
      </c>
      <c r="H117">
        <v>3204281000192</v>
      </c>
      <c r="I117" t="s">
        <v>3594</v>
      </c>
      <c r="J117" t="s">
        <v>3595</v>
      </c>
      <c r="K117" t="s">
        <v>3596</v>
      </c>
      <c r="M117" t="s">
        <v>2617</v>
      </c>
      <c r="O117" t="s">
        <v>6459</v>
      </c>
      <c r="P117" t="s">
        <v>2618</v>
      </c>
      <c r="Q117" t="s">
        <v>790</v>
      </c>
      <c r="T117" t="s">
        <v>319</v>
      </c>
      <c r="U117" t="s">
        <v>816</v>
      </c>
      <c r="V117" t="s">
        <v>817</v>
      </c>
      <c r="W117">
        <v>831196</v>
      </c>
      <c r="X117">
        <v>36106</v>
      </c>
      <c r="Z117">
        <v>16</v>
      </c>
      <c r="AA117" s="31">
        <v>45678</v>
      </c>
      <c r="AB117" s="61">
        <v>0.51611111111111108</v>
      </c>
      <c r="AC117" t="s">
        <v>818</v>
      </c>
      <c r="AD117" s="31">
        <v>45694</v>
      </c>
      <c r="AE117" s="61">
        <v>0.43015046296296289</v>
      </c>
      <c r="AH117" t="s">
        <v>3592</v>
      </c>
      <c r="AQ117">
        <v>1</v>
      </c>
    </row>
    <row r="118" spans="1:43" hidden="1" x14ac:dyDescent="0.3">
      <c r="A118" t="s">
        <v>31</v>
      </c>
      <c r="B118">
        <v>177</v>
      </c>
      <c r="C118">
        <v>185</v>
      </c>
      <c r="D118">
        <v>1617</v>
      </c>
      <c r="G118" t="s">
        <v>3598</v>
      </c>
      <c r="H118">
        <v>51496785000176</v>
      </c>
      <c r="I118" t="s">
        <v>3599</v>
      </c>
      <c r="J118" t="s">
        <v>3600</v>
      </c>
      <c r="K118" t="s">
        <v>3601</v>
      </c>
      <c r="M118" t="s">
        <v>3602</v>
      </c>
      <c r="O118" t="s">
        <v>6460</v>
      </c>
      <c r="P118" t="s">
        <v>847</v>
      </c>
      <c r="Q118" t="s">
        <v>848</v>
      </c>
      <c r="T118" t="s">
        <v>319</v>
      </c>
      <c r="U118" t="s">
        <v>3417</v>
      </c>
      <c r="V118" t="s">
        <v>817</v>
      </c>
      <c r="W118">
        <v>33696</v>
      </c>
      <c r="X118">
        <v>7128</v>
      </c>
      <c r="Z118">
        <v>36</v>
      </c>
      <c r="AA118" s="31">
        <v>45679</v>
      </c>
      <c r="AB118" s="61">
        <v>0.43111111111111111</v>
      </c>
      <c r="AC118" t="s">
        <v>795</v>
      </c>
      <c r="AD118" s="31">
        <v>45715</v>
      </c>
      <c r="AE118" s="61">
        <v>0.51508101851851851</v>
      </c>
      <c r="AF118" t="s">
        <v>1358</v>
      </c>
      <c r="AH118" t="s">
        <v>3604</v>
      </c>
      <c r="AI118" t="s">
        <v>3517</v>
      </c>
      <c r="AQ118">
        <v>1</v>
      </c>
    </row>
    <row r="119" spans="1:43" hidden="1" x14ac:dyDescent="0.3">
      <c r="A119" t="s">
        <v>31</v>
      </c>
      <c r="B119">
        <v>180</v>
      </c>
      <c r="C119">
        <v>170</v>
      </c>
      <c r="D119">
        <v>1624</v>
      </c>
      <c r="G119" t="s">
        <v>3605</v>
      </c>
      <c r="H119">
        <v>4150555001304</v>
      </c>
      <c r="I119" t="s">
        <v>3477</v>
      </c>
      <c r="J119" t="s">
        <v>1499</v>
      </c>
      <c r="K119" t="s">
        <v>3569</v>
      </c>
      <c r="M119" t="s">
        <v>3480</v>
      </c>
      <c r="O119" t="s">
        <v>6444</v>
      </c>
      <c r="P119" t="s">
        <v>3482</v>
      </c>
      <c r="Q119" t="s">
        <v>1699</v>
      </c>
      <c r="T119" t="s">
        <v>319</v>
      </c>
      <c r="U119" t="s">
        <v>3606</v>
      </c>
      <c r="Z119">
        <v>21</v>
      </c>
      <c r="AA119" s="31">
        <v>45680</v>
      </c>
      <c r="AB119" s="61">
        <v>0.64934027777777781</v>
      </c>
      <c r="AC119" t="s">
        <v>795</v>
      </c>
      <c r="AD119" s="31">
        <v>45701</v>
      </c>
      <c r="AE119" s="61">
        <v>0.47988425925925932</v>
      </c>
      <c r="AF119" t="s">
        <v>1358</v>
      </c>
      <c r="AI119" t="s">
        <v>1010</v>
      </c>
      <c r="AQ119">
        <v>1</v>
      </c>
    </row>
    <row r="120" spans="1:43" hidden="1" x14ac:dyDescent="0.3">
      <c r="A120" t="s">
        <v>31</v>
      </c>
      <c r="B120">
        <v>181</v>
      </c>
      <c r="C120">
        <v>118</v>
      </c>
      <c r="D120">
        <v>1628</v>
      </c>
      <c r="G120" t="s">
        <v>3607</v>
      </c>
      <c r="I120" t="s">
        <v>686</v>
      </c>
      <c r="J120" t="s">
        <v>3608</v>
      </c>
      <c r="K120" t="s">
        <v>3609</v>
      </c>
      <c r="M120" t="s">
        <v>3343</v>
      </c>
      <c r="T120" t="s">
        <v>319</v>
      </c>
      <c r="U120" t="s">
        <v>3417</v>
      </c>
      <c r="W120">
        <v>33696</v>
      </c>
      <c r="X120">
        <v>0</v>
      </c>
      <c r="Z120">
        <v>20</v>
      </c>
      <c r="AA120" s="31">
        <v>45681</v>
      </c>
      <c r="AB120" s="61">
        <v>0.41077546296296302</v>
      </c>
      <c r="AC120" t="s">
        <v>795</v>
      </c>
      <c r="AD120" s="31">
        <v>45701</v>
      </c>
      <c r="AE120" s="61">
        <v>0.7180671296296296</v>
      </c>
      <c r="AF120" t="s">
        <v>796</v>
      </c>
      <c r="AH120" t="s">
        <v>3610</v>
      </c>
      <c r="AQ120">
        <v>1</v>
      </c>
    </row>
    <row r="121" spans="1:43" hidden="1" x14ac:dyDescent="0.3">
      <c r="A121" t="s">
        <v>31</v>
      </c>
      <c r="B121">
        <v>182</v>
      </c>
      <c r="C121">
        <v>181</v>
      </c>
      <c r="D121">
        <v>1630</v>
      </c>
      <c r="G121" t="s">
        <v>3611</v>
      </c>
      <c r="H121">
        <v>43204189000147</v>
      </c>
      <c r="I121" t="s">
        <v>3612</v>
      </c>
      <c r="J121" t="s">
        <v>990</v>
      </c>
      <c r="K121" t="s">
        <v>3613</v>
      </c>
      <c r="M121" t="s">
        <v>3614</v>
      </c>
      <c r="O121" t="s">
        <v>6461</v>
      </c>
      <c r="P121" t="s">
        <v>3616</v>
      </c>
      <c r="Q121" t="s">
        <v>790</v>
      </c>
      <c r="T121" t="s">
        <v>319</v>
      </c>
      <c r="U121" t="s">
        <v>3417</v>
      </c>
      <c r="Z121">
        <v>0</v>
      </c>
      <c r="AA121" s="31">
        <v>45681</v>
      </c>
      <c r="AB121" s="61">
        <v>0.42917824074074068</v>
      </c>
      <c r="AC121" t="s">
        <v>795</v>
      </c>
      <c r="AD121" s="31">
        <v>45681</v>
      </c>
      <c r="AE121" s="61">
        <v>0.43184027777777778</v>
      </c>
      <c r="AF121" t="s">
        <v>796</v>
      </c>
      <c r="AH121" t="s">
        <v>3586</v>
      </c>
      <c r="AQ121">
        <v>1</v>
      </c>
    </row>
    <row r="122" spans="1:43" hidden="1" x14ac:dyDescent="0.3">
      <c r="A122" t="s">
        <v>31</v>
      </c>
      <c r="B122">
        <v>184</v>
      </c>
      <c r="C122">
        <v>83</v>
      </c>
      <c r="D122">
        <v>1632</v>
      </c>
      <c r="G122" t="s">
        <v>3617</v>
      </c>
      <c r="I122" t="s">
        <v>3255</v>
      </c>
      <c r="J122" t="s">
        <v>6462</v>
      </c>
      <c r="M122" t="s">
        <v>3256</v>
      </c>
      <c r="P122" t="s">
        <v>3257</v>
      </c>
      <c r="T122" t="s">
        <v>319</v>
      </c>
      <c r="U122" t="s">
        <v>781</v>
      </c>
      <c r="Z122">
        <v>5</v>
      </c>
      <c r="AA122" s="31">
        <v>45681</v>
      </c>
      <c r="AB122" s="61">
        <v>0.49629629629629629</v>
      </c>
      <c r="AC122" t="s">
        <v>795</v>
      </c>
      <c r="AD122" s="31">
        <v>45686</v>
      </c>
      <c r="AE122" s="61">
        <v>0.71755787037037033</v>
      </c>
      <c r="AF122" t="s">
        <v>796</v>
      </c>
      <c r="AH122" t="s">
        <v>3619</v>
      </c>
      <c r="AQ122">
        <v>1</v>
      </c>
    </row>
    <row r="123" spans="1:43" hidden="1" x14ac:dyDescent="0.3">
      <c r="A123" t="s">
        <v>31</v>
      </c>
      <c r="B123">
        <v>185</v>
      </c>
      <c r="C123">
        <v>152</v>
      </c>
      <c r="D123">
        <v>1633</v>
      </c>
      <c r="G123" t="s">
        <v>3445</v>
      </c>
      <c r="I123" t="s">
        <v>3445</v>
      </c>
      <c r="J123" t="s">
        <v>3620</v>
      </c>
      <c r="K123" t="s">
        <v>3621</v>
      </c>
      <c r="M123" t="s">
        <v>3448</v>
      </c>
      <c r="T123" t="s">
        <v>319</v>
      </c>
      <c r="U123" t="s">
        <v>816</v>
      </c>
      <c r="V123" t="s">
        <v>817</v>
      </c>
      <c r="W123">
        <v>33696</v>
      </c>
      <c r="X123">
        <v>0</v>
      </c>
      <c r="Z123">
        <v>0</v>
      </c>
      <c r="AA123" s="31">
        <v>45681</v>
      </c>
      <c r="AB123" s="61">
        <v>0.66790509259259256</v>
      </c>
      <c r="AC123" t="s">
        <v>818</v>
      </c>
      <c r="AD123" s="31">
        <v>45681</v>
      </c>
      <c r="AE123" s="61">
        <v>0.67667824074074079</v>
      </c>
      <c r="AH123" t="s">
        <v>3619</v>
      </c>
      <c r="AQ123">
        <v>1</v>
      </c>
    </row>
    <row r="124" spans="1:43" hidden="1" x14ac:dyDescent="0.3">
      <c r="A124" t="s">
        <v>31</v>
      </c>
      <c r="B124">
        <v>186</v>
      </c>
      <c r="C124">
        <v>76</v>
      </c>
      <c r="D124">
        <v>1634</v>
      </c>
      <c r="G124" t="s">
        <v>3622</v>
      </c>
      <c r="I124" t="s">
        <v>225</v>
      </c>
      <c r="J124" t="s">
        <v>1499</v>
      </c>
      <c r="K124" t="s">
        <v>3623</v>
      </c>
      <c r="M124" t="s">
        <v>3233</v>
      </c>
      <c r="P124" t="s">
        <v>3234</v>
      </c>
      <c r="Q124" t="s">
        <v>1699</v>
      </c>
      <c r="T124" t="s">
        <v>319</v>
      </c>
      <c r="U124" t="s">
        <v>3417</v>
      </c>
      <c r="W124">
        <v>67392</v>
      </c>
      <c r="X124">
        <v>3564</v>
      </c>
      <c r="Z124">
        <v>45</v>
      </c>
      <c r="AA124" s="31">
        <v>45681</v>
      </c>
      <c r="AB124" s="61">
        <v>0.6774768518518518</v>
      </c>
      <c r="AC124" t="s">
        <v>795</v>
      </c>
      <c r="AD124" s="31">
        <v>45726</v>
      </c>
      <c r="AE124" s="61">
        <v>0.42464120370370367</v>
      </c>
      <c r="AF124" t="s">
        <v>796</v>
      </c>
      <c r="AH124" t="s">
        <v>3619</v>
      </c>
      <c r="AI124" t="s">
        <v>3619</v>
      </c>
      <c r="AQ124">
        <v>1</v>
      </c>
    </row>
    <row r="125" spans="1:43" hidden="1" x14ac:dyDescent="0.3">
      <c r="A125" t="s">
        <v>31</v>
      </c>
      <c r="B125">
        <v>189</v>
      </c>
      <c r="C125">
        <v>186</v>
      </c>
      <c r="D125">
        <v>1645</v>
      </c>
      <c r="G125" t="s">
        <v>3624</v>
      </c>
      <c r="H125">
        <v>10899939000193</v>
      </c>
      <c r="I125" t="s">
        <v>3625</v>
      </c>
      <c r="J125" t="s">
        <v>704</v>
      </c>
      <c r="K125" t="s">
        <v>3626</v>
      </c>
      <c r="M125" t="s">
        <v>3627</v>
      </c>
      <c r="O125" t="s">
        <v>6463</v>
      </c>
      <c r="P125" t="s">
        <v>3629</v>
      </c>
      <c r="Q125" t="s">
        <v>932</v>
      </c>
      <c r="T125" t="s">
        <v>319</v>
      </c>
      <c r="U125" t="s">
        <v>816</v>
      </c>
      <c r="V125" t="s">
        <v>817</v>
      </c>
      <c r="W125">
        <v>33696</v>
      </c>
      <c r="X125">
        <v>3564</v>
      </c>
      <c r="Z125">
        <v>1</v>
      </c>
      <c r="AA125" s="31">
        <v>45684</v>
      </c>
      <c r="AB125" s="61">
        <v>0.69358796296296299</v>
      </c>
      <c r="AC125" t="s">
        <v>818</v>
      </c>
      <c r="AD125" s="31">
        <v>45685</v>
      </c>
      <c r="AE125" s="61">
        <v>0.37228009259259259</v>
      </c>
      <c r="AH125" t="s">
        <v>3630</v>
      </c>
      <c r="AQ125">
        <v>1</v>
      </c>
    </row>
    <row r="126" spans="1:43" hidden="1" x14ac:dyDescent="0.3">
      <c r="A126" t="s">
        <v>31</v>
      </c>
      <c r="B126">
        <v>190</v>
      </c>
      <c r="C126">
        <v>187</v>
      </c>
      <c r="D126">
        <v>1646</v>
      </c>
      <c r="G126" t="s">
        <v>439</v>
      </c>
      <c r="H126">
        <v>17063632000105</v>
      </c>
      <c r="I126" t="s">
        <v>3631</v>
      </c>
      <c r="J126" t="s">
        <v>4014</v>
      </c>
      <c r="K126" t="s">
        <v>3633</v>
      </c>
      <c r="M126" t="s">
        <v>3634</v>
      </c>
      <c r="O126" t="s">
        <v>6464</v>
      </c>
      <c r="P126" t="s">
        <v>3636</v>
      </c>
      <c r="Q126" t="s">
        <v>1699</v>
      </c>
      <c r="T126" t="s">
        <v>319</v>
      </c>
      <c r="U126" t="s">
        <v>3417</v>
      </c>
      <c r="W126">
        <v>116253</v>
      </c>
      <c r="X126">
        <v>0</v>
      </c>
      <c r="Z126">
        <v>11</v>
      </c>
      <c r="AA126" s="31">
        <v>45684</v>
      </c>
      <c r="AB126" s="61">
        <v>0.71214120370370371</v>
      </c>
      <c r="AC126" t="s">
        <v>795</v>
      </c>
      <c r="AD126" s="31">
        <v>45695</v>
      </c>
      <c r="AE126" s="61">
        <v>0.66339120370370375</v>
      </c>
      <c r="AF126" t="s">
        <v>934</v>
      </c>
      <c r="AH126" t="s">
        <v>3630</v>
      </c>
      <c r="AQ126">
        <v>1</v>
      </c>
    </row>
    <row r="127" spans="1:43" hidden="1" x14ac:dyDescent="0.3">
      <c r="A127" t="s">
        <v>31</v>
      </c>
      <c r="B127">
        <v>192</v>
      </c>
      <c r="C127">
        <v>146</v>
      </c>
      <c r="D127">
        <v>1652</v>
      </c>
      <c r="G127" t="s">
        <v>3637</v>
      </c>
      <c r="I127" t="s">
        <v>3425</v>
      </c>
      <c r="J127" t="s">
        <v>3426</v>
      </c>
      <c r="K127" t="s">
        <v>3515</v>
      </c>
      <c r="M127" t="s">
        <v>3428</v>
      </c>
      <c r="T127" t="s">
        <v>319</v>
      </c>
      <c r="U127" t="s">
        <v>816</v>
      </c>
      <c r="V127" t="s">
        <v>3558</v>
      </c>
      <c r="W127">
        <v>63179</v>
      </c>
      <c r="X127">
        <v>0</v>
      </c>
      <c r="Z127">
        <v>0</v>
      </c>
      <c r="AA127" s="31">
        <v>45685</v>
      </c>
      <c r="AB127" s="61">
        <v>0.69449074074074069</v>
      </c>
      <c r="AC127" t="s">
        <v>818</v>
      </c>
      <c r="AD127" s="31">
        <v>45685</v>
      </c>
      <c r="AE127" s="61">
        <v>0.69738425925925929</v>
      </c>
      <c r="AH127" t="s">
        <v>1187</v>
      </c>
      <c r="AQ127">
        <v>1</v>
      </c>
    </row>
    <row r="128" spans="1:43" hidden="1" x14ac:dyDescent="0.3">
      <c r="A128" t="s">
        <v>31</v>
      </c>
      <c r="B128">
        <v>194</v>
      </c>
      <c r="C128">
        <v>188</v>
      </c>
      <c r="D128">
        <v>1654</v>
      </c>
      <c r="G128" t="s">
        <v>3638</v>
      </c>
      <c r="H128">
        <v>134729000150</v>
      </c>
      <c r="I128" t="s">
        <v>3639</v>
      </c>
      <c r="J128" t="s">
        <v>3640</v>
      </c>
      <c r="K128" t="s">
        <v>3641</v>
      </c>
      <c r="M128" t="s">
        <v>3642</v>
      </c>
      <c r="O128" t="s">
        <v>6465</v>
      </c>
      <c r="P128" t="s">
        <v>847</v>
      </c>
      <c r="Q128" t="s">
        <v>848</v>
      </c>
      <c r="S128" t="s">
        <v>1327</v>
      </c>
      <c r="T128" t="s">
        <v>319</v>
      </c>
      <c r="U128" t="s">
        <v>3417</v>
      </c>
      <c r="W128">
        <v>1600</v>
      </c>
      <c r="X128">
        <v>674148</v>
      </c>
      <c r="Z128">
        <v>22</v>
      </c>
      <c r="AA128" s="31">
        <v>45685</v>
      </c>
      <c r="AB128" s="61">
        <v>0.70484953703703701</v>
      </c>
      <c r="AC128" t="s">
        <v>795</v>
      </c>
      <c r="AD128" s="31">
        <v>45707</v>
      </c>
      <c r="AE128" s="61">
        <v>0.37031249999999999</v>
      </c>
      <c r="AF128" t="s">
        <v>796</v>
      </c>
      <c r="AH128" t="s">
        <v>1187</v>
      </c>
      <c r="AI128" t="s">
        <v>1187</v>
      </c>
      <c r="AQ128">
        <v>1</v>
      </c>
    </row>
    <row r="129" spans="1:43" hidden="1" x14ac:dyDescent="0.3">
      <c r="A129" t="s">
        <v>31</v>
      </c>
      <c r="B129">
        <v>216</v>
      </c>
      <c r="C129">
        <v>149</v>
      </c>
      <c r="D129">
        <v>1716</v>
      </c>
      <c r="G129" t="s">
        <v>3644</v>
      </c>
      <c r="H129">
        <v>12418196000118</v>
      </c>
      <c r="I129" t="s">
        <v>3645</v>
      </c>
      <c r="J129" t="s">
        <v>6466</v>
      </c>
      <c r="K129" t="s">
        <v>3647</v>
      </c>
      <c r="M129" t="s">
        <v>3648</v>
      </c>
      <c r="T129" t="s">
        <v>319</v>
      </c>
      <c r="U129" t="s">
        <v>3417</v>
      </c>
      <c r="W129">
        <v>1600</v>
      </c>
      <c r="X129">
        <v>1458885</v>
      </c>
      <c r="Z129">
        <v>39</v>
      </c>
      <c r="AA129" s="31">
        <v>45694</v>
      </c>
      <c r="AB129" s="61">
        <v>0.58359953703703704</v>
      </c>
      <c r="AC129" t="s">
        <v>795</v>
      </c>
      <c r="AD129" s="31">
        <v>45733</v>
      </c>
      <c r="AE129" s="61">
        <v>0.40326388888888892</v>
      </c>
      <c r="AF129" t="s">
        <v>796</v>
      </c>
      <c r="AH129" t="s">
        <v>1293</v>
      </c>
      <c r="AI129" t="s">
        <v>1293</v>
      </c>
      <c r="AQ129">
        <v>1</v>
      </c>
    </row>
    <row r="130" spans="1:43" hidden="1" x14ac:dyDescent="0.3">
      <c r="A130" t="s">
        <v>31</v>
      </c>
      <c r="B130">
        <v>217</v>
      </c>
      <c r="C130">
        <v>102</v>
      </c>
      <c r="D130">
        <v>1717</v>
      </c>
      <c r="G130" t="s">
        <v>3649</v>
      </c>
      <c r="I130" t="s">
        <v>3306</v>
      </c>
      <c r="J130" t="s">
        <v>6467</v>
      </c>
      <c r="K130" t="s">
        <v>3651</v>
      </c>
      <c r="M130" t="s">
        <v>3308</v>
      </c>
      <c r="S130" t="s">
        <v>1266</v>
      </c>
      <c r="T130" t="s">
        <v>319</v>
      </c>
      <c r="U130" t="s">
        <v>3417</v>
      </c>
      <c r="W130">
        <v>16200</v>
      </c>
      <c r="X130">
        <v>2160</v>
      </c>
      <c r="Z130">
        <v>39</v>
      </c>
      <c r="AA130" s="31">
        <v>45694</v>
      </c>
      <c r="AB130" s="61">
        <v>0.61443287037037042</v>
      </c>
      <c r="AC130" t="s">
        <v>795</v>
      </c>
      <c r="AD130" s="31">
        <v>45733</v>
      </c>
      <c r="AE130" s="61">
        <v>0.40384259259259259</v>
      </c>
      <c r="AF130" t="s">
        <v>796</v>
      </c>
      <c r="AH130" t="s">
        <v>1293</v>
      </c>
      <c r="AI130" t="s">
        <v>1293</v>
      </c>
      <c r="AQ130">
        <v>1</v>
      </c>
    </row>
    <row r="131" spans="1:43" hidden="1" x14ac:dyDescent="0.3">
      <c r="A131" t="s">
        <v>31</v>
      </c>
      <c r="B131">
        <v>218</v>
      </c>
      <c r="C131">
        <v>76</v>
      </c>
      <c r="D131">
        <v>1718</v>
      </c>
      <c r="G131" t="s">
        <v>3652</v>
      </c>
      <c r="I131" t="s">
        <v>225</v>
      </c>
      <c r="J131" t="s">
        <v>3653</v>
      </c>
      <c r="K131" t="s">
        <v>3623</v>
      </c>
      <c r="M131" t="s">
        <v>3233</v>
      </c>
      <c r="P131" t="s">
        <v>3234</v>
      </c>
      <c r="Q131" t="s">
        <v>1699</v>
      </c>
      <c r="S131" t="s">
        <v>1266</v>
      </c>
      <c r="T131" t="s">
        <v>319</v>
      </c>
      <c r="U131" t="s">
        <v>781</v>
      </c>
      <c r="Z131">
        <v>67</v>
      </c>
      <c r="AA131" s="31">
        <v>45694</v>
      </c>
      <c r="AB131" s="61">
        <v>0.63978009259259261</v>
      </c>
      <c r="AC131" t="s">
        <v>795</v>
      </c>
      <c r="AD131" s="31">
        <v>45761</v>
      </c>
      <c r="AE131" s="61">
        <v>0.36935185185185188</v>
      </c>
      <c r="AF131" t="s">
        <v>796</v>
      </c>
      <c r="AQ131">
        <v>1</v>
      </c>
    </row>
    <row r="132" spans="1:43" hidden="1" x14ac:dyDescent="0.3">
      <c r="A132" t="s">
        <v>31</v>
      </c>
      <c r="B132">
        <v>220</v>
      </c>
      <c r="C132">
        <v>129</v>
      </c>
      <c r="D132">
        <v>1723</v>
      </c>
      <c r="G132" t="s">
        <v>6468</v>
      </c>
      <c r="I132" t="s">
        <v>679</v>
      </c>
      <c r="J132" t="s">
        <v>928</v>
      </c>
      <c r="K132" t="s">
        <v>3537</v>
      </c>
      <c r="M132" t="s">
        <v>3366</v>
      </c>
      <c r="T132" t="s">
        <v>319</v>
      </c>
      <c r="U132" t="s">
        <v>816</v>
      </c>
      <c r="W132">
        <v>321408</v>
      </c>
      <c r="X132">
        <v>57024</v>
      </c>
      <c r="Z132">
        <v>48</v>
      </c>
      <c r="AA132" s="31">
        <v>45695</v>
      </c>
      <c r="AB132" s="61">
        <v>0.36967592592592591</v>
      </c>
      <c r="AC132" t="s">
        <v>795</v>
      </c>
      <c r="AD132" s="31">
        <v>45743</v>
      </c>
      <c r="AE132" s="61">
        <v>0.35805555555555563</v>
      </c>
      <c r="AF132" t="s">
        <v>796</v>
      </c>
      <c r="AH132" t="s">
        <v>1292</v>
      </c>
      <c r="AI132" t="s">
        <v>1293</v>
      </c>
      <c r="AQ132">
        <v>1</v>
      </c>
    </row>
    <row r="133" spans="1:43" hidden="1" x14ac:dyDescent="0.3">
      <c r="A133" t="s">
        <v>31</v>
      </c>
      <c r="B133">
        <v>221</v>
      </c>
      <c r="C133">
        <v>129</v>
      </c>
      <c r="D133">
        <v>1724</v>
      </c>
      <c r="G133" t="s">
        <v>3656</v>
      </c>
      <c r="I133" t="s">
        <v>679</v>
      </c>
      <c r="J133" t="s">
        <v>928</v>
      </c>
      <c r="K133" t="s">
        <v>3537</v>
      </c>
      <c r="M133" t="s">
        <v>3366</v>
      </c>
      <c r="S133" t="s">
        <v>1266</v>
      </c>
      <c r="T133" t="s">
        <v>319</v>
      </c>
      <c r="U133" t="s">
        <v>816</v>
      </c>
      <c r="W133">
        <v>23580</v>
      </c>
      <c r="X133">
        <v>3400</v>
      </c>
      <c r="Z133">
        <v>48</v>
      </c>
      <c r="AA133" s="31">
        <v>45695</v>
      </c>
      <c r="AB133" s="61">
        <v>0.41024305555555562</v>
      </c>
      <c r="AC133" t="s">
        <v>795</v>
      </c>
      <c r="AD133" s="31">
        <v>45743</v>
      </c>
      <c r="AE133" s="61">
        <v>0.35790509259259262</v>
      </c>
      <c r="AF133" t="s">
        <v>796</v>
      </c>
      <c r="AH133" t="s">
        <v>1292</v>
      </c>
      <c r="AI133" t="s">
        <v>1293</v>
      </c>
      <c r="AQ133">
        <v>1</v>
      </c>
    </row>
    <row r="134" spans="1:43" hidden="1" x14ac:dyDescent="0.3">
      <c r="A134" t="s">
        <v>31</v>
      </c>
      <c r="B134">
        <v>222</v>
      </c>
      <c r="C134">
        <v>172</v>
      </c>
      <c r="D134">
        <v>1725</v>
      </c>
      <c r="G134" t="s">
        <v>3657</v>
      </c>
      <c r="H134">
        <v>33561753000125</v>
      </c>
      <c r="I134" t="s">
        <v>3501</v>
      </c>
      <c r="J134" t="s">
        <v>952</v>
      </c>
      <c r="K134" t="s">
        <v>3502</v>
      </c>
      <c r="M134" t="s">
        <v>3503</v>
      </c>
      <c r="O134" t="s">
        <v>6447</v>
      </c>
      <c r="P134" t="s">
        <v>3505</v>
      </c>
      <c r="Q134" t="s">
        <v>790</v>
      </c>
      <c r="S134" t="s">
        <v>1266</v>
      </c>
      <c r="T134" t="s">
        <v>319</v>
      </c>
      <c r="U134" t="s">
        <v>3417</v>
      </c>
      <c r="W134">
        <v>23580</v>
      </c>
      <c r="X134">
        <v>3400</v>
      </c>
      <c r="Z134">
        <v>91</v>
      </c>
      <c r="AA134" s="31">
        <v>45695</v>
      </c>
      <c r="AB134" s="61">
        <v>0.44217592592592592</v>
      </c>
      <c r="AC134" t="s">
        <v>795</v>
      </c>
      <c r="AD134" s="31">
        <v>45786</v>
      </c>
      <c r="AE134" s="61">
        <v>0.6146759259259259</v>
      </c>
      <c r="AF134" t="s">
        <v>934</v>
      </c>
      <c r="AH134" t="s">
        <v>1292</v>
      </c>
      <c r="AI134" t="s">
        <v>1286</v>
      </c>
      <c r="AQ134">
        <v>1</v>
      </c>
    </row>
    <row r="135" spans="1:43" hidden="1" x14ac:dyDescent="0.3">
      <c r="A135" t="s">
        <v>31</v>
      </c>
      <c r="B135">
        <v>223</v>
      </c>
      <c r="C135">
        <v>172</v>
      </c>
      <c r="D135">
        <v>1726</v>
      </c>
      <c r="G135" t="s">
        <v>3658</v>
      </c>
      <c r="H135">
        <v>33561753000125</v>
      </c>
      <c r="I135" t="s">
        <v>3501</v>
      </c>
      <c r="J135" t="s">
        <v>952</v>
      </c>
      <c r="K135" t="s">
        <v>3502</v>
      </c>
      <c r="M135" t="s">
        <v>3503</v>
      </c>
      <c r="O135" t="s">
        <v>6447</v>
      </c>
      <c r="P135" t="s">
        <v>3505</v>
      </c>
      <c r="Q135" t="s">
        <v>790</v>
      </c>
      <c r="S135" t="s">
        <v>1266</v>
      </c>
      <c r="T135" t="s">
        <v>319</v>
      </c>
      <c r="U135" t="s">
        <v>3417</v>
      </c>
      <c r="W135">
        <v>214272</v>
      </c>
      <c r="X135">
        <v>48472</v>
      </c>
      <c r="Z135">
        <v>91</v>
      </c>
      <c r="AA135" s="31">
        <v>45695</v>
      </c>
      <c r="AB135" s="61">
        <v>0.44530092592592591</v>
      </c>
      <c r="AC135" t="s">
        <v>795</v>
      </c>
      <c r="AD135" s="31">
        <v>45786</v>
      </c>
      <c r="AE135" s="61">
        <v>0.61391203703703701</v>
      </c>
      <c r="AF135" t="s">
        <v>934</v>
      </c>
      <c r="AH135" t="s">
        <v>1292</v>
      </c>
      <c r="AI135" t="s">
        <v>1286</v>
      </c>
      <c r="AQ135">
        <v>1</v>
      </c>
    </row>
    <row r="136" spans="1:43" hidden="1" x14ac:dyDescent="0.3">
      <c r="A136" t="s">
        <v>31</v>
      </c>
      <c r="B136">
        <v>224</v>
      </c>
      <c r="C136">
        <v>172</v>
      </c>
      <c r="D136">
        <v>1727</v>
      </c>
      <c r="G136" t="s">
        <v>3659</v>
      </c>
      <c r="H136">
        <v>33561753000125</v>
      </c>
      <c r="I136" t="s">
        <v>3501</v>
      </c>
      <c r="J136" t="s">
        <v>952</v>
      </c>
      <c r="K136" t="s">
        <v>3502</v>
      </c>
      <c r="M136" t="s">
        <v>3503</v>
      </c>
      <c r="O136" t="s">
        <v>6447</v>
      </c>
      <c r="P136" t="s">
        <v>3505</v>
      </c>
      <c r="Q136" t="s">
        <v>790</v>
      </c>
      <c r="S136" t="s">
        <v>1266</v>
      </c>
      <c r="T136" t="s">
        <v>319</v>
      </c>
      <c r="U136" t="s">
        <v>3417</v>
      </c>
      <c r="W136">
        <v>142848</v>
      </c>
      <c r="X136">
        <v>0</v>
      </c>
      <c r="Z136">
        <v>91</v>
      </c>
      <c r="AA136" s="31">
        <v>45695</v>
      </c>
      <c r="AB136" s="61">
        <v>0.45251157407407411</v>
      </c>
      <c r="AC136" t="s">
        <v>795</v>
      </c>
      <c r="AD136" s="31">
        <v>45786</v>
      </c>
      <c r="AE136" s="61">
        <v>0.61659722222222224</v>
      </c>
      <c r="AF136" t="s">
        <v>934</v>
      </c>
      <c r="AH136" t="s">
        <v>1292</v>
      </c>
      <c r="AI136" t="s">
        <v>1286</v>
      </c>
      <c r="AQ136">
        <v>1</v>
      </c>
    </row>
    <row r="137" spans="1:43" hidden="1" x14ac:dyDescent="0.3">
      <c r="A137" t="s">
        <v>31</v>
      </c>
      <c r="B137">
        <v>225</v>
      </c>
      <c r="C137">
        <v>172</v>
      </c>
      <c r="D137">
        <v>1728</v>
      </c>
      <c r="G137" t="s">
        <v>3660</v>
      </c>
      <c r="H137">
        <v>33561753000125</v>
      </c>
      <c r="I137" t="s">
        <v>3501</v>
      </c>
      <c r="J137" t="s">
        <v>952</v>
      </c>
      <c r="K137" t="s">
        <v>3502</v>
      </c>
      <c r="M137" t="s">
        <v>3503</v>
      </c>
      <c r="O137" t="s">
        <v>6447</v>
      </c>
      <c r="P137" t="s">
        <v>3505</v>
      </c>
      <c r="Q137" t="s">
        <v>790</v>
      </c>
      <c r="S137" t="s">
        <v>1266</v>
      </c>
      <c r="T137" t="s">
        <v>319</v>
      </c>
      <c r="U137" t="s">
        <v>3417</v>
      </c>
      <c r="W137">
        <v>1600</v>
      </c>
      <c r="X137">
        <v>235228</v>
      </c>
      <c r="Z137">
        <v>91</v>
      </c>
      <c r="AA137" s="31">
        <v>45695</v>
      </c>
      <c r="AB137" s="61">
        <v>0.45512731481481478</v>
      </c>
      <c r="AC137" t="s">
        <v>795</v>
      </c>
      <c r="AD137" s="31">
        <v>45786</v>
      </c>
      <c r="AE137" s="61">
        <v>0.61518518518518517</v>
      </c>
      <c r="AF137" t="s">
        <v>934</v>
      </c>
      <c r="AH137" t="s">
        <v>1292</v>
      </c>
      <c r="AI137" t="s">
        <v>1286</v>
      </c>
      <c r="AQ137">
        <v>1</v>
      </c>
    </row>
    <row r="138" spans="1:43" hidden="1" x14ac:dyDescent="0.3">
      <c r="A138" t="s">
        <v>31</v>
      </c>
      <c r="B138">
        <v>226</v>
      </c>
      <c r="C138">
        <v>152</v>
      </c>
      <c r="D138">
        <v>1729</v>
      </c>
      <c r="G138" t="s">
        <v>3661</v>
      </c>
      <c r="I138" t="s">
        <v>3445</v>
      </c>
      <c r="J138" t="s">
        <v>3662</v>
      </c>
      <c r="K138" t="s">
        <v>3621</v>
      </c>
      <c r="M138" t="s">
        <v>3448</v>
      </c>
      <c r="T138" t="s">
        <v>319</v>
      </c>
      <c r="U138" t="s">
        <v>816</v>
      </c>
      <c r="W138">
        <v>89361</v>
      </c>
      <c r="X138">
        <v>0</v>
      </c>
      <c r="Z138">
        <v>26</v>
      </c>
      <c r="AA138" s="31">
        <v>45695</v>
      </c>
      <c r="AB138" s="61">
        <v>0.55688657407407405</v>
      </c>
      <c r="AC138" t="s">
        <v>795</v>
      </c>
      <c r="AD138" s="31">
        <v>45721</v>
      </c>
      <c r="AE138" s="61">
        <v>0.42237268518518523</v>
      </c>
      <c r="AF138" t="s">
        <v>867</v>
      </c>
      <c r="AH138" t="s">
        <v>1292</v>
      </c>
      <c r="AQ138">
        <v>1</v>
      </c>
    </row>
    <row r="139" spans="1:43" hidden="1" x14ac:dyDescent="0.3">
      <c r="A139" t="s">
        <v>31</v>
      </c>
      <c r="B139">
        <v>227</v>
      </c>
      <c r="C139">
        <v>171</v>
      </c>
      <c r="D139">
        <v>1730</v>
      </c>
      <c r="G139" t="s">
        <v>3663</v>
      </c>
      <c r="H139">
        <v>39955762000187</v>
      </c>
      <c r="I139" t="s">
        <v>3484</v>
      </c>
      <c r="J139" t="s">
        <v>3664</v>
      </c>
      <c r="K139" t="s">
        <v>3665</v>
      </c>
      <c r="M139" t="s">
        <v>3487</v>
      </c>
      <c r="O139" t="s">
        <v>6445</v>
      </c>
      <c r="P139" t="s">
        <v>1094</v>
      </c>
      <c r="Q139" t="s">
        <v>790</v>
      </c>
      <c r="T139" t="s">
        <v>319</v>
      </c>
      <c r="U139" t="s">
        <v>3417</v>
      </c>
      <c r="W139">
        <v>245704</v>
      </c>
      <c r="X139">
        <v>0</v>
      </c>
      <c r="Z139">
        <v>7</v>
      </c>
      <c r="AA139" s="31">
        <v>45695</v>
      </c>
      <c r="AB139" s="61">
        <v>0.55918981481481478</v>
      </c>
      <c r="AC139" t="s">
        <v>795</v>
      </c>
      <c r="AD139" s="31">
        <v>45702</v>
      </c>
      <c r="AE139" s="61">
        <v>0.4418287037037037</v>
      </c>
      <c r="AF139" t="s">
        <v>796</v>
      </c>
      <c r="AH139" t="s">
        <v>1292</v>
      </c>
      <c r="AQ139">
        <v>1</v>
      </c>
    </row>
    <row r="140" spans="1:43" hidden="1" x14ac:dyDescent="0.3">
      <c r="A140" t="s">
        <v>31</v>
      </c>
      <c r="B140">
        <v>228</v>
      </c>
      <c r="C140">
        <v>103</v>
      </c>
      <c r="D140">
        <v>1731</v>
      </c>
      <c r="G140" t="s">
        <v>3666</v>
      </c>
      <c r="H140">
        <v>12549273000179</v>
      </c>
      <c r="I140" t="s">
        <v>3309</v>
      </c>
      <c r="J140" t="s">
        <v>1804</v>
      </c>
      <c r="K140" t="s">
        <v>3667</v>
      </c>
      <c r="M140" t="s">
        <v>3312</v>
      </c>
      <c r="O140" t="s">
        <v>6441</v>
      </c>
      <c r="P140" t="s">
        <v>1596</v>
      </c>
      <c r="Q140" t="s">
        <v>790</v>
      </c>
      <c r="T140" t="s">
        <v>319</v>
      </c>
      <c r="U140" t="s">
        <v>3417</v>
      </c>
      <c r="W140">
        <v>7413</v>
      </c>
      <c r="X140">
        <v>0</v>
      </c>
      <c r="Z140">
        <v>33</v>
      </c>
      <c r="AA140" s="31">
        <v>45695</v>
      </c>
      <c r="AB140" s="61">
        <v>0.56200231481481477</v>
      </c>
      <c r="AC140" t="s">
        <v>795</v>
      </c>
      <c r="AD140" s="31">
        <v>45728</v>
      </c>
      <c r="AE140" s="61">
        <v>0.63368055555555558</v>
      </c>
      <c r="AF140" t="s">
        <v>796</v>
      </c>
      <c r="AH140" t="s">
        <v>1292</v>
      </c>
      <c r="AQ140">
        <v>1</v>
      </c>
    </row>
    <row r="141" spans="1:43" hidden="1" x14ac:dyDescent="0.3">
      <c r="A141" t="s">
        <v>31</v>
      </c>
      <c r="B141">
        <v>229</v>
      </c>
      <c r="C141">
        <v>81</v>
      </c>
      <c r="D141">
        <v>1732</v>
      </c>
      <c r="G141" t="s">
        <v>3668</v>
      </c>
      <c r="I141" t="s">
        <v>3248</v>
      </c>
      <c r="J141" t="s">
        <v>3562</v>
      </c>
      <c r="K141" t="s">
        <v>3670</v>
      </c>
      <c r="M141" t="s">
        <v>3250</v>
      </c>
      <c r="S141" t="s">
        <v>1266</v>
      </c>
      <c r="T141" t="s">
        <v>319</v>
      </c>
      <c r="U141" t="s">
        <v>3417</v>
      </c>
      <c r="W141">
        <v>16200</v>
      </c>
      <c r="X141">
        <v>2160</v>
      </c>
      <c r="Z141">
        <v>6</v>
      </c>
      <c r="AA141" s="31">
        <v>45695</v>
      </c>
      <c r="AB141" s="61">
        <v>0.62017361111111113</v>
      </c>
      <c r="AC141" t="s">
        <v>795</v>
      </c>
      <c r="AD141" s="31">
        <v>45701</v>
      </c>
      <c r="AE141" s="61">
        <v>0.48325231481481479</v>
      </c>
      <c r="AF141" t="s">
        <v>867</v>
      </c>
      <c r="AH141" t="s">
        <v>1292</v>
      </c>
      <c r="AI141" t="s">
        <v>1292</v>
      </c>
      <c r="AQ141">
        <v>1</v>
      </c>
    </row>
    <row r="142" spans="1:43" hidden="1" x14ac:dyDescent="0.3">
      <c r="A142" t="s">
        <v>31</v>
      </c>
      <c r="B142">
        <v>238</v>
      </c>
      <c r="C142">
        <v>96</v>
      </c>
      <c r="D142">
        <v>1761</v>
      </c>
      <c r="G142" t="s">
        <v>3671</v>
      </c>
      <c r="I142" t="s">
        <v>3291</v>
      </c>
      <c r="J142" t="s">
        <v>704</v>
      </c>
      <c r="K142" t="s">
        <v>3672</v>
      </c>
      <c r="M142" t="s">
        <v>3293</v>
      </c>
      <c r="S142" t="s">
        <v>1327</v>
      </c>
      <c r="T142" t="s">
        <v>319</v>
      </c>
      <c r="U142" t="s">
        <v>3417</v>
      </c>
      <c r="W142">
        <v>16200</v>
      </c>
      <c r="X142">
        <v>1404</v>
      </c>
      <c r="Z142">
        <v>7</v>
      </c>
      <c r="AA142" s="31">
        <v>45701</v>
      </c>
      <c r="AB142" s="61">
        <v>0.48359953703703712</v>
      </c>
      <c r="AC142" t="s">
        <v>795</v>
      </c>
      <c r="AD142" s="31">
        <v>45708</v>
      </c>
      <c r="AE142" s="61">
        <v>0.38273148148148151</v>
      </c>
      <c r="AF142" t="s">
        <v>867</v>
      </c>
      <c r="AH142" t="s">
        <v>3673</v>
      </c>
      <c r="AI142" t="s">
        <v>3673</v>
      </c>
      <c r="AQ142">
        <v>1</v>
      </c>
    </row>
    <row r="143" spans="1:43" hidden="1" x14ac:dyDescent="0.3">
      <c r="A143" t="s">
        <v>31</v>
      </c>
      <c r="B143">
        <v>239</v>
      </c>
      <c r="C143">
        <v>130</v>
      </c>
      <c r="D143">
        <v>1762</v>
      </c>
      <c r="G143" t="s">
        <v>3674</v>
      </c>
      <c r="I143" t="s">
        <v>141</v>
      </c>
      <c r="J143" t="s">
        <v>3675</v>
      </c>
      <c r="K143" t="s">
        <v>3676</v>
      </c>
      <c r="M143" t="s">
        <v>3368</v>
      </c>
      <c r="P143" t="s">
        <v>923</v>
      </c>
      <c r="Q143" t="s">
        <v>790</v>
      </c>
      <c r="S143" t="s">
        <v>1266</v>
      </c>
      <c r="T143" t="s">
        <v>319</v>
      </c>
      <c r="U143" t="s">
        <v>3417</v>
      </c>
      <c r="Z143">
        <v>20</v>
      </c>
      <c r="AA143" s="31">
        <v>45701</v>
      </c>
      <c r="AB143" s="61">
        <v>0.65766203703703707</v>
      </c>
      <c r="AC143" t="s">
        <v>795</v>
      </c>
      <c r="AD143" s="31">
        <v>45721</v>
      </c>
      <c r="AE143" s="61">
        <v>0.42332175925925919</v>
      </c>
      <c r="AF143" t="s">
        <v>796</v>
      </c>
      <c r="AH143" t="s">
        <v>3677</v>
      </c>
      <c r="AI143" t="s">
        <v>1286</v>
      </c>
      <c r="AQ143">
        <v>1</v>
      </c>
    </row>
    <row r="144" spans="1:43" hidden="1" x14ac:dyDescent="0.3">
      <c r="A144" t="s">
        <v>31</v>
      </c>
      <c r="B144">
        <v>240</v>
      </c>
      <c r="C144">
        <v>147</v>
      </c>
      <c r="D144">
        <v>1764</v>
      </c>
      <c r="G144" t="s">
        <v>3678</v>
      </c>
      <c r="H144">
        <v>7964558000136</v>
      </c>
      <c r="I144" t="s">
        <v>3430</v>
      </c>
      <c r="J144" t="s">
        <v>3679</v>
      </c>
      <c r="K144" t="s">
        <v>3515</v>
      </c>
      <c r="M144" t="s">
        <v>3433</v>
      </c>
      <c r="S144" t="s">
        <v>1266</v>
      </c>
      <c r="T144" t="s">
        <v>319</v>
      </c>
      <c r="U144" t="s">
        <v>781</v>
      </c>
      <c r="Z144">
        <v>20</v>
      </c>
      <c r="AA144" s="31">
        <v>45701</v>
      </c>
      <c r="AB144" s="61">
        <v>0.72121527777777783</v>
      </c>
      <c r="AC144" t="s">
        <v>795</v>
      </c>
      <c r="AD144" s="31">
        <v>45721</v>
      </c>
      <c r="AE144" s="61">
        <v>0.42427083333333332</v>
      </c>
      <c r="AF144" t="s">
        <v>796</v>
      </c>
      <c r="AH144" t="s">
        <v>3677</v>
      </c>
      <c r="AI144" t="s">
        <v>3677</v>
      </c>
      <c r="AQ144">
        <v>1</v>
      </c>
    </row>
    <row r="145" spans="1:43" hidden="1" x14ac:dyDescent="0.3">
      <c r="A145" t="s">
        <v>31</v>
      </c>
      <c r="B145">
        <v>241</v>
      </c>
      <c r="C145">
        <v>170</v>
      </c>
      <c r="D145">
        <v>1765</v>
      </c>
      <c r="G145" t="s">
        <v>3680</v>
      </c>
      <c r="H145">
        <v>4150555001304</v>
      </c>
      <c r="I145" t="s">
        <v>3477</v>
      </c>
      <c r="J145" t="s">
        <v>3478</v>
      </c>
      <c r="K145" t="s">
        <v>3569</v>
      </c>
      <c r="M145" t="s">
        <v>3480</v>
      </c>
      <c r="O145" t="s">
        <v>6444</v>
      </c>
      <c r="P145" t="s">
        <v>3482</v>
      </c>
      <c r="Q145" t="s">
        <v>1699</v>
      </c>
      <c r="S145" t="s">
        <v>1327</v>
      </c>
      <c r="T145" t="s">
        <v>319</v>
      </c>
      <c r="U145" t="s">
        <v>816</v>
      </c>
      <c r="W145">
        <v>838823</v>
      </c>
      <c r="X145">
        <v>0</v>
      </c>
      <c r="Z145">
        <v>42</v>
      </c>
      <c r="AA145" s="31">
        <v>45701</v>
      </c>
      <c r="AB145" s="61">
        <v>0.72212962962962968</v>
      </c>
      <c r="AC145" t="s">
        <v>818</v>
      </c>
      <c r="AD145" s="31">
        <v>45743</v>
      </c>
      <c r="AE145" s="61">
        <v>0.67868055555555551</v>
      </c>
      <c r="AQ145">
        <v>1</v>
      </c>
    </row>
    <row r="146" spans="1:43" hidden="1" x14ac:dyDescent="0.3">
      <c r="A146" t="s">
        <v>31</v>
      </c>
      <c r="B146">
        <v>243</v>
      </c>
      <c r="C146">
        <v>194</v>
      </c>
      <c r="D146">
        <v>1766</v>
      </c>
      <c r="G146" t="s">
        <v>3681</v>
      </c>
      <c r="H146">
        <v>44580314000186</v>
      </c>
      <c r="I146" t="s">
        <v>3682</v>
      </c>
      <c r="J146" t="s">
        <v>4411</v>
      </c>
      <c r="K146" t="s">
        <v>3684</v>
      </c>
      <c r="M146" t="s">
        <v>3685</v>
      </c>
      <c r="O146" t="s">
        <v>6469</v>
      </c>
      <c r="P146" t="s">
        <v>3687</v>
      </c>
      <c r="Q146" t="s">
        <v>790</v>
      </c>
      <c r="T146" t="s">
        <v>319</v>
      </c>
      <c r="U146" t="s">
        <v>816</v>
      </c>
      <c r="W146">
        <v>1440</v>
      </c>
      <c r="X146">
        <v>0</v>
      </c>
      <c r="Z146">
        <v>0</v>
      </c>
      <c r="AA146" s="31">
        <v>45702</v>
      </c>
      <c r="AB146" s="61">
        <v>0.36876157407407412</v>
      </c>
      <c r="AC146" t="s">
        <v>818</v>
      </c>
      <c r="AD146" s="31">
        <v>45702</v>
      </c>
      <c r="AE146" s="61">
        <v>0.40575231481481477</v>
      </c>
      <c r="AH146" t="s">
        <v>1359</v>
      </c>
      <c r="AI146" t="s">
        <v>1359</v>
      </c>
      <c r="AQ146">
        <v>1</v>
      </c>
    </row>
    <row r="147" spans="1:43" hidden="1" x14ac:dyDescent="0.3">
      <c r="A147" t="s">
        <v>31</v>
      </c>
      <c r="B147">
        <v>244</v>
      </c>
      <c r="C147">
        <v>149</v>
      </c>
      <c r="D147">
        <v>1767</v>
      </c>
      <c r="G147" t="s">
        <v>3645</v>
      </c>
      <c r="H147">
        <v>12418196000118</v>
      </c>
      <c r="I147" t="s">
        <v>3645</v>
      </c>
      <c r="J147" t="s">
        <v>3688</v>
      </c>
      <c r="K147" t="s">
        <v>3647</v>
      </c>
      <c r="M147" t="s">
        <v>3648</v>
      </c>
      <c r="S147" t="s">
        <v>1327</v>
      </c>
      <c r="T147" t="s">
        <v>319</v>
      </c>
      <c r="U147" t="s">
        <v>3417</v>
      </c>
      <c r="Z147">
        <v>0</v>
      </c>
      <c r="AA147" s="31">
        <v>45702</v>
      </c>
      <c r="AB147" s="61">
        <v>0.43881944444444437</v>
      </c>
      <c r="AC147" t="s">
        <v>795</v>
      </c>
      <c r="AD147" s="31">
        <v>45702</v>
      </c>
      <c r="AE147" s="61">
        <v>0.43979166666666669</v>
      </c>
      <c r="AF147" t="s">
        <v>796</v>
      </c>
      <c r="AI147" t="s">
        <v>1359</v>
      </c>
      <c r="AQ147">
        <v>1</v>
      </c>
    </row>
    <row r="148" spans="1:43" hidden="1" x14ac:dyDescent="0.3">
      <c r="A148" t="s">
        <v>31</v>
      </c>
      <c r="B148">
        <v>247</v>
      </c>
      <c r="C148">
        <v>190</v>
      </c>
      <c r="D148">
        <v>1769</v>
      </c>
      <c r="G148" t="s">
        <v>3689</v>
      </c>
      <c r="H148">
        <v>18203215000175</v>
      </c>
      <c r="I148" t="s">
        <v>3690</v>
      </c>
      <c r="J148" t="s">
        <v>3691</v>
      </c>
      <c r="K148" t="s">
        <v>3692</v>
      </c>
      <c r="M148" t="s">
        <v>3693</v>
      </c>
      <c r="O148" t="s">
        <v>6470</v>
      </c>
      <c r="P148" t="s">
        <v>3695</v>
      </c>
      <c r="Q148" t="s">
        <v>790</v>
      </c>
      <c r="S148" t="s">
        <v>1266</v>
      </c>
      <c r="T148" t="s">
        <v>319</v>
      </c>
      <c r="U148" t="s">
        <v>3409</v>
      </c>
      <c r="W148">
        <v>16200</v>
      </c>
      <c r="X148">
        <v>2160</v>
      </c>
      <c r="Z148">
        <v>25</v>
      </c>
      <c r="AA148" s="31">
        <v>45702</v>
      </c>
      <c r="AB148" s="61">
        <v>0.48204861111111108</v>
      </c>
      <c r="AC148" t="s">
        <v>795</v>
      </c>
      <c r="AD148" s="31">
        <v>45727</v>
      </c>
      <c r="AE148" s="61">
        <v>0.68393518518518515</v>
      </c>
      <c r="AF148" t="s">
        <v>796</v>
      </c>
      <c r="AH148" t="s">
        <v>1286</v>
      </c>
      <c r="AI148" t="s">
        <v>1286</v>
      </c>
      <c r="AQ148">
        <v>1</v>
      </c>
    </row>
    <row r="149" spans="1:43" hidden="1" x14ac:dyDescent="0.3">
      <c r="A149" t="s">
        <v>31</v>
      </c>
      <c r="B149">
        <v>251</v>
      </c>
      <c r="C149">
        <v>142</v>
      </c>
      <c r="D149">
        <v>1773</v>
      </c>
      <c r="G149" t="s">
        <v>3696</v>
      </c>
      <c r="I149" t="s">
        <v>3397</v>
      </c>
      <c r="J149" t="s">
        <v>3697</v>
      </c>
      <c r="K149" t="s">
        <v>3698</v>
      </c>
      <c r="M149" t="s">
        <v>3399</v>
      </c>
      <c r="P149" t="s">
        <v>3400</v>
      </c>
      <c r="Q149" t="s">
        <v>1699</v>
      </c>
      <c r="S149" t="s">
        <v>1266</v>
      </c>
      <c r="T149" t="s">
        <v>319</v>
      </c>
      <c r="U149" t="s">
        <v>3417</v>
      </c>
      <c r="W149">
        <v>16200</v>
      </c>
      <c r="X149">
        <v>2160</v>
      </c>
      <c r="Z149">
        <v>0</v>
      </c>
      <c r="AA149" s="31">
        <v>45702</v>
      </c>
      <c r="AB149" s="61">
        <v>0.70365740740740745</v>
      </c>
      <c r="AC149" t="s">
        <v>795</v>
      </c>
      <c r="AD149" s="31">
        <v>45702</v>
      </c>
      <c r="AE149" s="61">
        <v>0.70915509259259257</v>
      </c>
      <c r="AF149" t="s">
        <v>867</v>
      </c>
      <c r="AH149" t="s">
        <v>1359</v>
      </c>
      <c r="AI149" t="s">
        <v>1286</v>
      </c>
      <c r="AQ149">
        <v>1</v>
      </c>
    </row>
    <row r="150" spans="1:43" hidden="1" x14ac:dyDescent="0.3">
      <c r="A150" t="s">
        <v>31</v>
      </c>
      <c r="B150">
        <v>252</v>
      </c>
      <c r="C150">
        <v>147</v>
      </c>
      <c r="D150">
        <v>1774</v>
      </c>
      <c r="G150" t="s">
        <v>3699</v>
      </c>
      <c r="H150">
        <v>7964558000136</v>
      </c>
      <c r="I150" t="s">
        <v>3430</v>
      </c>
      <c r="J150" t="s">
        <v>1974</v>
      </c>
      <c r="K150" t="s">
        <v>3515</v>
      </c>
      <c r="M150" t="s">
        <v>3433</v>
      </c>
      <c r="S150" t="s">
        <v>1327</v>
      </c>
      <c r="T150" t="s">
        <v>319</v>
      </c>
      <c r="U150" t="s">
        <v>3417</v>
      </c>
      <c r="W150">
        <v>4212</v>
      </c>
      <c r="X150">
        <v>3564</v>
      </c>
      <c r="Z150">
        <v>4</v>
      </c>
      <c r="AA150" s="31">
        <v>45702</v>
      </c>
      <c r="AB150" s="61">
        <v>0.71611111111111114</v>
      </c>
      <c r="AC150" t="s">
        <v>795</v>
      </c>
      <c r="AD150" s="31">
        <v>45706</v>
      </c>
      <c r="AE150" s="61">
        <v>0.71895833333333337</v>
      </c>
      <c r="AF150" t="s">
        <v>796</v>
      </c>
      <c r="AI150" t="s">
        <v>1359</v>
      </c>
      <c r="AQ150">
        <v>1</v>
      </c>
    </row>
    <row r="151" spans="1:43" hidden="1" x14ac:dyDescent="0.3">
      <c r="A151" t="s">
        <v>31</v>
      </c>
      <c r="B151">
        <v>262</v>
      </c>
      <c r="C151">
        <v>137</v>
      </c>
      <c r="D151">
        <v>1787</v>
      </c>
      <c r="G151" t="s">
        <v>3701</v>
      </c>
      <c r="I151" t="s">
        <v>116</v>
      </c>
      <c r="J151" t="s">
        <v>3702</v>
      </c>
      <c r="K151" t="s">
        <v>3703</v>
      </c>
      <c r="M151" t="s">
        <v>3386</v>
      </c>
      <c r="T151" t="s">
        <v>319</v>
      </c>
      <c r="U151" t="s">
        <v>3417</v>
      </c>
      <c r="W151">
        <v>0</v>
      </c>
      <c r="X151">
        <v>46332</v>
      </c>
      <c r="Z151">
        <v>77</v>
      </c>
      <c r="AA151" s="31">
        <v>45705</v>
      </c>
      <c r="AB151" s="61">
        <v>0.62427083333333333</v>
      </c>
      <c r="AC151" t="s">
        <v>795</v>
      </c>
      <c r="AD151" s="31">
        <v>45782</v>
      </c>
      <c r="AE151" s="61">
        <v>0.66953703703703704</v>
      </c>
      <c r="AF151" t="s">
        <v>934</v>
      </c>
      <c r="AH151" t="s">
        <v>1378</v>
      </c>
      <c r="AI151" t="s">
        <v>1359</v>
      </c>
      <c r="AQ151">
        <v>1</v>
      </c>
    </row>
    <row r="152" spans="1:43" hidden="1" x14ac:dyDescent="0.3">
      <c r="A152" t="s">
        <v>31</v>
      </c>
      <c r="B152">
        <v>264</v>
      </c>
      <c r="C152">
        <v>170</v>
      </c>
      <c r="D152">
        <v>1791</v>
      </c>
      <c r="G152" t="s">
        <v>3704</v>
      </c>
      <c r="H152">
        <v>4150555001304</v>
      </c>
      <c r="I152" t="s">
        <v>3477</v>
      </c>
      <c r="J152" t="s">
        <v>3478</v>
      </c>
      <c r="K152" t="s">
        <v>3569</v>
      </c>
      <c r="M152" t="s">
        <v>3480</v>
      </c>
      <c r="O152" t="s">
        <v>6444</v>
      </c>
      <c r="P152" t="s">
        <v>3482</v>
      </c>
      <c r="Q152" t="s">
        <v>1699</v>
      </c>
      <c r="S152" t="s">
        <v>1266</v>
      </c>
      <c r="T152" t="s">
        <v>319</v>
      </c>
      <c r="U152" t="s">
        <v>781</v>
      </c>
      <c r="Z152">
        <v>55</v>
      </c>
      <c r="AA152" s="31">
        <v>45706</v>
      </c>
      <c r="AB152" s="61">
        <v>0.42887731481481478</v>
      </c>
      <c r="AC152" t="s">
        <v>795</v>
      </c>
      <c r="AD152" s="31">
        <v>45761</v>
      </c>
      <c r="AE152" s="61">
        <v>0.36827546296296299</v>
      </c>
      <c r="AF152" t="s">
        <v>796</v>
      </c>
      <c r="AI152" t="s">
        <v>3705</v>
      </c>
      <c r="AQ152">
        <v>1</v>
      </c>
    </row>
    <row r="153" spans="1:43" hidden="1" x14ac:dyDescent="0.3">
      <c r="A153" t="s">
        <v>31</v>
      </c>
      <c r="B153">
        <v>265</v>
      </c>
      <c r="C153">
        <v>103</v>
      </c>
      <c r="D153">
        <v>1864</v>
      </c>
      <c r="G153" t="s">
        <v>3706</v>
      </c>
      <c r="H153">
        <v>12549273000179</v>
      </c>
      <c r="I153" t="s">
        <v>3309</v>
      </c>
      <c r="J153" t="s">
        <v>3707</v>
      </c>
      <c r="M153" t="s">
        <v>3312</v>
      </c>
      <c r="O153" t="s">
        <v>6441</v>
      </c>
      <c r="P153" t="s">
        <v>1596</v>
      </c>
      <c r="Q153" t="s">
        <v>790</v>
      </c>
      <c r="T153" t="s">
        <v>319</v>
      </c>
      <c r="U153" t="s">
        <v>781</v>
      </c>
      <c r="Z153">
        <v>36</v>
      </c>
      <c r="AA153" s="31">
        <v>45707</v>
      </c>
      <c r="AB153" s="61">
        <v>0.41913194444444452</v>
      </c>
      <c r="AC153" t="s">
        <v>795</v>
      </c>
      <c r="AD153" s="31">
        <v>45743</v>
      </c>
      <c r="AE153" s="61">
        <v>0.6802083333333333</v>
      </c>
      <c r="AF153" t="s">
        <v>796</v>
      </c>
      <c r="AI153" t="s">
        <v>3708</v>
      </c>
      <c r="AQ153">
        <v>1</v>
      </c>
    </row>
    <row r="154" spans="1:43" hidden="1" x14ac:dyDescent="0.3">
      <c r="A154" t="s">
        <v>31</v>
      </c>
      <c r="B154">
        <v>269</v>
      </c>
      <c r="C154">
        <v>183</v>
      </c>
      <c r="D154">
        <v>1615</v>
      </c>
      <c r="G154" t="s">
        <v>3709</v>
      </c>
      <c r="H154">
        <v>3204281000192</v>
      </c>
      <c r="I154" t="s">
        <v>3594</v>
      </c>
      <c r="J154" t="s">
        <v>3595</v>
      </c>
      <c r="K154" t="s">
        <v>3596</v>
      </c>
      <c r="M154" t="s">
        <v>2617</v>
      </c>
      <c r="O154" t="s">
        <v>6459</v>
      </c>
      <c r="P154" t="s">
        <v>2618</v>
      </c>
      <c r="Q154" t="s">
        <v>790</v>
      </c>
      <c r="T154" t="s">
        <v>319</v>
      </c>
      <c r="U154" t="s">
        <v>816</v>
      </c>
      <c r="W154">
        <v>33696</v>
      </c>
      <c r="X154">
        <v>0</v>
      </c>
      <c r="Z154">
        <v>0</v>
      </c>
      <c r="AA154" s="31">
        <v>45708</v>
      </c>
      <c r="AB154" s="61">
        <v>0.46069444444444452</v>
      </c>
      <c r="AC154" t="s">
        <v>818</v>
      </c>
      <c r="AD154" s="31">
        <v>45708</v>
      </c>
      <c r="AE154" s="61">
        <v>0.46159722222222221</v>
      </c>
      <c r="AH154" t="s">
        <v>1453</v>
      </c>
      <c r="AQ154">
        <v>1</v>
      </c>
    </row>
    <row r="155" spans="1:43" hidden="1" x14ac:dyDescent="0.3">
      <c r="A155" t="s">
        <v>31</v>
      </c>
      <c r="B155">
        <v>271</v>
      </c>
      <c r="C155">
        <v>186</v>
      </c>
      <c r="D155">
        <v>1881</v>
      </c>
      <c r="G155" t="s">
        <v>3710</v>
      </c>
      <c r="H155">
        <v>10899939000193</v>
      </c>
      <c r="I155" t="s">
        <v>3625</v>
      </c>
      <c r="J155" t="s">
        <v>704</v>
      </c>
      <c r="K155" t="s">
        <v>3626</v>
      </c>
      <c r="M155" t="s">
        <v>3627</v>
      </c>
      <c r="O155" t="s">
        <v>6463</v>
      </c>
      <c r="P155" t="s">
        <v>3629</v>
      </c>
      <c r="Q155" t="s">
        <v>932</v>
      </c>
      <c r="T155" t="s">
        <v>319</v>
      </c>
      <c r="U155" t="s">
        <v>3417</v>
      </c>
      <c r="W155">
        <v>1600</v>
      </c>
      <c r="X155">
        <v>748029</v>
      </c>
      <c r="Z155">
        <v>105</v>
      </c>
      <c r="AA155" s="31">
        <v>45709</v>
      </c>
      <c r="AB155" s="61">
        <v>0.47337962962962971</v>
      </c>
      <c r="AC155" t="s">
        <v>795</v>
      </c>
      <c r="AD155" s="31">
        <v>45814</v>
      </c>
      <c r="AE155" s="61">
        <v>0.62725694444444446</v>
      </c>
      <c r="AF155" t="s">
        <v>934</v>
      </c>
      <c r="AH155" t="s">
        <v>1454</v>
      </c>
      <c r="AI155" t="s">
        <v>1454</v>
      </c>
      <c r="AQ155">
        <v>1</v>
      </c>
    </row>
    <row r="156" spans="1:43" hidden="1" x14ac:dyDescent="0.3">
      <c r="A156" t="s">
        <v>31</v>
      </c>
      <c r="B156">
        <v>274</v>
      </c>
      <c r="C156">
        <v>187</v>
      </c>
      <c r="D156">
        <v>1884</v>
      </c>
      <c r="G156" t="s">
        <v>3711</v>
      </c>
      <c r="H156">
        <v>17063632000105</v>
      </c>
      <c r="I156" t="s">
        <v>3631</v>
      </c>
      <c r="J156" t="s">
        <v>3712</v>
      </c>
      <c r="K156" t="s">
        <v>3713</v>
      </c>
      <c r="M156" t="s">
        <v>3634</v>
      </c>
      <c r="O156" t="s">
        <v>6464</v>
      </c>
      <c r="P156" t="s">
        <v>3636</v>
      </c>
      <c r="Q156" t="s">
        <v>1699</v>
      </c>
      <c r="T156" t="s">
        <v>319</v>
      </c>
      <c r="U156" t="s">
        <v>781</v>
      </c>
      <c r="Z156">
        <v>0</v>
      </c>
      <c r="AA156" s="31">
        <v>45713</v>
      </c>
      <c r="AB156" s="61">
        <v>0.46167824074074082</v>
      </c>
      <c r="AC156" t="s">
        <v>795</v>
      </c>
      <c r="AD156" s="31">
        <v>45713</v>
      </c>
      <c r="AE156" s="61">
        <v>0.49975694444444452</v>
      </c>
      <c r="AF156" t="s">
        <v>934</v>
      </c>
      <c r="AQ156">
        <v>1</v>
      </c>
    </row>
    <row r="157" spans="1:43" hidden="1" x14ac:dyDescent="0.3">
      <c r="A157" t="s">
        <v>31</v>
      </c>
      <c r="B157">
        <v>275</v>
      </c>
      <c r="C157">
        <v>196</v>
      </c>
      <c r="D157">
        <v>1885</v>
      </c>
      <c r="G157" t="s">
        <v>3714</v>
      </c>
      <c r="H157">
        <v>32494222000102</v>
      </c>
      <c r="I157" t="s">
        <v>3715</v>
      </c>
      <c r="J157" t="s">
        <v>3716</v>
      </c>
      <c r="K157" t="s">
        <v>3717</v>
      </c>
      <c r="M157" t="s">
        <v>3718</v>
      </c>
      <c r="O157" t="s">
        <v>6471</v>
      </c>
      <c r="P157" t="s">
        <v>3720</v>
      </c>
      <c r="Q157" t="s">
        <v>790</v>
      </c>
      <c r="T157" t="s">
        <v>319</v>
      </c>
      <c r="U157" t="s">
        <v>816</v>
      </c>
      <c r="W157">
        <v>2100</v>
      </c>
      <c r="X157">
        <v>0</v>
      </c>
      <c r="Z157">
        <v>57</v>
      </c>
      <c r="AA157" s="31">
        <v>45713</v>
      </c>
      <c r="AB157" s="61">
        <v>0.63856481481481486</v>
      </c>
      <c r="AC157" t="s">
        <v>818</v>
      </c>
      <c r="AD157" s="31">
        <v>45770</v>
      </c>
      <c r="AE157" s="61">
        <v>0.38543981481481482</v>
      </c>
      <c r="AH157" t="s">
        <v>1583</v>
      </c>
      <c r="AI157" t="s">
        <v>1619</v>
      </c>
      <c r="AQ157">
        <v>1</v>
      </c>
    </row>
    <row r="158" spans="1:43" hidden="1" x14ac:dyDescent="0.3">
      <c r="A158" t="s">
        <v>31</v>
      </c>
      <c r="B158">
        <v>276</v>
      </c>
      <c r="C158">
        <v>118</v>
      </c>
      <c r="D158">
        <v>1886</v>
      </c>
      <c r="G158" t="s">
        <v>3721</v>
      </c>
      <c r="I158" t="s">
        <v>686</v>
      </c>
      <c r="J158" t="s">
        <v>3722</v>
      </c>
      <c r="K158" t="s">
        <v>3609</v>
      </c>
      <c r="M158" t="s">
        <v>3343</v>
      </c>
      <c r="T158" t="s">
        <v>319</v>
      </c>
      <c r="U158" t="s">
        <v>3417</v>
      </c>
      <c r="W158">
        <v>3360</v>
      </c>
      <c r="X158">
        <v>3564</v>
      </c>
      <c r="Z158">
        <v>57</v>
      </c>
      <c r="AA158" s="31">
        <v>45713</v>
      </c>
      <c r="AB158" s="61">
        <v>0.65831018518518514</v>
      </c>
      <c r="AC158" t="s">
        <v>795</v>
      </c>
      <c r="AD158" s="31">
        <v>45770</v>
      </c>
      <c r="AE158" s="61">
        <v>0.41612268518518519</v>
      </c>
      <c r="AF158" t="s">
        <v>796</v>
      </c>
      <c r="AH158" t="s">
        <v>3723</v>
      </c>
      <c r="AI158" t="s">
        <v>3724</v>
      </c>
      <c r="AQ158">
        <v>1</v>
      </c>
    </row>
    <row r="159" spans="1:43" hidden="1" x14ac:dyDescent="0.3">
      <c r="A159" t="s">
        <v>31</v>
      </c>
      <c r="B159">
        <v>278</v>
      </c>
      <c r="C159">
        <v>197</v>
      </c>
      <c r="D159">
        <v>1888</v>
      </c>
      <c r="G159" t="s">
        <v>3725</v>
      </c>
      <c r="H159">
        <v>8616236000169</v>
      </c>
      <c r="I159" t="s">
        <v>3726</v>
      </c>
      <c r="J159" t="s">
        <v>704</v>
      </c>
      <c r="K159" t="s">
        <v>3727</v>
      </c>
      <c r="M159" t="s">
        <v>3728</v>
      </c>
      <c r="O159" t="s">
        <v>6472</v>
      </c>
      <c r="P159" t="s">
        <v>3687</v>
      </c>
      <c r="Q159" t="s">
        <v>790</v>
      </c>
      <c r="T159" t="s">
        <v>319</v>
      </c>
      <c r="U159" t="s">
        <v>3417</v>
      </c>
      <c r="W159">
        <v>1600</v>
      </c>
      <c r="X159">
        <v>867233</v>
      </c>
      <c r="Z159">
        <v>97</v>
      </c>
      <c r="AA159" s="31">
        <v>45714</v>
      </c>
      <c r="AB159" s="61">
        <v>0.51196759259259261</v>
      </c>
      <c r="AC159" t="s">
        <v>795</v>
      </c>
      <c r="AD159" s="31">
        <v>45811</v>
      </c>
      <c r="AE159" s="61">
        <v>0.64706018518518515</v>
      </c>
      <c r="AF159" t="s">
        <v>796</v>
      </c>
      <c r="AH159" t="s">
        <v>1455</v>
      </c>
      <c r="AI159" t="s">
        <v>1455</v>
      </c>
      <c r="AQ159">
        <v>1</v>
      </c>
    </row>
    <row r="160" spans="1:43" hidden="1" x14ac:dyDescent="0.3">
      <c r="A160" t="s">
        <v>31</v>
      </c>
      <c r="B160">
        <v>280</v>
      </c>
      <c r="C160">
        <v>183</v>
      </c>
      <c r="D160">
        <v>1891</v>
      </c>
      <c r="G160" t="s">
        <v>3730</v>
      </c>
      <c r="H160">
        <v>3204281000192</v>
      </c>
      <c r="I160" t="s">
        <v>3594</v>
      </c>
      <c r="J160" t="s">
        <v>3731</v>
      </c>
      <c r="K160" t="s">
        <v>3596</v>
      </c>
      <c r="M160" t="s">
        <v>2617</v>
      </c>
      <c r="O160" t="s">
        <v>6459</v>
      </c>
      <c r="P160" t="s">
        <v>2618</v>
      </c>
      <c r="Q160" t="s">
        <v>790</v>
      </c>
      <c r="T160" t="s">
        <v>319</v>
      </c>
      <c r="U160" t="s">
        <v>816</v>
      </c>
      <c r="W160">
        <v>23166</v>
      </c>
      <c r="X160">
        <v>0</v>
      </c>
      <c r="Z160">
        <v>6</v>
      </c>
      <c r="AA160" s="31">
        <v>45715</v>
      </c>
      <c r="AB160" s="61">
        <v>0.70269675925925923</v>
      </c>
      <c r="AC160" t="s">
        <v>818</v>
      </c>
      <c r="AD160" s="31">
        <v>45721</v>
      </c>
      <c r="AE160" s="61">
        <v>0.4221064814814815</v>
      </c>
      <c r="AH160" t="s">
        <v>3732</v>
      </c>
      <c r="AQ160">
        <v>1</v>
      </c>
    </row>
    <row r="161" spans="1:43" hidden="1" x14ac:dyDescent="0.3">
      <c r="A161" t="s">
        <v>31</v>
      </c>
      <c r="B161">
        <v>285</v>
      </c>
      <c r="C161">
        <v>191</v>
      </c>
      <c r="D161">
        <v>1899</v>
      </c>
      <c r="G161" t="s">
        <v>3733</v>
      </c>
      <c r="H161">
        <v>18628799000120</v>
      </c>
      <c r="I161" t="s">
        <v>3734</v>
      </c>
      <c r="J161" t="s">
        <v>3735</v>
      </c>
      <c r="K161" t="s">
        <v>2216</v>
      </c>
      <c r="M161" t="s">
        <v>2217</v>
      </c>
      <c r="O161" t="s">
        <v>6473</v>
      </c>
      <c r="P161" t="s">
        <v>1094</v>
      </c>
      <c r="Q161" t="s">
        <v>790</v>
      </c>
      <c r="T161" t="s">
        <v>319</v>
      </c>
      <c r="U161" t="s">
        <v>3417</v>
      </c>
      <c r="W161">
        <v>21384</v>
      </c>
      <c r="X161">
        <v>28512</v>
      </c>
      <c r="Z161">
        <v>60</v>
      </c>
      <c r="AA161" s="31">
        <v>45723</v>
      </c>
      <c r="AB161" s="61">
        <v>0.41721064814814812</v>
      </c>
      <c r="AC161" t="s">
        <v>795</v>
      </c>
      <c r="AD161" s="31">
        <v>45783</v>
      </c>
      <c r="AE161" s="61">
        <v>0.50687499999999996</v>
      </c>
      <c r="AF161" t="s">
        <v>934</v>
      </c>
      <c r="AH161" t="s">
        <v>3737</v>
      </c>
      <c r="AI161" t="s">
        <v>3738</v>
      </c>
      <c r="AQ161">
        <v>1</v>
      </c>
    </row>
    <row r="162" spans="1:43" hidden="1" x14ac:dyDescent="0.3">
      <c r="A162" t="s">
        <v>31</v>
      </c>
      <c r="B162">
        <v>288</v>
      </c>
      <c r="C162">
        <v>194</v>
      </c>
      <c r="D162">
        <v>1766</v>
      </c>
      <c r="G162" t="s">
        <v>3739</v>
      </c>
      <c r="H162">
        <v>44580314000186</v>
      </c>
      <c r="I162" t="s">
        <v>3682</v>
      </c>
      <c r="J162" t="s">
        <v>4411</v>
      </c>
      <c r="K162" t="s">
        <v>3684</v>
      </c>
      <c r="M162" t="s">
        <v>3685</v>
      </c>
      <c r="O162" t="s">
        <v>6469</v>
      </c>
      <c r="P162" t="s">
        <v>3687</v>
      </c>
      <c r="Q162" t="s">
        <v>790</v>
      </c>
      <c r="T162" t="s">
        <v>319</v>
      </c>
      <c r="U162" t="s">
        <v>816</v>
      </c>
      <c r="W162">
        <v>9720</v>
      </c>
      <c r="X162">
        <v>0</v>
      </c>
      <c r="Z162">
        <v>0</v>
      </c>
      <c r="AA162" s="31">
        <v>45728</v>
      </c>
      <c r="AB162" s="61">
        <v>0.40008101851851852</v>
      </c>
      <c r="AC162" t="s">
        <v>818</v>
      </c>
      <c r="AD162" s="31">
        <v>45728</v>
      </c>
      <c r="AE162" s="61">
        <v>0.40126157407407409</v>
      </c>
      <c r="AH162" t="s">
        <v>3740</v>
      </c>
      <c r="AQ162">
        <v>1</v>
      </c>
    </row>
    <row r="163" spans="1:43" hidden="1" x14ac:dyDescent="0.3">
      <c r="A163" t="s">
        <v>31</v>
      </c>
      <c r="B163">
        <v>289</v>
      </c>
      <c r="C163">
        <v>169</v>
      </c>
      <c r="D163">
        <v>1903</v>
      </c>
      <c r="G163" t="s">
        <v>3741</v>
      </c>
      <c r="H163">
        <v>11458315000101</v>
      </c>
      <c r="I163" t="s">
        <v>3465</v>
      </c>
      <c r="J163" t="s">
        <v>6474</v>
      </c>
      <c r="K163" t="s">
        <v>3467</v>
      </c>
      <c r="M163" t="s">
        <v>3468</v>
      </c>
      <c r="O163" t="s">
        <v>6442</v>
      </c>
      <c r="P163" t="s">
        <v>3470</v>
      </c>
      <c r="Q163" t="s">
        <v>790</v>
      </c>
      <c r="T163" t="s">
        <v>319</v>
      </c>
      <c r="U163" t="s">
        <v>3417</v>
      </c>
      <c r="W163">
        <v>4015</v>
      </c>
      <c r="X163">
        <v>0</v>
      </c>
      <c r="Z163">
        <v>5</v>
      </c>
      <c r="AA163" s="31">
        <v>45728</v>
      </c>
      <c r="AB163" s="61">
        <v>0.64027777777777772</v>
      </c>
      <c r="AC163" t="s">
        <v>795</v>
      </c>
      <c r="AD163" s="31">
        <v>45733</v>
      </c>
      <c r="AE163" s="61">
        <v>0.48651620370370369</v>
      </c>
      <c r="AF163" t="s">
        <v>867</v>
      </c>
      <c r="AH163" t="s">
        <v>3740</v>
      </c>
      <c r="AQ163">
        <v>1</v>
      </c>
    </row>
    <row r="164" spans="1:43" hidden="1" x14ac:dyDescent="0.3">
      <c r="A164" t="s">
        <v>31</v>
      </c>
      <c r="B164">
        <v>290</v>
      </c>
      <c r="C164">
        <v>187</v>
      </c>
      <c r="D164">
        <v>1884</v>
      </c>
      <c r="G164" t="s">
        <v>3743</v>
      </c>
      <c r="H164">
        <v>17063632000105</v>
      </c>
      <c r="I164" t="s">
        <v>3631</v>
      </c>
      <c r="J164" t="s">
        <v>3712</v>
      </c>
      <c r="K164" t="s">
        <v>3713</v>
      </c>
      <c r="M164" t="s">
        <v>3634</v>
      </c>
      <c r="O164" t="s">
        <v>6464</v>
      </c>
      <c r="P164" t="s">
        <v>3636</v>
      </c>
      <c r="Q164" t="s">
        <v>1699</v>
      </c>
      <c r="T164" t="s">
        <v>319</v>
      </c>
      <c r="U164" t="s">
        <v>816</v>
      </c>
      <c r="W164">
        <v>16800</v>
      </c>
      <c r="X164">
        <v>0</v>
      </c>
      <c r="Z164">
        <v>75</v>
      </c>
      <c r="AA164" s="31">
        <v>45728</v>
      </c>
      <c r="AB164" s="61">
        <v>0.72614583333333338</v>
      </c>
      <c r="AC164" t="s">
        <v>795</v>
      </c>
      <c r="AD164" s="31">
        <v>45803</v>
      </c>
      <c r="AE164" s="61">
        <v>0.80439814814814814</v>
      </c>
      <c r="AF164" t="s">
        <v>796</v>
      </c>
      <c r="AH164" t="s">
        <v>3740</v>
      </c>
      <c r="AI164" t="s">
        <v>1364</v>
      </c>
      <c r="AQ164">
        <v>1</v>
      </c>
    </row>
    <row r="165" spans="1:43" hidden="1" x14ac:dyDescent="0.3">
      <c r="A165" t="s">
        <v>31</v>
      </c>
      <c r="B165">
        <v>292</v>
      </c>
      <c r="C165">
        <v>198</v>
      </c>
      <c r="D165">
        <v>1905</v>
      </c>
      <c r="G165" t="s">
        <v>3744</v>
      </c>
      <c r="H165">
        <v>6014742000152</v>
      </c>
      <c r="I165" t="s">
        <v>3745</v>
      </c>
      <c r="J165" t="s">
        <v>1974</v>
      </c>
      <c r="K165" t="s">
        <v>3746</v>
      </c>
      <c r="M165" t="s">
        <v>3747</v>
      </c>
      <c r="O165" t="s">
        <v>6475</v>
      </c>
      <c r="P165" t="s">
        <v>1837</v>
      </c>
      <c r="Q165" t="s">
        <v>790</v>
      </c>
      <c r="T165" t="s">
        <v>319</v>
      </c>
      <c r="U165" t="s">
        <v>3417</v>
      </c>
      <c r="W165">
        <v>28512</v>
      </c>
      <c r="X165">
        <v>32076</v>
      </c>
      <c r="Z165">
        <v>6</v>
      </c>
      <c r="AA165" s="31">
        <v>45730</v>
      </c>
      <c r="AB165" s="61">
        <v>0.62114583333333329</v>
      </c>
      <c r="AC165" t="s">
        <v>795</v>
      </c>
      <c r="AD165" s="31">
        <v>45736</v>
      </c>
      <c r="AE165" s="61">
        <v>0.43630787037037039</v>
      </c>
      <c r="AF165" t="s">
        <v>796</v>
      </c>
      <c r="AH165" t="s">
        <v>3737</v>
      </c>
      <c r="AQ165">
        <v>1</v>
      </c>
    </row>
    <row r="166" spans="1:43" hidden="1" x14ac:dyDescent="0.3">
      <c r="A166" t="s">
        <v>31</v>
      </c>
      <c r="B166">
        <v>296</v>
      </c>
      <c r="C166">
        <v>199</v>
      </c>
      <c r="D166">
        <v>1910</v>
      </c>
      <c r="G166" t="s">
        <v>3749</v>
      </c>
      <c r="H166">
        <v>50963243000101</v>
      </c>
      <c r="I166" t="s">
        <v>3750</v>
      </c>
      <c r="J166" t="s">
        <v>3751</v>
      </c>
      <c r="K166" t="s">
        <v>3752</v>
      </c>
      <c r="M166" t="s">
        <v>3753</v>
      </c>
      <c r="O166" t="s">
        <v>6476</v>
      </c>
      <c r="P166" t="s">
        <v>1094</v>
      </c>
      <c r="Q166" t="s">
        <v>790</v>
      </c>
      <c r="T166" t="s">
        <v>319</v>
      </c>
      <c r="U166" t="s">
        <v>816</v>
      </c>
      <c r="W166">
        <v>756</v>
      </c>
      <c r="X166">
        <v>0</v>
      </c>
      <c r="Z166">
        <v>0</v>
      </c>
      <c r="AA166" s="31">
        <v>45733</v>
      </c>
      <c r="AB166" s="61">
        <v>0.66232638888888884</v>
      </c>
      <c r="AC166" t="s">
        <v>818</v>
      </c>
      <c r="AD166" s="31">
        <v>45733</v>
      </c>
      <c r="AE166" s="61">
        <v>0.71744212962962961</v>
      </c>
      <c r="AH166" t="s">
        <v>1503</v>
      </c>
      <c r="AI166" t="s">
        <v>1503</v>
      </c>
      <c r="AQ166">
        <v>1</v>
      </c>
    </row>
    <row r="167" spans="1:43" hidden="1" x14ac:dyDescent="0.3">
      <c r="A167" t="s">
        <v>31</v>
      </c>
      <c r="B167">
        <v>297</v>
      </c>
      <c r="C167">
        <v>110</v>
      </c>
      <c r="D167">
        <v>1912</v>
      </c>
      <c r="G167" t="s">
        <v>3755</v>
      </c>
      <c r="I167" t="s">
        <v>629</v>
      </c>
      <c r="J167" t="s">
        <v>1239</v>
      </c>
      <c r="K167" t="s">
        <v>3756</v>
      </c>
      <c r="M167" t="s">
        <v>3325</v>
      </c>
      <c r="T167" t="s">
        <v>319</v>
      </c>
      <c r="U167" t="s">
        <v>816</v>
      </c>
      <c r="W167">
        <v>294415</v>
      </c>
      <c r="X167">
        <v>0</v>
      </c>
      <c r="Z167">
        <v>2</v>
      </c>
      <c r="AA167" s="31">
        <v>45734</v>
      </c>
      <c r="AB167" s="61">
        <v>0.40950231481481481</v>
      </c>
      <c r="AC167" t="s">
        <v>818</v>
      </c>
      <c r="AD167" s="31">
        <v>45736</v>
      </c>
      <c r="AE167" s="61">
        <v>0.65533564814814815</v>
      </c>
      <c r="AH167" t="s">
        <v>3757</v>
      </c>
      <c r="AQ167">
        <v>1</v>
      </c>
    </row>
    <row r="168" spans="1:43" hidden="1" x14ac:dyDescent="0.3">
      <c r="A168" t="s">
        <v>31</v>
      </c>
      <c r="B168">
        <v>299</v>
      </c>
      <c r="C168">
        <v>187</v>
      </c>
      <c r="D168">
        <v>1914</v>
      </c>
      <c r="G168" t="s">
        <v>3758</v>
      </c>
      <c r="H168">
        <v>17063632000105</v>
      </c>
      <c r="I168" t="s">
        <v>3631</v>
      </c>
      <c r="J168" t="s">
        <v>3759</v>
      </c>
      <c r="K168" t="s">
        <v>3633</v>
      </c>
      <c r="M168" t="s">
        <v>3634</v>
      </c>
      <c r="O168" t="s">
        <v>6464</v>
      </c>
      <c r="P168" t="s">
        <v>3636</v>
      </c>
      <c r="Q168" t="s">
        <v>1699</v>
      </c>
      <c r="T168" t="s">
        <v>319</v>
      </c>
      <c r="U168" t="s">
        <v>3417</v>
      </c>
      <c r="W168">
        <v>630</v>
      </c>
      <c r="X168">
        <v>7128</v>
      </c>
      <c r="Z168">
        <v>16</v>
      </c>
      <c r="AA168" s="31">
        <v>45735</v>
      </c>
      <c r="AB168" s="61">
        <v>0.45504629629629628</v>
      </c>
      <c r="AC168" t="s">
        <v>795</v>
      </c>
      <c r="AD168" s="31">
        <v>45751</v>
      </c>
      <c r="AE168" s="61">
        <v>0.44026620370370367</v>
      </c>
      <c r="AF168" t="s">
        <v>867</v>
      </c>
      <c r="AH168" t="s">
        <v>3760</v>
      </c>
      <c r="AI168" t="s">
        <v>1503</v>
      </c>
      <c r="AQ168">
        <v>1</v>
      </c>
    </row>
    <row r="169" spans="1:43" hidden="1" x14ac:dyDescent="0.3">
      <c r="A169" t="s">
        <v>31</v>
      </c>
      <c r="B169">
        <v>300</v>
      </c>
      <c r="C169">
        <v>171</v>
      </c>
      <c r="D169">
        <v>1915</v>
      </c>
      <c r="G169" t="s">
        <v>3761</v>
      </c>
      <c r="H169">
        <v>39955762000187</v>
      </c>
      <c r="I169" t="s">
        <v>3484</v>
      </c>
      <c r="J169" t="s">
        <v>3664</v>
      </c>
      <c r="K169" t="s">
        <v>3665</v>
      </c>
      <c r="M169" t="s">
        <v>3487</v>
      </c>
      <c r="O169" t="s">
        <v>6445</v>
      </c>
      <c r="P169" t="s">
        <v>1094</v>
      </c>
      <c r="Q169" t="s">
        <v>790</v>
      </c>
      <c r="T169" t="s">
        <v>319</v>
      </c>
      <c r="U169" t="s">
        <v>816</v>
      </c>
      <c r="W169">
        <v>491408</v>
      </c>
      <c r="X169">
        <v>0</v>
      </c>
      <c r="Z169">
        <v>1</v>
      </c>
      <c r="AA169" s="31">
        <v>45735</v>
      </c>
      <c r="AB169" s="61">
        <v>0.62850694444444444</v>
      </c>
      <c r="AC169" t="s">
        <v>818</v>
      </c>
      <c r="AD169" s="31">
        <v>45736</v>
      </c>
      <c r="AE169" s="61">
        <v>0.6549652777777778</v>
      </c>
      <c r="AH169" t="s">
        <v>3760</v>
      </c>
      <c r="AQ169">
        <v>1</v>
      </c>
    </row>
    <row r="170" spans="1:43" hidden="1" x14ac:dyDescent="0.3">
      <c r="A170" t="s">
        <v>31</v>
      </c>
      <c r="B170">
        <v>302</v>
      </c>
      <c r="C170">
        <v>200</v>
      </c>
      <c r="D170">
        <v>1918</v>
      </c>
      <c r="G170" t="s">
        <v>3762</v>
      </c>
      <c r="H170">
        <v>8933028000193</v>
      </c>
      <c r="I170" t="s">
        <v>3763</v>
      </c>
      <c r="J170" t="s">
        <v>3764</v>
      </c>
      <c r="K170" t="s">
        <v>3765</v>
      </c>
      <c r="O170" t="s">
        <v>6477</v>
      </c>
      <c r="P170" t="s">
        <v>3767</v>
      </c>
      <c r="Q170" t="s">
        <v>1699</v>
      </c>
      <c r="T170" t="s">
        <v>319</v>
      </c>
      <c r="U170" t="s">
        <v>3417</v>
      </c>
      <c r="W170">
        <v>4212</v>
      </c>
      <c r="X170">
        <v>3564</v>
      </c>
      <c r="Z170">
        <v>5</v>
      </c>
      <c r="AA170" s="31">
        <v>45737</v>
      </c>
      <c r="AB170" s="61">
        <v>0.70013888888888887</v>
      </c>
      <c r="AC170" t="s">
        <v>795</v>
      </c>
      <c r="AD170" s="31">
        <v>45742</v>
      </c>
      <c r="AE170" s="61">
        <v>0.69468750000000001</v>
      </c>
      <c r="AF170" t="s">
        <v>796</v>
      </c>
      <c r="AH170" t="s">
        <v>3768</v>
      </c>
      <c r="AQ170">
        <v>1</v>
      </c>
    </row>
    <row r="171" spans="1:43" hidden="1" x14ac:dyDescent="0.3">
      <c r="A171" t="s">
        <v>31</v>
      </c>
      <c r="B171">
        <v>306</v>
      </c>
      <c r="C171">
        <v>201</v>
      </c>
      <c r="D171">
        <v>1925</v>
      </c>
      <c r="G171" t="s">
        <v>3769</v>
      </c>
      <c r="H171">
        <v>5291214000188</v>
      </c>
      <c r="I171" t="s">
        <v>3770</v>
      </c>
      <c r="J171" t="s">
        <v>1540</v>
      </c>
      <c r="K171" t="s">
        <v>3771</v>
      </c>
      <c r="M171" t="s">
        <v>3772</v>
      </c>
      <c r="O171" t="s">
        <v>6478</v>
      </c>
      <c r="P171" t="s">
        <v>3774</v>
      </c>
      <c r="Q171" t="s">
        <v>1105</v>
      </c>
      <c r="T171" t="s">
        <v>319</v>
      </c>
      <c r="U171" t="s">
        <v>816</v>
      </c>
      <c r="W171">
        <v>415052</v>
      </c>
      <c r="X171">
        <v>30294</v>
      </c>
      <c r="Z171">
        <v>121</v>
      </c>
      <c r="AA171" s="31">
        <v>45742</v>
      </c>
      <c r="AB171" s="61">
        <v>0.65071759259259254</v>
      </c>
      <c r="AC171" t="s">
        <v>818</v>
      </c>
      <c r="AD171" s="31">
        <v>45751</v>
      </c>
      <c r="AE171" s="61">
        <v>0.44199074074074068</v>
      </c>
      <c r="AG171">
        <v>0</v>
      </c>
      <c r="AH171" t="s">
        <v>1885</v>
      </c>
      <c r="AI171" t="s">
        <v>1885</v>
      </c>
      <c r="AQ171">
        <v>1</v>
      </c>
    </row>
    <row r="172" spans="1:43" hidden="1" x14ac:dyDescent="0.3">
      <c r="A172" t="s">
        <v>31</v>
      </c>
      <c r="B172">
        <v>307</v>
      </c>
      <c r="C172">
        <v>113</v>
      </c>
      <c r="D172">
        <v>1926</v>
      </c>
      <c r="G172" t="s">
        <v>3775</v>
      </c>
      <c r="I172" t="s">
        <v>65</v>
      </c>
      <c r="J172" t="s">
        <v>1252</v>
      </c>
      <c r="K172" t="s">
        <v>3472</v>
      </c>
      <c r="M172" t="s">
        <v>3329</v>
      </c>
      <c r="T172" t="s">
        <v>319</v>
      </c>
      <c r="U172" t="s">
        <v>3417</v>
      </c>
      <c r="W172">
        <v>1600</v>
      </c>
      <c r="X172">
        <v>1122183</v>
      </c>
      <c r="Z172">
        <v>69</v>
      </c>
      <c r="AA172" s="31">
        <v>45742</v>
      </c>
      <c r="AB172" s="61">
        <v>0.65554398148148152</v>
      </c>
      <c r="AC172" t="s">
        <v>795</v>
      </c>
      <c r="AD172" s="31">
        <v>45811</v>
      </c>
      <c r="AE172" s="61">
        <v>0.65164351851851854</v>
      </c>
      <c r="AF172" t="s">
        <v>796</v>
      </c>
      <c r="AH172" t="s">
        <v>3776</v>
      </c>
      <c r="AQ172">
        <v>1</v>
      </c>
    </row>
    <row r="173" spans="1:43" hidden="1" x14ac:dyDescent="0.3">
      <c r="A173" t="s">
        <v>31</v>
      </c>
      <c r="B173">
        <v>308</v>
      </c>
      <c r="C173">
        <v>202</v>
      </c>
      <c r="D173">
        <v>1927</v>
      </c>
      <c r="G173" t="s">
        <v>3777</v>
      </c>
      <c r="H173">
        <v>16939440000149</v>
      </c>
      <c r="I173" t="s">
        <v>3778</v>
      </c>
      <c r="J173" t="s">
        <v>707</v>
      </c>
      <c r="K173" t="s">
        <v>3779</v>
      </c>
      <c r="M173" t="s">
        <v>3780</v>
      </c>
      <c r="O173" t="s">
        <v>6479</v>
      </c>
      <c r="P173" t="s">
        <v>3782</v>
      </c>
      <c r="Q173" t="s">
        <v>790</v>
      </c>
      <c r="T173" t="s">
        <v>319</v>
      </c>
      <c r="U173" t="s">
        <v>816</v>
      </c>
      <c r="W173">
        <v>299691</v>
      </c>
      <c r="X173">
        <v>0</v>
      </c>
      <c r="Z173">
        <v>2</v>
      </c>
      <c r="AA173" s="31">
        <v>45742</v>
      </c>
      <c r="AB173" s="61">
        <v>0.69520833333333332</v>
      </c>
      <c r="AC173" t="s">
        <v>818</v>
      </c>
      <c r="AD173" s="31">
        <v>45744</v>
      </c>
      <c r="AE173" s="61">
        <v>0.61129629629629634</v>
      </c>
      <c r="AH173" t="s">
        <v>3776</v>
      </c>
      <c r="AQ173">
        <v>1</v>
      </c>
    </row>
    <row r="174" spans="1:43" hidden="1" x14ac:dyDescent="0.3">
      <c r="A174" t="s">
        <v>31</v>
      </c>
      <c r="B174">
        <v>309</v>
      </c>
      <c r="C174">
        <v>115</v>
      </c>
      <c r="D174">
        <v>1928</v>
      </c>
      <c r="G174" t="s">
        <v>3783</v>
      </c>
      <c r="I174" t="s">
        <v>3333</v>
      </c>
      <c r="J174" t="s">
        <v>1474</v>
      </c>
      <c r="K174" t="s">
        <v>3526</v>
      </c>
      <c r="M174" t="s">
        <v>3334</v>
      </c>
      <c r="T174" t="s">
        <v>319</v>
      </c>
      <c r="U174" t="s">
        <v>3417</v>
      </c>
      <c r="Z174">
        <v>40</v>
      </c>
      <c r="AA174" s="31">
        <v>45742</v>
      </c>
      <c r="AB174" s="61">
        <v>0.7003935185185185</v>
      </c>
      <c r="AC174" t="s">
        <v>795</v>
      </c>
      <c r="AD174" s="31">
        <v>45782</v>
      </c>
      <c r="AE174" s="61">
        <v>0.66651620370370368</v>
      </c>
      <c r="AF174" t="s">
        <v>934</v>
      </c>
      <c r="AH174" t="s">
        <v>3724</v>
      </c>
      <c r="AQ174">
        <v>1</v>
      </c>
    </row>
    <row r="175" spans="1:43" hidden="1" x14ac:dyDescent="0.3">
      <c r="A175" t="s">
        <v>31</v>
      </c>
      <c r="B175">
        <v>312</v>
      </c>
      <c r="C175">
        <v>197</v>
      </c>
      <c r="D175">
        <v>1943</v>
      </c>
      <c r="G175" t="s">
        <v>3784</v>
      </c>
      <c r="H175">
        <v>8616236000169</v>
      </c>
      <c r="I175" t="s">
        <v>3726</v>
      </c>
      <c r="J175" t="s">
        <v>704</v>
      </c>
      <c r="K175" t="s">
        <v>3785</v>
      </c>
      <c r="M175" t="s">
        <v>3728</v>
      </c>
      <c r="O175" t="s">
        <v>6472</v>
      </c>
      <c r="P175" t="s">
        <v>3687</v>
      </c>
      <c r="Q175" t="s">
        <v>790</v>
      </c>
      <c r="T175" t="s">
        <v>319</v>
      </c>
      <c r="U175" t="s">
        <v>3417</v>
      </c>
      <c r="Z175">
        <v>5</v>
      </c>
      <c r="AA175" s="31">
        <v>45743</v>
      </c>
      <c r="AB175" s="61">
        <v>0.65775462962962961</v>
      </c>
      <c r="AC175" t="s">
        <v>795</v>
      </c>
      <c r="AD175" s="31">
        <v>45748</v>
      </c>
      <c r="AE175" s="61">
        <v>0.4075347222222222</v>
      </c>
      <c r="AF175" t="s">
        <v>934</v>
      </c>
      <c r="AH175" t="s">
        <v>3724</v>
      </c>
      <c r="AQ175">
        <v>1</v>
      </c>
    </row>
    <row r="176" spans="1:43" hidden="1" x14ac:dyDescent="0.3">
      <c r="A176" t="s">
        <v>31</v>
      </c>
      <c r="B176">
        <v>320</v>
      </c>
      <c r="C176">
        <v>183</v>
      </c>
      <c r="D176">
        <v>1959</v>
      </c>
      <c r="G176" t="s">
        <v>3786</v>
      </c>
      <c r="H176">
        <v>3204281000192</v>
      </c>
      <c r="I176" t="s">
        <v>3594</v>
      </c>
      <c r="J176" t="s">
        <v>3787</v>
      </c>
      <c r="K176" t="s">
        <v>3596</v>
      </c>
      <c r="M176" t="s">
        <v>2617</v>
      </c>
      <c r="O176" t="s">
        <v>6459</v>
      </c>
      <c r="P176" t="s">
        <v>2618</v>
      </c>
      <c r="Q176" t="s">
        <v>790</v>
      </c>
      <c r="T176" t="s">
        <v>319</v>
      </c>
      <c r="U176" t="s">
        <v>816</v>
      </c>
      <c r="W176">
        <v>2730</v>
      </c>
      <c r="X176">
        <v>0</v>
      </c>
      <c r="Z176">
        <v>0</v>
      </c>
      <c r="AA176" s="31">
        <v>45747</v>
      </c>
      <c r="AB176" s="61">
        <v>0.49092592592592588</v>
      </c>
      <c r="AC176" t="s">
        <v>818</v>
      </c>
      <c r="AD176" s="31">
        <v>45747</v>
      </c>
      <c r="AE176" s="61">
        <v>0.50187499999999996</v>
      </c>
      <c r="AH176" t="s">
        <v>3788</v>
      </c>
      <c r="AI176" t="s">
        <v>3789</v>
      </c>
      <c r="AQ176">
        <v>1</v>
      </c>
    </row>
    <row r="177" spans="1:43" hidden="1" x14ac:dyDescent="0.3">
      <c r="A177" t="s">
        <v>31</v>
      </c>
      <c r="B177">
        <v>324</v>
      </c>
      <c r="C177">
        <v>203</v>
      </c>
      <c r="D177">
        <v>1965</v>
      </c>
      <c r="G177" t="s">
        <v>3790</v>
      </c>
      <c r="H177">
        <v>11806036000183</v>
      </c>
      <c r="I177" t="s">
        <v>3791</v>
      </c>
      <c r="J177" t="s">
        <v>2600</v>
      </c>
      <c r="K177" t="s">
        <v>3792</v>
      </c>
      <c r="M177" t="s">
        <v>3793</v>
      </c>
      <c r="O177" t="s">
        <v>6480</v>
      </c>
      <c r="P177" t="s">
        <v>3636</v>
      </c>
      <c r="Q177" t="s">
        <v>1699</v>
      </c>
      <c r="T177" t="s">
        <v>319</v>
      </c>
      <c r="U177" t="s">
        <v>3417</v>
      </c>
      <c r="W177">
        <v>26200</v>
      </c>
      <c r="X177">
        <v>3400</v>
      </c>
      <c r="Z177">
        <v>6</v>
      </c>
      <c r="AA177" s="31">
        <v>45748</v>
      </c>
      <c r="AB177" s="61">
        <v>0.40835648148148151</v>
      </c>
      <c r="AC177" t="s">
        <v>795</v>
      </c>
      <c r="AD177" s="31">
        <v>45754</v>
      </c>
      <c r="AE177" s="61">
        <v>0.4082175925925926</v>
      </c>
      <c r="AF177" t="s">
        <v>1358</v>
      </c>
      <c r="AH177" t="s">
        <v>3795</v>
      </c>
      <c r="AI177" t="s">
        <v>3795</v>
      </c>
      <c r="AQ177">
        <v>1</v>
      </c>
    </row>
    <row r="178" spans="1:43" hidden="1" x14ac:dyDescent="0.3">
      <c r="A178" t="s">
        <v>31</v>
      </c>
      <c r="B178">
        <v>325</v>
      </c>
      <c r="C178">
        <v>186</v>
      </c>
      <c r="D178">
        <v>1967</v>
      </c>
      <c r="G178" t="s">
        <v>3796</v>
      </c>
      <c r="H178">
        <v>10899939000193</v>
      </c>
      <c r="I178" t="s">
        <v>3625</v>
      </c>
      <c r="J178" t="s">
        <v>704</v>
      </c>
      <c r="K178" t="s">
        <v>3626</v>
      </c>
      <c r="M178" t="s">
        <v>3627</v>
      </c>
      <c r="O178" t="s">
        <v>6463</v>
      </c>
      <c r="P178" t="s">
        <v>3629</v>
      </c>
      <c r="Q178" t="s">
        <v>932</v>
      </c>
      <c r="T178" t="s">
        <v>319</v>
      </c>
      <c r="U178" t="s">
        <v>816</v>
      </c>
      <c r="W178">
        <v>1701</v>
      </c>
      <c r="X178">
        <v>0</v>
      </c>
      <c r="Z178">
        <v>66</v>
      </c>
      <c r="AA178" s="31">
        <v>45748</v>
      </c>
      <c r="AB178" s="61">
        <v>0.41013888888888889</v>
      </c>
      <c r="AC178" t="s">
        <v>818</v>
      </c>
      <c r="AD178" s="31">
        <v>45814</v>
      </c>
      <c r="AE178" s="61">
        <v>0.39609953703703699</v>
      </c>
      <c r="AH178" t="s">
        <v>3795</v>
      </c>
      <c r="AQ178">
        <v>1</v>
      </c>
    </row>
    <row r="179" spans="1:43" hidden="1" x14ac:dyDescent="0.3">
      <c r="A179" t="s">
        <v>31</v>
      </c>
      <c r="B179">
        <v>326</v>
      </c>
      <c r="C179">
        <v>76</v>
      </c>
      <c r="D179">
        <v>1968</v>
      </c>
      <c r="G179" t="s">
        <v>3797</v>
      </c>
      <c r="I179" t="s">
        <v>225</v>
      </c>
      <c r="J179" t="s">
        <v>1115</v>
      </c>
      <c r="K179" t="s">
        <v>3623</v>
      </c>
      <c r="M179" t="s">
        <v>3233</v>
      </c>
      <c r="P179" t="s">
        <v>3234</v>
      </c>
      <c r="Q179" t="s">
        <v>1699</v>
      </c>
      <c r="T179" t="s">
        <v>319</v>
      </c>
      <c r="U179" t="s">
        <v>3606</v>
      </c>
      <c r="Z179">
        <v>50</v>
      </c>
      <c r="AA179" s="31">
        <v>45748</v>
      </c>
      <c r="AB179" s="61">
        <v>0.41334490740740742</v>
      </c>
      <c r="AC179" t="s">
        <v>795</v>
      </c>
      <c r="AD179" s="31">
        <v>45798</v>
      </c>
      <c r="AE179" s="61">
        <v>0.53116898148148151</v>
      </c>
      <c r="AF179" t="s">
        <v>934</v>
      </c>
      <c r="AH179" t="s">
        <v>3798</v>
      </c>
      <c r="AI179" t="s">
        <v>3798</v>
      </c>
      <c r="AQ179">
        <v>1</v>
      </c>
    </row>
    <row r="180" spans="1:43" hidden="1" x14ac:dyDescent="0.3">
      <c r="A180" t="s">
        <v>31</v>
      </c>
      <c r="B180">
        <v>327</v>
      </c>
      <c r="C180">
        <v>187</v>
      </c>
      <c r="D180">
        <v>1969</v>
      </c>
      <c r="G180" t="s">
        <v>6481</v>
      </c>
      <c r="H180">
        <v>17063632000105</v>
      </c>
      <c r="I180" t="s">
        <v>3631</v>
      </c>
      <c r="J180" t="s">
        <v>3800</v>
      </c>
      <c r="K180" t="s">
        <v>3633</v>
      </c>
      <c r="M180" t="s">
        <v>3634</v>
      </c>
      <c r="O180" t="s">
        <v>6464</v>
      </c>
      <c r="P180" t="s">
        <v>3636</v>
      </c>
      <c r="Q180" t="s">
        <v>1699</v>
      </c>
      <c r="T180" t="s">
        <v>319</v>
      </c>
      <c r="U180" t="s">
        <v>3417</v>
      </c>
      <c r="W180">
        <v>3360</v>
      </c>
      <c r="X180">
        <v>0</v>
      </c>
      <c r="Z180">
        <v>52</v>
      </c>
      <c r="AA180" s="31">
        <v>45748</v>
      </c>
      <c r="AB180" s="61">
        <v>0.47216435185185179</v>
      </c>
      <c r="AC180" t="s">
        <v>795</v>
      </c>
      <c r="AD180" s="31">
        <v>45800</v>
      </c>
      <c r="AE180" s="61">
        <v>0.5276967592592593</v>
      </c>
      <c r="AF180" t="s">
        <v>934</v>
      </c>
      <c r="AH180" t="s">
        <v>3795</v>
      </c>
      <c r="AQ180">
        <v>1</v>
      </c>
    </row>
    <row r="181" spans="1:43" hidden="1" x14ac:dyDescent="0.3">
      <c r="A181" t="s">
        <v>31</v>
      </c>
      <c r="B181">
        <v>329</v>
      </c>
      <c r="C181">
        <v>182</v>
      </c>
      <c r="D181">
        <v>1973</v>
      </c>
      <c r="G181" t="s">
        <v>3801</v>
      </c>
      <c r="H181">
        <v>23873456000161</v>
      </c>
      <c r="I181" t="s">
        <v>3573</v>
      </c>
      <c r="J181" t="s">
        <v>3574</v>
      </c>
      <c r="K181" t="s">
        <v>3575</v>
      </c>
      <c r="M181" t="s">
        <v>3576</v>
      </c>
      <c r="O181" t="s">
        <v>6457</v>
      </c>
      <c r="P181" t="s">
        <v>1837</v>
      </c>
      <c r="Q181" t="s">
        <v>790</v>
      </c>
      <c r="T181" t="s">
        <v>319</v>
      </c>
      <c r="U181" t="s">
        <v>3417</v>
      </c>
      <c r="Z181">
        <v>33</v>
      </c>
      <c r="AA181" s="31">
        <v>45749</v>
      </c>
      <c r="AB181" s="61">
        <v>0.48545138888888889</v>
      </c>
      <c r="AC181" t="s">
        <v>795</v>
      </c>
      <c r="AD181" s="31">
        <v>45782</v>
      </c>
      <c r="AE181" s="61">
        <v>0.66695601851851849</v>
      </c>
      <c r="AF181" t="s">
        <v>934</v>
      </c>
      <c r="AH181" t="s">
        <v>1543</v>
      </c>
      <c r="AQ181">
        <v>1</v>
      </c>
    </row>
    <row r="182" spans="1:43" hidden="1" x14ac:dyDescent="0.3">
      <c r="A182" t="s">
        <v>31</v>
      </c>
      <c r="B182">
        <v>330</v>
      </c>
      <c r="C182">
        <v>197</v>
      </c>
      <c r="D182">
        <v>1974</v>
      </c>
      <c r="G182" t="s">
        <v>3803</v>
      </c>
      <c r="H182">
        <v>8616236000169</v>
      </c>
      <c r="I182" t="s">
        <v>3726</v>
      </c>
      <c r="J182" t="s">
        <v>704</v>
      </c>
      <c r="K182" t="s">
        <v>3727</v>
      </c>
      <c r="M182" t="s">
        <v>3728</v>
      </c>
      <c r="O182" t="s">
        <v>6472</v>
      </c>
      <c r="P182" t="s">
        <v>3687</v>
      </c>
      <c r="Q182" t="s">
        <v>790</v>
      </c>
      <c r="T182" t="s">
        <v>319</v>
      </c>
      <c r="U182" t="s">
        <v>816</v>
      </c>
      <c r="W182">
        <v>56880</v>
      </c>
      <c r="X182">
        <v>68904</v>
      </c>
      <c r="Z182">
        <v>60</v>
      </c>
      <c r="AA182" s="31">
        <v>45750</v>
      </c>
      <c r="AB182" s="61">
        <v>0.50753472222222218</v>
      </c>
      <c r="AC182" t="s">
        <v>818</v>
      </c>
      <c r="AD182" s="31">
        <v>45810</v>
      </c>
      <c r="AE182" s="61">
        <v>0.50966435185185188</v>
      </c>
      <c r="AH182" t="s">
        <v>3804</v>
      </c>
      <c r="AI182" t="s">
        <v>3804</v>
      </c>
      <c r="AQ182">
        <v>1</v>
      </c>
    </row>
    <row r="183" spans="1:43" hidden="1" x14ac:dyDescent="0.3">
      <c r="A183" t="s">
        <v>31</v>
      </c>
      <c r="B183">
        <v>331</v>
      </c>
      <c r="C183">
        <v>136</v>
      </c>
      <c r="D183">
        <v>1975</v>
      </c>
      <c r="G183" t="s">
        <v>3805</v>
      </c>
      <c r="I183" t="s">
        <v>3382</v>
      </c>
      <c r="J183" t="s">
        <v>704</v>
      </c>
      <c r="K183" t="s">
        <v>3806</v>
      </c>
      <c r="M183" t="s">
        <v>3384</v>
      </c>
      <c r="T183" t="s">
        <v>319</v>
      </c>
      <c r="U183" t="s">
        <v>3417</v>
      </c>
      <c r="W183">
        <v>24276</v>
      </c>
      <c r="X183">
        <v>0</v>
      </c>
      <c r="Z183">
        <v>20</v>
      </c>
      <c r="AA183" s="31">
        <v>45750</v>
      </c>
      <c r="AB183" s="61">
        <v>0.52722222222222226</v>
      </c>
      <c r="AC183" t="s">
        <v>795</v>
      </c>
      <c r="AD183" s="31">
        <v>45770</v>
      </c>
      <c r="AE183" s="61">
        <v>0.38817129629629632</v>
      </c>
      <c r="AF183" t="s">
        <v>934</v>
      </c>
      <c r="AH183" t="s">
        <v>3804</v>
      </c>
      <c r="AI183" t="s">
        <v>3804</v>
      </c>
      <c r="AQ183">
        <v>1</v>
      </c>
    </row>
    <row r="184" spans="1:43" hidden="1" x14ac:dyDescent="0.3">
      <c r="A184" t="s">
        <v>31</v>
      </c>
      <c r="B184">
        <v>332</v>
      </c>
      <c r="C184">
        <v>196</v>
      </c>
      <c r="D184">
        <v>1976</v>
      </c>
      <c r="G184" t="s">
        <v>3807</v>
      </c>
      <c r="H184">
        <v>32494222000102</v>
      </c>
      <c r="I184" t="s">
        <v>3715</v>
      </c>
      <c r="J184" t="s">
        <v>3808</v>
      </c>
      <c r="K184" t="s">
        <v>3717</v>
      </c>
      <c r="M184" t="s">
        <v>3718</v>
      </c>
      <c r="O184" t="s">
        <v>6471</v>
      </c>
      <c r="P184" t="s">
        <v>3720</v>
      </c>
      <c r="Q184" t="s">
        <v>790</v>
      </c>
      <c r="T184" t="s">
        <v>319</v>
      </c>
      <c r="U184" t="s">
        <v>816</v>
      </c>
      <c r="W184">
        <v>14200</v>
      </c>
      <c r="X184">
        <v>3564</v>
      </c>
      <c r="Z184">
        <v>63</v>
      </c>
      <c r="AA184" s="31">
        <v>45750</v>
      </c>
      <c r="AB184" s="61">
        <v>0.64652777777777781</v>
      </c>
      <c r="AC184" t="s">
        <v>795</v>
      </c>
      <c r="AD184" s="31">
        <v>45813</v>
      </c>
      <c r="AE184" s="61">
        <v>0.43116898148148147</v>
      </c>
      <c r="AF184" t="s">
        <v>934</v>
      </c>
      <c r="AH184" t="s">
        <v>1672</v>
      </c>
      <c r="AI184" t="s">
        <v>3809</v>
      </c>
      <c r="AQ184">
        <v>1</v>
      </c>
    </row>
    <row r="185" spans="1:43" hidden="1" x14ac:dyDescent="0.3">
      <c r="A185" t="s">
        <v>31</v>
      </c>
      <c r="B185">
        <v>335</v>
      </c>
      <c r="C185">
        <v>204</v>
      </c>
      <c r="D185">
        <v>1979</v>
      </c>
      <c r="G185" t="s">
        <v>3810</v>
      </c>
      <c r="H185">
        <v>33071847000116</v>
      </c>
      <c r="I185" t="s">
        <v>3811</v>
      </c>
      <c r="J185" t="s">
        <v>3812</v>
      </c>
      <c r="K185" t="s">
        <v>3813</v>
      </c>
      <c r="M185" t="s">
        <v>3814</v>
      </c>
      <c r="O185" t="s">
        <v>6482</v>
      </c>
      <c r="P185" t="s">
        <v>2589</v>
      </c>
      <c r="Q185" t="s">
        <v>790</v>
      </c>
      <c r="T185" t="s">
        <v>319</v>
      </c>
      <c r="U185" t="s">
        <v>816</v>
      </c>
      <c r="W185">
        <v>720</v>
      </c>
      <c r="X185">
        <v>0</v>
      </c>
      <c r="Z185">
        <v>0</v>
      </c>
      <c r="AA185" s="31">
        <v>45751</v>
      </c>
      <c r="AB185" s="61">
        <v>0.66421296296296295</v>
      </c>
      <c r="AC185" t="s">
        <v>818</v>
      </c>
      <c r="AD185" s="31">
        <v>45751</v>
      </c>
      <c r="AE185" s="61">
        <v>0.70851851851851855</v>
      </c>
      <c r="AH185" t="s">
        <v>1604</v>
      </c>
      <c r="AQ185">
        <v>1</v>
      </c>
    </row>
    <row r="186" spans="1:43" hidden="1" x14ac:dyDescent="0.3">
      <c r="A186" t="s">
        <v>31</v>
      </c>
      <c r="B186">
        <v>337</v>
      </c>
      <c r="C186">
        <v>185</v>
      </c>
      <c r="D186">
        <v>1982</v>
      </c>
      <c r="G186" t="s">
        <v>6483</v>
      </c>
      <c r="H186">
        <v>51496785000176</v>
      </c>
      <c r="I186" t="s">
        <v>3599</v>
      </c>
      <c r="J186" t="s">
        <v>3600</v>
      </c>
      <c r="K186" t="s">
        <v>3601</v>
      </c>
      <c r="M186" t="s">
        <v>3602</v>
      </c>
      <c r="O186" t="s">
        <v>6460</v>
      </c>
      <c r="P186" t="s">
        <v>847</v>
      </c>
      <c r="Q186" t="s">
        <v>848</v>
      </c>
      <c r="T186" t="s">
        <v>319</v>
      </c>
      <c r="U186" t="s">
        <v>3417</v>
      </c>
      <c r="W186">
        <v>420</v>
      </c>
      <c r="X186">
        <v>3564</v>
      </c>
      <c r="Z186">
        <v>10</v>
      </c>
      <c r="AA186" s="31">
        <v>45754</v>
      </c>
      <c r="AB186" s="61">
        <v>0.42759259259259258</v>
      </c>
      <c r="AC186" t="s">
        <v>795</v>
      </c>
      <c r="AD186" s="31">
        <v>45764</v>
      </c>
      <c r="AE186" s="61">
        <v>0.50528935185185186</v>
      </c>
      <c r="AF186" t="s">
        <v>867</v>
      </c>
      <c r="AH186" t="s">
        <v>1576</v>
      </c>
      <c r="AI186" t="s">
        <v>1603</v>
      </c>
      <c r="AQ186">
        <v>1</v>
      </c>
    </row>
    <row r="187" spans="1:43" hidden="1" x14ac:dyDescent="0.3">
      <c r="A187" t="s">
        <v>31</v>
      </c>
      <c r="B187">
        <v>339</v>
      </c>
      <c r="C187">
        <v>183</v>
      </c>
      <c r="D187">
        <v>1615</v>
      </c>
      <c r="G187" t="s">
        <v>6484</v>
      </c>
      <c r="H187">
        <v>3204281000192</v>
      </c>
      <c r="I187" t="s">
        <v>3594</v>
      </c>
      <c r="J187" t="s">
        <v>3595</v>
      </c>
      <c r="K187" t="s">
        <v>3596</v>
      </c>
      <c r="M187" t="s">
        <v>2617</v>
      </c>
      <c r="O187" t="s">
        <v>6459</v>
      </c>
      <c r="P187" t="s">
        <v>2618</v>
      </c>
      <c r="Q187" t="s">
        <v>790</v>
      </c>
      <c r="T187" t="s">
        <v>319</v>
      </c>
      <c r="U187" t="s">
        <v>816</v>
      </c>
      <c r="W187">
        <v>1890</v>
      </c>
      <c r="X187">
        <v>0</v>
      </c>
      <c r="Z187">
        <v>0</v>
      </c>
      <c r="AA187" s="31">
        <v>45755</v>
      </c>
      <c r="AB187" s="61">
        <v>0.64071759259259264</v>
      </c>
      <c r="AC187" t="s">
        <v>818</v>
      </c>
      <c r="AD187" s="31">
        <v>45755</v>
      </c>
      <c r="AE187" s="61">
        <v>0.65402777777777776</v>
      </c>
      <c r="AH187" t="s">
        <v>3798</v>
      </c>
      <c r="AQ187">
        <v>1</v>
      </c>
    </row>
    <row r="188" spans="1:43" hidden="1" x14ac:dyDescent="0.3">
      <c r="A188" t="s">
        <v>31</v>
      </c>
      <c r="B188">
        <v>340</v>
      </c>
      <c r="C188">
        <v>205</v>
      </c>
      <c r="D188">
        <v>1984</v>
      </c>
      <c r="G188" t="s">
        <v>6485</v>
      </c>
      <c r="H188">
        <v>57464109000105</v>
      </c>
      <c r="I188" t="s">
        <v>3819</v>
      </c>
      <c r="J188" t="s">
        <v>3820</v>
      </c>
      <c r="K188" t="s">
        <v>3821</v>
      </c>
      <c r="L188">
        <v>11984320025</v>
      </c>
      <c r="M188" t="s">
        <v>3822</v>
      </c>
      <c r="O188" t="s">
        <v>6486</v>
      </c>
      <c r="P188" t="s">
        <v>1094</v>
      </c>
      <c r="Q188" t="s">
        <v>790</v>
      </c>
      <c r="T188" t="s">
        <v>319</v>
      </c>
      <c r="U188" t="s">
        <v>3417</v>
      </c>
      <c r="W188">
        <v>3360</v>
      </c>
      <c r="X188">
        <v>7128</v>
      </c>
      <c r="Z188">
        <v>0</v>
      </c>
      <c r="AA188" s="31">
        <v>45755</v>
      </c>
      <c r="AB188" s="61">
        <v>0.65628472222222223</v>
      </c>
      <c r="AC188" t="s">
        <v>795</v>
      </c>
      <c r="AD188" s="31">
        <v>45755</v>
      </c>
      <c r="AE188" s="61">
        <v>0.694849537037037</v>
      </c>
      <c r="AF188" t="s">
        <v>867</v>
      </c>
      <c r="AH188" t="s">
        <v>3804</v>
      </c>
      <c r="AI188" t="s">
        <v>3804</v>
      </c>
      <c r="AQ188">
        <v>1</v>
      </c>
    </row>
    <row r="189" spans="1:43" hidden="1" x14ac:dyDescent="0.3">
      <c r="A189" t="s">
        <v>31</v>
      </c>
      <c r="B189">
        <v>341</v>
      </c>
      <c r="C189">
        <v>170</v>
      </c>
      <c r="D189">
        <v>1985</v>
      </c>
      <c r="G189" t="s">
        <v>460</v>
      </c>
      <c r="H189">
        <v>4150555001304</v>
      </c>
      <c r="I189" t="s">
        <v>3477</v>
      </c>
      <c r="J189" t="s">
        <v>3478</v>
      </c>
      <c r="K189" t="s">
        <v>3569</v>
      </c>
      <c r="M189" t="s">
        <v>3480</v>
      </c>
      <c r="O189" t="s">
        <v>6444</v>
      </c>
      <c r="P189" t="s">
        <v>3482</v>
      </c>
      <c r="Q189" t="s">
        <v>1699</v>
      </c>
      <c r="T189" t="s">
        <v>319</v>
      </c>
      <c r="U189" t="s">
        <v>816</v>
      </c>
      <c r="W189">
        <v>838823</v>
      </c>
      <c r="X189">
        <v>0</v>
      </c>
      <c r="Z189">
        <v>7</v>
      </c>
      <c r="AA189" s="31">
        <v>45757</v>
      </c>
      <c r="AB189" s="61">
        <v>0.37377314814814822</v>
      </c>
      <c r="AC189" t="s">
        <v>818</v>
      </c>
      <c r="AD189" s="31">
        <v>45764</v>
      </c>
      <c r="AE189" s="61">
        <v>0.41208333333333341</v>
      </c>
      <c r="AH189" t="s">
        <v>3824</v>
      </c>
      <c r="AQ189">
        <v>1</v>
      </c>
    </row>
    <row r="190" spans="1:43" hidden="1" x14ac:dyDescent="0.3">
      <c r="A190" t="s">
        <v>31</v>
      </c>
      <c r="B190">
        <v>342</v>
      </c>
      <c r="C190">
        <v>206</v>
      </c>
      <c r="D190">
        <v>1987</v>
      </c>
      <c r="G190" t="s">
        <v>3825</v>
      </c>
      <c r="H190">
        <v>37075503000136</v>
      </c>
      <c r="I190" t="s">
        <v>3826</v>
      </c>
      <c r="J190" t="s">
        <v>1474</v>
      </c>
      <c r="K190" t="s">
        <v>1475</v>
      </c>
      <c r="M190" t="s">
        <v>1476</v>
      </c>
      <c r="O190" t="s">
        <v>6487</v>
      </c>
      <c r="P190" t="s">
        <v>1477</v>
      </c>
      <c r="Q190" t="s">
        <v>932</v>
      </c>
      <c r="T190" t="s">
        <v>319</v>
      </c>
      <c r="U190" t="s">
        <v>3417</v>
      </c>
      <c r="W190">
        <v>0</v>
      </c>
      <c r="X190">
        <v>3564</v>
      </c>
      <c r="Z190">
        <v>4</v>
      </c>
      <c r="AA190" s="31">
        <v>45757</v>
      </c>
      <c r="AB190" s="61">
        <v>0.70687500000000003</v>
      </c>
      <c r="AC190" t="s">
        <v>795</v>
      </c>
      <c r="AD190" s="31">
        <v>45761</v>
      </c>
      <c r="AE190" s="61">
        <v>0.64089120370370367</v>
      </c>
      <c r="AF190" t="s">
        <v>867</v>
      </c>
      <c r="AH190" t="s">
        <v>3824</v>
      </c>
      <c r="AI190" t="s">
        <v>3824</v>
      </c>
      <c r="AQ190">
        <v>1</v>
      </c>
    </row>
    <row r="191" spans="1:43" hidden="1" x14ac:dyDescent="0.3">
      <c r="A191" t="s">
        <v>31</v>
      </c>
      <c r="B191">
        <v>344</v>
      </c>
      <c r="C191">
        <v>134</v>
      </c>
      <c r="D191">
        <v>1989</v>
      </c>
      <c r="G191" t="s">
        <v>3828</v>
      </c>
      <c r="I191" t="s">
        <v>3377</v>
      </c>
      <c r="J191" t="s">
        <v>3829</v>
      </c>
      <c r="K191" t="s">
        <v>3830</v>
      </c>
      <c r="M191" t="s">
        <v>3379</v>
      </c>
      <c r="T191" t="s">
        <v>319</v>
      </c>
      <c r="U191" t="s">
        <v>816</v>
      </c>
      <c r="W191">
        <v>1680</v>
      </c>
      <c r="X191">
        <v>0</v>
      </c>
      <c r="Z191">
        <v>2</v>
      </c>
      <c r="AA191" s="31">
        <v>45761</v>
      </c>
      <c r="AB191" s="61">
        <v>0.46211805555555557</v>
      </c>
      <c r="AC191" t="s">
        <v>818</v>
      </c>
      <c r="AD191" s="31">
        <v>45763</v>
      </c>
      <c r="AE191" s="61">
        <v>0.43277777777777782</v>
      </c>
      <c r="AH191" t="s">
        <v>1619</v>
      </c>
      <c r="AQ191">
        <v>1</v>
      </c>
    </row>
    <row r="192" spans="1:43" hidden="1" x14ac:dyDescent="0.3">
      <c r="A192" t="s">
        <v>31</v>
      </c>
      <c r="B192">
        <v>345</v>
      </c>
      <c r="C192">
        <v>171</v>
      </c>
      <c r="D192">
        <v>1990</v>
      </c>
      <c r="G192" t="s">
        <v>3663</v>
      </c>
      <c r="H192">
        <v>39955762000187</v>
      </c>
      <c r="I192" t="s">
        <v>3484</v>
      </c>
      <c r="J192" t="s">
        <v>3664</v>
      </c>
      <c r="K192" t="s">
        <v>3665</v>
      </c>
      <c r="M192" t="s">
        <v>3487</v>
      </c>
      <c r="O192" t="s">
        <v>6445</v>
      </c>
      <c r="P192" t="s">
        <v>1094</v>
      </c>
      <c r="Q192" t="s">
        <v>790</v>
      </c>
      <c r="T192" t="s">
        <v>319</v>
      </c>
      <c r="U192" t="s">
        <v>816</v>
      </c>
      <c r="W192">
        <v>491408</v>
      </c>
      <c r="X192">
        <v>0</v>
      </c>
      <c r="Z192">
        <v>3</v>
      </c>
      <c r="AA192" s="31">
        <v>45761</v>
      </c>
      <c r="AB192" s="61">
        <v>0.64141203703703709</v>
      </c>
      <c r="AC192" t="s">
        <v>818</v>
      </c>
      <c r="AD192" s="31">
        <v>45764</v>
      </c>
      <c r="AE192" s="61">
        <v>0.67682870370370374</v>
      </c>
      <c r="AH192" t="s">
        <v>3831</v>
      </c>
      <c r="AQ192">
        <v>1</v>
      </c>
    </row>
    <row r="193" spans="1:43" hidden="1" x14ac:dyDescent="0.3">
      <c r="A193" t="s">
        <v>31</v>
      </c>
      <c r="B193">
        <v>349</v>
      </c>
      <c r="C193">
        <v>202</v>
      </c>
      <c r="D193">
        <v>1995</v>
      </c>
      <c r="G193" t="s">
        <v>3777</v>
      </c>
      <c r="H193">
        <v>16939440000149</v>
      </c>
      <c r="I193" t="s">
        <v>3778</v>
      </c>
      <c r="J193" t="s">
        <v>3832</v>
      </c>
      <c r="K193" t="s">
        <v>3779</v>
      </c>
      <c r="M193" t="s">
        <v>3780</v>
      </c>
      <c r="O193" t="s">
        <v>6479</v>
      </c>
      <c r="P193" t="s">
        <v>3782</v>
      </c>
      <c r="Q193" t="s">
        <v>790</v>
      </c>
      <c r="T193" t="s">
        <v>319</v>
      </c>
      <c r="U193" t="s">
        <v>816</v>
      </c>
      <c r="W193">
        <v>2996</v>
      </c>
      <c r="X193">
        <v>0</v>
      </c>
      <c r="Z193">
        <v>0</v>
      </c>
      <c r="AA193" s="31">
        <v>45763</v>
      </c>
      <c r="AB193" s="61">
        <v>0.63655092592592588</v>
      </c>
      <c r="AC193" t="s">
        <v>818</v>
      </c>
      <c r="AD193" s="31">
        <v>45763</v>
      </c>
      <c r="AE193" s="61">
        <v>0.63858796296296294</v>
      </c>
      <c r="AH193" t="s">
        <v>3833</v>
      </c>
      <c r="AQ193">
        <v>1</v>
      </c>
    </row>
    <row r="194" spans="1:43" hidden="1" x14ac:dyDescent="0.3">
      <c r="A194" t="s">
        <v>31</v>
      </c>
      <c r="B194">
        <v>350</v>
      </c>
      <c r="C194">
        <v>130</v>
      </c>
      <c r="D194">
        <v>1996</v>
      </c>
      <c r="G194" t="s">
        <v>3834</v>
      </c>
      <c r="I194" t="s">
        <v>141</v>
      </c>
      <c r="J194" t="s">
        <v>3675</v>
      </c>
      <c r="K194" t="s">
        <v>3676</v>
      </c>
      <c r="M194" t="s">
        <v>3368</v>
      </c>
      <c r="P194" t="s">
        <v>923</v>
      </c>
      <c r="Q194" t="s">
        <v>790</v>
      </c>
      <c r="T194" t="s">
        <v>319</v>
      </c>
      <c r="U194" t="s">
        <v>816</v>
      </c>
      <c r="W194">
        <v>447164</v>
      </c>
      <c r="X194">
        <v>0</v>
      </c>
      <c r="Z194">
        <v>0</v>
      </c>
      <c r="AA194" s="31">
        <v>45764</v>
      </c>
      <c r="AB194" s="61">
        <v>0.40780092592592587</v>
      </c>
      <c r="AC194" t="s">
        <v>818</v>
      </c>
      <c r="AD194" s="31">
        <v>45764</v>
      </c>
      <c r="AE194" s="61">
        <v>0.5020486111111111</v>
      </c>
      <c r="AH194" t="s">
        <v>3835</v>
      </c>
      <c r="AQ194">
        <v>1</v>
      </c>
    </row>
    <row r="195" spans="1:43" hidden="1" x14ac:dyDescent="0.3">
      <c r="A195" t="s">
        <v>31</v>
      </c>
      <c r="B195">
        <v>356</v>
      </c>
      <c r="C195">
        <v>197</v>
      </c>
      <c r="D195">
        <v>2006</v>
      </c>
      <c r="G195" t="s">
        <v>3836</v>
      </c>
      <c r="H195">
        <v>8616236000169</v>
      </c>
      <c r="I195" t="s">
        <v>3726</v>
      </c>
      <c r="J195" t="s">
        <v>704</v>
      </c>
      <c r="K195" t="s">
        <v>3727</v>
      </c>
      <c r="M195" t="s">
        <v>3728</v>
      </c>
      <c r="O195" t="s">
        <v>6472</v>
      </c>
      <c r="P195" t="s">
        <v>3687</v>
      </c>
      <c r="Q195" t="s">
        <v>790</v>
      </c>
      <c r="T195" t="s">
        <v>319</v>
      </c>
      <c r="U195" t="s">
        <v>816</v>
      </c>
      <c r="W195">
        <v>1440</v>
      </c>
      <c r="X195">
        <v>0</v>
      </c>
      <c r="Z195">
        <v>14</v>
      </c>
      <c r="AA195" s="31">
        <v>45770</v>
      </c>
      <c r="AB195" s="61">
        <v>0.63509259259259254</v>
      </c>
      <c r="AC195" t="s">
        <v>818</v>
      </c>
      <c r="AD195" s="31">
        <v>45784</v>
      </c>
      <c r="AE195" s="61">
        <v>0.66</v>
      </c>
      <c r="AH195" t="s">
        <v>3837</v>
      </c>
      <c r="AI195" t="s">
        <v>3837</v>
      </c>
      <c r="AQ195">
        <v>1</v>
      </c>
    </row>
    <row r="196" spans="1:43" hidden="1" x14ac:dyDescent="0.3">
      <c r="A196" t="s">
        <v>31</v>
      </c>
      <c r="B196">
        <v>357</v>
      </c>
      <c r="C196">
        <v>207</v>
      </c>
      <c r="D196">
        <v>2007</v>
      </c>
      <c r="G196" t="s">
        <v>3838</v>
      </c>
      <c r="H196">
        <v>43609706000168</v>
      </c>
      <c r="I196" t="s">
        <v>3839</v>
      </c>
      <c r="J196" t="s">
        <v>1804</v>
      </c>
      <c r="K196" t="s">
        <v>3840</v>
      </c>
      <c r="M196" t="s">
        <v>3841</v>
      </c>
      <c r="O196" t="s">
        <v>6488</v>
      </c>
      <c r="P196" t="s">
        <v>3843</v>
      </c>
      <c r="Q196" t="s">
        <v>932</v>
      </c>
      <c r="T196" t="s">
        <v>319</v>
      </c>
      <c r="U196" t="s">
        <v>816</v>
      </c>
      <c r="W196">
        <v>4000</v>
      </c>
      <c r="X196">
        <v>0</v>
      </c>
      <c r="Z196">
        <v>1</v>
      </c>
      <c r="AA196" s="31">
        <v>45771</v>
      </c>
      <c r="AB196" s="61">
        <v>0.4306712962962963</v>
      </c>
      <c r="AC196" t="s">
        <v>818</v>
      </c>
      <c r="AD196" s="31">
        <v>45772</v>
      </c>
      <c r="AE196" s="61">
        <v>0.69015046296296301</v>
      </c>
      <c r="AH196" t="s">
        <v>1666</v>
      </c>
      <c r="AQ196">
        <v>1</v>
      </c>
    </row>
    <row r="197" spans="1:43" hidden="1" x14ac:dyDescent="0.3">
      <c r="A197" t="s">
        <v>31</v>
      </c>
      <c r="B197">
        <v>363</v>
      </c>
      <c r="C197">
        <v>199</v>
      </c>
      <c r="D197">
        <v>2012</v>
      </c>
      <c r="G197" t="s">
        <v>3749</v>
      </c>
      <c r="H197">
        <v>50963243000101</v>
      </c>
      <c r="I197" t="s">
        <v>3750</v>
      </c>
      <c r="J197" t="s">
        <v>3844</v>
      </c>
      <c r="K197" t="s">
        <v>3752</v>
      </c>
      <c r="M197" t="s">
        <v>3753</v>
      </c>
      <c r="O197" t="s">
        <v>6476</v>
      </c>
      <c r="P197" t="s">
        <v>1094</v>
      </c>
      <c r="Q197" t="s">
        <v>790</v>
      </c>
      <c r="T197" t="s">
        <v>319</v>
      </c>
      <c r="U197" t="s">
        <v>816</v>
      </c>
      <c r="W197">
        <v>1890</v>
      </c>
      <c r="X197">
        <v>0</v>
      </c>
      <c r="Z197">
        <v>0</v>
      </c>
      <c r="AA197" s="31">
        <v>45777</v>
      </c>
      <c r="AB197" s="61">
        <v>0.58546296296296296</v>
      </c>
      <c r="AC197" t="s">
        <v>818</v>
      </c>
      <c r="AD197" s="31">
        <v>45777</v>
      </c>
      <c r="AE197" s="61">
        <v>0.5869212962962963</v>
      </c>
      <c r="AH197" t="s">
        <v>3845</v>
      </c>
      <c r="AQ197">
        <v>1</v>
      </c>
    </row>
    <row r="198" spans="1:43" hidden="1" x14ac:dyDescent="0.3">
      <c r="A198" t="s">
        <v>31</v>
      </c>
      <c r="B198">
        <v>364</v>
      </c>
      <c r="C198">
        <v>204</v>
      </c>
      <c r="D198">
        <v>2013</v>
      </c>
      <c r="G198" t="s">
        <v>3810</v>
      </c>
      <c r="H198">
        <v>33071847000116</v>
      </c>
      <c r="I198" t="s">
        <v>3811</v>
      </c>
      <c r="J198" t="s">
        <v>3846</v>
      </c>
      <c r="K198" t="s">
        <v>3813</v>
      </c>
      <c r="M198" t="s">
        <v>3814</v>
      </c>
      <c r="O198" t="s">
        <v>6482</v>
      </c>
      <c r="P198" t="s">
        <v>2589</v>
      </c>
      <c r="Q198" t="s">
        <v>790</v>
      </c>
      <c r="T198" t="s">
        <v>319</v>
      </c>
      <c r="U198" t="s">
        <v>816</v>
      </c>
      <c r="W198">
        <v>3360</v>
      </c>
      <c r="X198">
        <v>0</v>
      </c>
      <c r="Z198">
        <v>0</v>
      </c>
      <c r="AA198" s="31">
        <v>45777</v>
      </c>
      <c r="AB198" s="61">
        <v>0.58721064814814816</v>
      </c>
      <c r="AC198" t="s">
        <v>818</v>
      </c>
      <c r="AD198" s="31">
        <v>45777</v>
      </c>
      <c r="AE198" s="61">
        <v>0.5879861111111111</v>
      </c>
      <c r="AH198" t="s">
        <v>3845</v>
      </c>
      <c r="AQ198">
        <v>1</v>
      </c>
    </row>
    <row r="199" spans="1:43" hidden="1" x14ac:dyDescent="0.3">
      <c r="A199" t="s">
        <v>31</v>
      </c>
      <c r="B199">
        <v>365</v>
      </c>
      <c r="C199">
        <v>142</v>
      </c>
      <c r="D199">
        <v>2014</v>
      </c>
      <c r="G199" t="s">
        <v>3847</v>
      </c>
      <c r="I199" t="s">
        <v>3397</v>
      </c>
      <c r="J199" t="s">
        <v>3848</v>
      </c>
      <c r="K199" t="s">
        <v>3698</v>
      </c>
      <c r="M199" t="s">
        <v>3399</v>
      </c>
      <c r="P199" t="s">
        <v>3400</v>
      </c>
      <c r="Q199" t="s">
        <v>1699</v>
      </c>
      <c r="T199" t="s">
        <v>319</v>
      </c>
      <c r="U199" t="s">
        <v>3417</v>
      </c>
      <c r="W199">
        <v>26200</v>
      </c>
      <c r="X199">
        <v>3400</v>
      </c>
      <c r="Z199">
        <v>27</v>
      </c>
      <c r="AA199" s="31">
        <v>45777</v>
      </c>
      <c r="AB199" s="61">
        <v>0.58881944444444445</v>
      </c>
      <c r="AC199" t="s">
        <v>795</v>
      </c>
      <c r="AD199" s="31">
        <v>45804</v>
      </c>
      <c r="AE199" s="61">
        <v>0.79233796296296299</v>
      </c>
      <c r="AF199" t="s">
        <v>974</v>
      </c>
      <c r="AH199" t="s">
        <v>1374</v>
      </c>
      <c r="AI199" t="s">
        <v>3845</v>
      </c>
      <c r="AQ199">
        <v>1</v>
      </c>
    </row>
    <row r="200" spans="1:43" hidden="1" x14ac:dyDescent="0.3">
      <c r="A200" t="s">
        <v>31</v>
      </c>
      <c r="B200">
        <v>371</v>
      </c>
      <c r="C200">
        <v>178</v>
      </c>
      <c r="D200">
        <v>2021</v>
      </c>
      <c r="G200" t="s">
        <v>3849</v>
      </c>
      <c r="H200">
        <v>54124158000100</v>
      </c>
      <c r="I200" t="s">
        <v>3539</v>
      </c>
      <c r="J200" t="s">
        <v>1243</v>
      </c>
      <c r="K200" t="s">
        <v>3850</v>
      </c>
      <c r="M200" t="s">
        <v>3542</v>
      </c>
      <c r="O200" t="s">
        <v>6453</v>
      </c>
      <c r="P200" t="s">
        <v>1837</v>
      </c>
      <c r="Q200" t="s">
        <v>790</v>
      </c>
      <c r="T200" t="s">
        <v>319</v>
      </c>
      <c r="U200" t="s">
        <v>3417</v>
      </c>
      <c r="Z200">
        <v>18</v>
      </c>
      <c r="AA200" s="31">
        <v>45782</v>
      </c>
      <c r="AB200" s="61">
        <v>0.66790509259259256</v>
      </c>
      <c r="AC200" t="s">
        <v>795</v>
      </c>
      <c r="AD200" s="31">
        <v>45800</v>
      </c>
      <c r="AE200" s="61">
        <v>0.52974537037037039</v>
      </c>
      <c r="AF200" t="s">
        <v>796</v>
      </c>
      <c r="AH200" t="s">
        <v>3851</v>
      </c>
      <c r="AI200" t="s">
        <v>3851</v>
      </c>
      <c r="AQ200">
        <v>1</v>
      </c>
    </row>
    <row r="201" spans="1:43" hidden="1" x14ac:dyDescent="0.3">
      <c r="A201" t="s">
        <v>31</v>
      </c>
      <c r="B201">
        <v>372</v>
      </c>
      <c r="C201">
        <v>199</v>
      </c>
      <c r="D201">
        <v>2022</v>
      </c>
      <c r="G201" t="s">
        <v>3852</v>
      </c>
      <c r="H201">
        <v>50963243000101</v>
      </c>
      <c r="I201" t="s">
        <v>3750</v>
      </c>
      <c r="J201" t="s">
        <v>3853</v>
      </c>
      <c r="K201" t="s">
        <v>3752</v>
      </c>
      <c r="M201" t="s">
        <v>3753</v>
      </c>
      <c r="O201" t="s">
        <v>6476</v>
      </c>
      <c r="P201" t="s">
        <v>1094</v>
      </c>
      <c r="Q201" t="s">
        <v>790</v>
      </c>
      <c r="T201" t="s">
        <v>319</v>
      </c>
      <c r="U201" t="s">
        <v>3417</v>
      </c>
      <c r="W201">
        <v>0</v>
      </c>
      <c r="X201">
        <v>1496</v>
      </c>
      <c r="Z201">
        <v>30</v>
      </c>
      <c r="AA201" s="31">
        <v>45783</v>
      </c>
      <c r="AB201" s="61">
        <v>0.48534722222222221</v>
      </c>
      <c r="AC201" t="s">
        <v>795</v>
      </c>
      <c r="AD201" s="31">
        <v>45813</v>
      </c>
      <c r="AE201" s="61">
        <v>0.47509259259259262</v>
      </c>
      <c r="AF201" t="s">
        <v>934</v>
      </c>
      <c r="AH201" t="s">
        <v>3854</v>
      </c>
      <c r="AI201" t="s">
        <v>3855</v>
      </c>
      <c r="AQ201">
        <v>1</v>
      </c>
    </row>
    <row r="202" spans="1:43" hidden="1" x14ac:dyDescent="0.3">
      <c r="A202" t="s">
        <v>31</v>
      </c>
      <c r="B202">
        <v>373</v>
      </c>
      <c r="C202">
        <v>178</v>
      </c>
      <c r="D202">
        <v>1614</v>
      </c>
      <c r="G202" t="s">
        <v>3591</v>
      </c>
      <c r="H202">
        <v>54124158000100</v>
      </c>
      <c r="I202" t="s">
        <v>3539</v>
      </c>
      <c r="J202" t="s">
        <v>1243</v>
      </c>
      <c r="K202" t="s">
        <v>3541</v>
      </c>
      <c r="M202" t="s">
        <v>3542</v>
      </c>
      <c r="O202" t="s">
        <v>6453</v>
      </c>
      <c r="P202" t="s">
        <v>1837</v>
      </c>
      <c r="Q202" t="s">
        <v>790</v>
      </c>
      <c r="T202" t="s">
        <v>319</v>
      </c>
      <c r="U202" t="s">
        <v>816</v>
      </c>
      <c r="W202">
        <v>44651</v>
      </c>
      <c r="X202">
        <v>0</v>
      </c>
      <c r="Z202">
        <v>5</v>
      </c>
      <c r="AA202" s="31">
        <v>45784</v>
      </c>
      <c r="AB202" s="61">
        <v>0.51723379629629629</v>
      </c>
      <c r="AC202" t="s">
        <v>818</v>
      </c>
      <c r="AD202" s="31">
        <v>45789</v>
      </c>
      <c r="AE202" s="61">
        <v>0.39689814814814822</v>
      </c>
      <c r="AH202" t="s">
        <v>3856</v>
      </c>
      <c r="AQ202">
        <v>1</v>
      </c>
    </row>
    <row r="203" spans="1:43" hidden="1" x14ac:dyDescent="0.3">
      <c r="A203" t="s">
        <v>31</v>
      </c>
      <c r="B203">
        <v>374</v>
      </c>
      <c r="C203">
        <v>134</v>
      </c>
      <c r="D203">
        <v>161</v>
      </c>
      <c r="G203" t="s">
        <v>6489</v>
      </c>
      <c r="I203" t="s">
        <v>3377</v>
      </c>
      <c r="J203" t="s">
        <v>3377</v>
      </c>
      <c r="K203" t="s">
        <v>3378</v>
      </c>
      <c r="M203" t="s">
        <v>3379</v>
      </c>
      <c r="T203" t="s">
        <v>319</v>
      </c>
      <c r="U203" t="s">
        <v>3417</v>
      </c>
      <c r="Z203">
        <v>6</v>
      </c>
      <c r="AA203" s="31">
        <v>45785</v>
      </c>
      <c r="AB203" s="61">
        <v>0.64045138888888886</v>
      </c>
      <c r="AC203" t="s">
        <v>795</v>
      </c>
      <c r="AD203" s="31">
        <v>45791</v>
      </c>
      <c r="AE203" s="61">
        <v>0.4856712962962963</v>
      </c>
      <c r="AF203" t="s">
        <v>934</v>
      </c>
      <c r="AH203" t="s">
        <v>3858</v>
      </c>
      <c r="AQ203">
        <v>1</v>
      </c>
    </row>
    <row r="204" spans="1:43" hidden="1" x14ac:dyDescent="0.3">
      <c r="A204" t="s">
        <v>31</v>
      </c>
      <c r="B204">
        <v>377</v>
      </c>
      <c r="C204">
        <v>123</v>
      </c>
      <c r="D204">
        <v>2026</v>
      </c>
      <c r="G204" t="s">
        <v>3859</v>
      </c>
      <c r="I204" t="s">
        <v>647</v>
      </c>
      <c r="J204" t="s">
        <v>4067</v>
      </c>
      <c r="K204" t="s">
        <v>3861</v>
      </c>
      <c r="M204" t="s">
        <v>3353</v>
      </c>
      <c r="T204" t="s">
        <v>319</v>
      </c>
      <c r="U204" t="s">
        <v>816</v>
      </c>
      <c r="W204">
        <v>1428</v>
      </c>
      <c r="X204">
        <v>550</v>
      </c>
      <c r="Z204">
        <v>17</v>
      </c>
      <c r="AA204" s="31">
        <v>45786</v>
      </c>
      <c r="AB204" s="61">
        <v>0.41125</v>
      </c>
      <c r="AC204" t="s">
        <v>818</v>
      </c>
      <c r="AD204" s="31">
        <v>45803</v>
      </c>
      <c r="AE204" s="61">
        <v>0.80402777777777779</v>
      </c>
      <c r="AH204" t="s">
        <v>3862</v>
      </c>
      <c r="AI204" t="s">
        <v>3862</v>
      </c>
      <c r="AQ204">
        <v>1</v>
      </c>
    </row>
    <row r="205" spans="1:43" hidden="1" x14ac:dyDescent="0.3">
      <c r="A205" t="s">
        <v>31</v>
      </c>
      <c r="B205">
        <v>378</v>
      </c>
      <c r="C205">
        <v>134</v>
      </c>
      <c r="D205">
        <v>2027</v>
      </c>
      <c r="G205" t="s">
        <v>3863</v>
      </c>
      <c r="I205" t="s">
        <v>3377</v>
      </c>
      <c r="J205" t="s">
        <v>3985</v>
      </c>
      <c r="K205" t="s">
        <v>3830</v>
      </c>
      <c r="M205" t="s">
        <v>3379</v>
      </c>
      <c r="T205" t="s">
        <v>319</v>
      </c>
      <c r="U205" t="s">
        <v>3417</v>
      </c>
      <c r="Z205">
        <v>5</v>
      </c>
      <c r="AA205" s="31">
        <v>45786</v>
      </c>
      <c r="AB205" s="61">
        <v>0.60530092592592588</v>
      </c>
      <c r="AC205" t="s">
        <v>795</v>
      </c>
      <c r="AD205" s="31">
        <v>45791</v>
      </c>
      <c r="AE205" s="61">
        <v>0.48603009259259261</v>
      </c>
      <c r="AF205" t="s">
        <v>934</v>
      </c>
      <c r="AH205" t="s">
        <v>3862</v>
      </c>
      <c r="AI205" t="s">
        <v>3856</v>
      </c>
      <c r="AQ205">
        <v>1</v>
      </c>
    </row>
    <row r="206" spans="1:43" hidden="1" x14ac:dyDescent="0.3">
      <c r="A206" t="s">
        <v>31</v>
      </c>
      <c r="B206">
        <v>380</v>
      </c>
      <c r="C206">
        <v>122</v>
      </c>
      <c r="D206">
        <v>2029</v>
      </c>
      <c r="G206" t="s">
        <v>3865</v>
      </c>
      <c r="I206" t="s">
        <v>680</v>
      </c>
      <c r="J206" t="s">
        <v>680</v>
      </c>
      <c r="K206" t="s">
        <v>3867</v>
      </c>
      <c r="M206" t="s">
        <v>3351</v>
      </c>
      <c r="T206" t="s">
        <v>319</v>
      </c>
      <c r="U206" t="s">
        <v>3417</v>
      </c>
      <c r="W206">
        <v>2880</v>
      </c>
      <c r="X206">
        <v>0</v>
      </c>
      <c r="Z206">
        <v>22</v>
      </c>
      <c r="AA206" s="31">
        <v>45789</v>
      </c>
      <c r="AB206" s="61">
        <v>0.42956018518518518</v>
      </c>
      <c r="AC206" t="s">
        <v>795</v>
      </c>
      <c r="AD206" s="31">
        <v>45811</v>
      </c>
      <c r="AE206" s="61">
        <v>0.5135763888888889</v>
      </c>
      <c r="AF206" t="s">
        <v>867</v>
      </c>
      <c r="AH206" t="s">
        <v>3868</v>
      </c>
      <c r="AQ206">
        <v>1</v>
      </c>
    </row>
    <row r="207" spans="1:43" hidden="1" x14ac:dyDescent="0.3">
      <c r="A207" t="s">
        <v>31</v>
      </c>
      <c r="B207">
        <v>381</v>
      </c>
      <c r="C207">
        <v>194</v>
      </c>
      <c r="D207">
        <v>2030</v>
      </c>
      <c r="G207" t="s">
        <v>233</v>
      </c>
      <c r="H207">
        <v>44580314000186</v>
      </c>
      <c r="I207" t="s">
        <v>3682</v>
      </c>
      <c r="J207" t="s">
        <v>704</v>
      </c>
      <c r="K207" t="s">
        <v>3684</v>
      </c>
      <c r="M207" t="s">
        <v>3685</v>
      </c>
      <c r="O207" t="s">
        <v>6469</v>
      </c>
      <c r="P207" t="s">
        <v>3687</v>
      </c>
      <c r="Q207" t="s">
        <v>790</v>
      </c>
      <c r="T207" t="s">
        <v>319</v>
      </c>
      <c r="U207" t="s">
        <v>816</v>
      </c>
      <c r="W207">
        <v>2856</v>
      </c>
      <c r="X207">
        <v>28512</v>
      </c>
      <c r="Z207">
        <v>28</v>
      </c>
      <c r="AA207" s="31">
        <v>45789</v>
      </c>
      <c r="AB207" s="61">
        <v>0.61649305555555556</v>
      </c>
      <c r="AC207" t="s">
        <v>818</v>
      </c>
      <c r="AD207" s="31">
        <v>45817</v>
      </c>
      <c r="AE207" s="61">
        <v>0.51645833333333335</v>
      </c>
      <c r="AH207" t="s">
        <v>3868</v>
      </c>
      <c r="AI207" t="s">
        <v>3869</v>
      </c>
      <c r="AQ207">
        <v>1</v>
      </c>
    </row>
    <row r="208" spans="1:43" hidden="1" x14ac:dyDescent="0.3">
      <c r="A208" t="s">
        <v>31</v>
      </c>
      <c r="B208">
        <v>386</v>
      </c>
      <c r="C208">
        <v>183</v>
      </c>
      <c r="D208">
        <v>2038</v>
      </c>
      <c r="G208" t="s">
        <v>3870</v>
      </c>
      <c r="H208">
        <v>3204281000192</v>
      </c>
      <c r="I208" t="s">
        <v>3594</v>
      </c>
      <c r="J208" t="s">
        <v>3595</v>
      </c>
      <c r="K208" t="s">
        <v>3596</v>
      </c>
      <c r="M208" t="s">
        <v>2617</v>
      </c>
      <c r="O208" t="s">
        <v>6459</v>
      </c>
      <c r="P208" t="s">
        <v>2618</v>
      </c>
      <c r="Q208" t="s">
        <v>790</v>
      </c>
      <c r="T208" t="s">
        <v>319</v>
      </c>
      <c r="U208" t="s">
        <v>816</v>
      </c>
      <c r="W208">
        <v>420</v>
      </c>
      <c r="X208">
        <v>0</v>
      </c>
      <c r="Z208">
        <v>5</v>
      </c>
      <c r="AA208" s="31">
        <v>45791</v>
      </c>
      <c r="AB208" s="61">
        <v>0.63041666666666663</v>
      </c>
      <c r="AC208" t="s">
        <v>818</v>
      </c>
      <c r="AD208" s="31">
        <v>45796</v>
      </c>
      <c r="AE208" s="61">
        <v>0.37569444444444439</v>
      </c>
      <c r="AH208" t="s">
        <v>3871</v>
      </c>
      <c r="AI208" t="s">
        <v>3872</v>
      </c>
      <c r="AQ208">
        <v>1</v>
      </c>
    </row>
    <row r="209" spans="1:43" hidden="1" x14ac:dyDescent="0.3">
      <c r="A209" t="s">
        <v>31</v>
      </c>
      <c r="B209">
        <v>387</v>
      </c>
      <c r="C209">
        <v>197</v>
      </c>
      <c r="D209">
        <v>1888</v>
      </c>
      <c r="G209" t="s">
        <v>6490</v>
      </c>
      <c r="H209">
        <v>8616236000169</v>
      </c>
      <c r="I209" t="s">
        <v>3726</v>
      </c>
      <c r="J209" t="s">
        <v>704</v>
      </c>
      <c r="K209" t="s">
        <v>3727</v>
      </c>
      <c r="M209" t="s">
        <v>3728</v>
      </c>
      <c r="O209" t="s">
        <v>6472</v>
      </c>
      <c r="P209" t="s">
        <v>3687</v>
      </c>
      <c r="Q209" t="s">
        <v>790</v>
      </c>
      <c r="T209" t="s">
        <v>319</v>
      </c>
      <c r="U209" t="s">
        <v>3417</v>
      </c>
      <c r="W209">
        <v>2880</v>
      </c>
      <c r="X209">
        <v>0</v>
      </c>
      <c r="Z209">
        <v>19</v>
      </c>
      <c r="AA209" s="31">
        <v>45792</v>
      </c>
      <c r="AB209" s="61">
        <v>0.51618055555555553</v>
      </c>
      <c r="AC209" t="s">
        <v>795</v>
      </c>
      <c r="AD209" s="31">
        <v>45811</v>
      </c>
      <c r="AE209" s="61">
        <v>0.64978009259259262</v>
      </c>
      <c r="AF209" t="s">
        <v>796</v>
      </c>
      <c r="AH209" t="s">
        <v>3874</v>
      </c>
      <c r="AI209" t="s">
        <v>1695</v>
      </c>
      <c r="AQ209">
        <v>1</v>
      </c>
    </row>
    <row r="210" spans="1:43" hidden="1" x14ac:dyDescent="0.3">
      <c r="A210" t="s">
        <v>31</v>
      </c>
      <c r="B210">
        <v>388</v>
      </c>
      <c r="C210">
        <v>187</v>
      </c>
      <c r="D210">
        <v>2039</v>
      </c>
      <c r="G210" t="s">
        <v>3875</v>
      </c>
      <c r="H210">
        <v>17063632000105</v>
      </c>
      <c r="I210" t="s">
        <v>3631</v>
      </c>
      <c r="J210" t="s">
        <v>1499</v>
      </c>
      <c r="K210" t="s">
        <v>3633</v>
      </c>
      <c r="M210" t="s">
        <v>3634</v>
      </c>
      <c r="O210" t="s">
        <v>6464</v>
      </c>
      <c r="P210" t="s">
        <v>3636</v>
      </c>
      <c r="Q210" t="s">
        <v>1699</v>
      </c>
      <c r="T210" t="s">
        <v>319</v>
      </c>
      <c r="U210" t="s">
        <v>3417</v>
      </c>
      <c r="W210">
        <v>6300</v>
      </c>
      <c r="X210">
        <v>0</v>
      </c>
      <c r="Z210">
        <v>8</v>
      </c>
      <c r="AA210" s="31">
        <v>45792</v>
      </c>
      <c r="AB210" s="61">
        <v>0.7066782407407407</v>
      </c>
      <c r="AC210" t="s">
        <v>795</v>
      </c>
      <c r="AD210" s="31">
        <v>45800</v>
      </c>
      <c r="AE210" s="61">
        <v>0.52802083333333338</v>
      </c>
      <c r="AF210" t="s">
        <v>934</v>
      </c>
      <c r="AH210" t="s">
        <v>3874</v>
      </c>
      <c r="AQ210">
        <v>1</v>
      </c>
    </row>
    <row r="211" spans="1:43" hidden="1" x14ac:dyDescent="0.3">
      <c r="A211" t="s">
        <v>31</v>
      </c>
      <c r="B211">
        <v>389</v>
      </c>
      <c r="C211">
        <v>184</v>
      </c>
      <c r="D211">
        <v>2040</v>
      </c>
      <c r="G211" t="s">
        <v>3876</v>
      </c>
      <c r="H211">
        <v>11861121000144</v>
      </c>
      <c r="I211" t="s">
        <v>3877</v>
      </c>
      <c r="J211" t="s">
        <v>3878</v>
      </c>
      <c r="K211" t="s">
        <v>3879</v>
      </c>
      <c r="M211" t="s">
        <v>3880</v>
      </c>
      <c r="O211" t="s">
        <v>6491</v>
      </c>
      <c r="P211" t="s">
        <v>1094</v>
      </c>
      <c r="Q211" t="s">
        <v>790</v>
      </c>
      <c r="T211" t="s">
        <v>319</v>
      </c>
      <c r="U211" t="s">
        <v>781</v>
      </c>
      <c r="Z211">
        <v>6</v>
      </c>
      <c r="AA211" s="31">
        <v>45793</v>
      </c>
      <c r="AB211" s="61">
        <v>0.43585648148148148</v>
      </c>
      <c r="AC211" t="s">
        <v>795</v>
      </c>
      <c r="AD211" s="31">
        <v>45799</v>
      </c>
      <c r="AE211" s="61">
        <v>0.38090277777777781</v>
      </c>
      <c r="AF211" t="s">
        <v>934</v>
      </c>
      <c r="AI211" t="s">
        <v>3882</v>
      </c>
      <c r="AQ211">
        <v>1</v>
      </c>
    </row>
    <row r="212" spans="1:43" hidden="1" x14ac:dyDescent="0.3">
      <c r="A212" t="s">
        <v>31</v>
      </c>
      <c r="B212">
        <v>390</v>
      </c>
      <c r="C212">
        <v>148</v>
      </c>
      <c r="D212">
        <v>2041</v>
      </c>
      <c r="G212" t="s">
        <v>3883</v>
      </c>
      <c r="H212">
        <v>8530284000130</v>
      </c>
      <c r="I212" t="s">
        <v>3555</v>
      </c>
      <c r="J212" t="s">
        <v>2927</v>
      </c>
      <c r="K212" t="s">
        <v>3556</v>
      </c>
      <c r="M212" t="s">
        <v>3557</v>
      </c>
      <c r="S212" t="s">
        <v>1718</v>
      </c>
      <c r="T212" t="s">
        <v>319</v>
      </c>
      <c r="U212" t="s">
        <v>3417</v>
      </c>
      <c r="W212">
        <v>2856</v>
      </c>
      <c r="X212">
        <v>64152</v>
      </c>
      <c r="Z212">
        <v>101</v>
      </c>
      <c r="AA212" s="31">
        <v>45793</v>
      </c>
      <c r="AB212" s="61">
        <v>0.60055555555555551</v>
      </c>
      <c r="AC212" t="s">
        <v>795</v>
      </c>
      <c r="AD212" s="31">
        <v>45894</v>
      </c>
      <c r="AE212" s="61">
        <v>0.66383101851851856</v>
      </c>
      <c r="AF212" t="s">
        <v>867</v>
      </c>
      <c r="AH212" t="s">
        <v>3884</v>
      </c>
      <c r="AI212" t="s">
        <v>1885</v>
      </c>
      <c r="AQ212">
        <v>1</v>
      </c>
    </row>
    <row r="213" spans="1:43" hidden="1" x14ac:dyDescent="0.3">
      <c r="A213" t="s">
        <v>31</v>
      </c>
      <c r="B213">
        <v>391</v>
      </c>
      <c r="C213">
        <v>210</v>
      </c>
      <c r="D213">
        <v>2042</v>
      </c>
      <c r="G213" t="s">
        <v>3885</v>
      </c>
      <c r="H213">
        <v>51781567000183</v>
      </c>
      <c r="I213" t="s">
        <v>3886</v>
      </c>
      <c r="J213" t="s">
        <v>3735</v>
      </c>
      <c r="K213" t="s">
        <v>3887</v>
      </c>
      <c r="M213" t="s">
        <v>3888</v>
      </c>
      <c r="O213" t="s">
        <v>6492</v>
      </c>
      <c r="P213" t="s">
        <v>3890</v>
      </c>
      <c r="Q213" t="s">
        <v>932</v>
      </c>
      <c r="T213" t="s">
        <v>319</v>
      </c>
      <c r="U213" t="s">
        <v>3417</v>
      </c>
      <c r="W213">
        <v>420</v>
      </c>
      <c r="X213">
        <v>0</v>
      </c>
      <c r="Z213">
        <v>0</v>
      </c>
      <c r="AA213" s="31">
        <v>45793</v>
      </c>
      <c r="AB213" s="61">
        <v>0.61630787037037038</v>
      </c>
      <c r="AC213" t="s">
        <v>795</v>
      </c>
      <c r="AD213" s="31">
        <v>45793</v>
      </c>
      <c r="AE213" s="61">
        <v>0.62888888888888894</v>
      </c>
      <c r="AF213" t="s">
        <v>796</v>
      </c>
      <c r="AH213" t="s">
        <v>3891</v>
      </c>
      <c r="AQ213">
        <v>1</v>
      </c>
    </row>
    <row r="214" spans="1:43" hidden="1" x14ac:dyDescent="0.3">
      <c r="A214" t="s">
        <v>31</v>
      </c>
      <c r="B214">
        <v>392</v>
      </c>
      <c r="C214">
        <v>209</v>
      </c>
      <c r="D214">
        <v>2043</v>
      </c>
      <c r="G214" t="s">
        <v>3892</v>
      </c>
      <c r="H214">
        <v>10682266000115</v>
      </c>
      <c r="I214" t="s">
        <v>3893</v>
      </c>
      <c r="J214" t="s">
        <v>4028</v>
      </c>
      <c r="K214" t="s">
        <v>3895</v>
      </c>
      <c r="M214" t="s">
        <v>3896</v>
      </c>
      <c r="O214" t="s">
        <v>6493</v>
      </c>
      <c r="P214" t="s">
        <v>1596</v>
      </c>
      <c r="Q214" t="s">
        <v>790</v>
      </c>
      <c r="T214" t="s">
        <v>319</v>
      </c>
      <c r="U214" t="s">
        <v>3606</v>
      </c>
      <c r="Z214">
        <v>7</v>
      </c>
      <c r="AA214" s="31">
        <v>45793</v>
      </c>
      <c r="AB214" s="61">
        <v>0.62921296296296292</v>
      </c>
      <c r="AC214" t="s">
        <v>795</v>
      </c>
      <c r="AD214" s="31">
        <v>45800</v>
      </c>
      <c r="AE214" s="61">
        <v>0.52667824074074077</v>
      </c>
      <c r="AF214" t="s">
        <v>796</v>
      </c>
      <c r="AI214" t="s">
        <v>1730</v>
      </c>
      <c r="AJ214" t="s">
        <v>1730</v>
      </c>
      <c r="AQ214">
        <v>1</v>
      </c>
    </row>
    <row r="215" spans="1:43" hidden="1" x14ac:dyDescent="0.3">
      <c r="A215" t="s">
        <v>31</v>
      </c>
      <c r="B215">
        <v>393</v>
      </c>
      <c r="C215">
        <v>133</v>
      </c>
      <c r="D215">
        <v>2044</v>
      </c>
      <c r="G215" t="s">
        <v>3898</v>
      </c>
      <c r="I215" t="s">
        <v>625</v>
      </c>
      <c r="J215" t="s">
        <v>3899</v>
      </c>
      <c r="K215" t="s">
        <v>3584</v>
      </c>
      <c r="M215" t="s">
        <v>2207</v>
      </c>
      <c r="S215" t="s">
        <v>1327</v>
      </c>
      <c r="T215" t="s">
        <v>319</v>
      </c>
      <c r="U215" t="s">
        <v>816</v>
      </c>
      <c r="W215">
        <v>0</v>
      </c>
      <c r="X215">
        <v>325116</v>
      </c>
      <c r="Z215">
        <v>20</v>
      </c>
      <c r="AA215" s="31">
        <v>45793</v>
      </c>
      <c r="AB215" s="61">
        <v>0.68398148148148152</v>
      </c>
      <c r="AC215" t="s">
        <v>818</v>
      </c>
      <c r="AD215" s="31">
        <v>45813</v>
      </c>
      <c r="AE215" s="61">
        <v>0.47848379629629628</v>
      </c>
      <c r="AH215" t="s">
        <v>3900</v>
      </c>
      <c r="AI215" t="s">
        <v>3901</v>
      </c>
      <c r="AQ215">
        <v>1</v>
      </c>
    </row>
    <row r="216" spans="1:43" hidden="1" x14ac:dyDescent="0.3">
      <c r="A216" t="s">
        <v>31</v>
      </c>
      <c r="B216">
        <v>394</v>
      </c>
      <c r="C216">
        <v>208</v>
      </c>
      <c r="D216">
        <v>2045</v>
      </c>
      <c r="G216" t="s">
        <v>3902</v>
      </c>
      <c r="H216">
        <v>42830750000130</v>
      </c>
      <c r="I216" t="s">
        <v>3903</v>
      </c>
      <c r="J216" t="s">
        <v>3904</v>
      </c>
      <c r="K216" t="s">
        <v>3905</v>
      </c>
      <c r="M216" t="s">
        <v>4594</v>
      </c>
      <c r="O216" t="s">
        <v>6494</v>
      </c>
      <c r="P216" t="s">
        <v>1094</v>
      </c>
      <c r="Q216" t="s">
        <v>790</v>
      </c>
      <c r="T216" t="s">
        <v>319</v>
      </c>
      <c r="U216" t="s">
        <v>3417</v>
      </c>
      <c r="W216">
        <v>5040</v>
      </c>
      <c r="X216">
        <v>0</v>
      </c>
      <c r="Z216">
        <v>18</v>
      </c>
      <c r="AA216" s="31">
        <v>45796</v>
      </c>
      <c r="AB216" s="61">
        <v>0.42694444444444452</v>
      </c>
      <c r="AC216" t="s">
        <v>795</v>
      </c>
      <c r="AD216" s="31">
        <v>45814</v>
      </c>
      <c r="AE216" s="61">
        <v>0.49690972222222218</v>
      </c>
      <c r="AF216" t="s">
        <v>867</v>
      </c>
      <c r="AH216" t="s">
        <v>3901</v>
      </c>
      <c r="AI216" t="s">
        <v>3871</v>
      </c>
      <c r="AQ216">
        <v>1</v>
      </c>
    </row>
    <row r="217" spans="1:43" hidden="1" x14ac:dyDescent="0.3">
      <c r="A217" t="s">
        <v>31</v>
      </c>
      <c r="B217">
        <v>395</v>
      </c>
      <c r="C217">
        <v>179</v>
      </c>
      <c r="D217">
        <v>2046</v>
      </c>
      <c r="G217" t="s">
        <v>3908</v>
      </c>
      <c r="H217">
        <v>21736169000184</v>
      </c>
      <c r="I217" t="s">
        <v>3546</v>
      </c>
      <c r="J217" t="s">
        <v>3909</v>
      </c>
      <c r="K217" t="s">
        <v>3547</v>
      </c>
      <c r="M217" t="s">
        <v>3548</v>
      </c>
      <c r="O217" t="s">
        <v>6454</v>
      </c>
      <c r="P217" t="s">
        <v>3550</v>
      </c>
      <c r="Q217" t="s">
        <v>874</v>
      </c>
      <c r="T217" t="s">
        <v>319</v>
      </c>
      <c r="U217" t="s">
        <v>3417</v>
      </c>
      <c r="W217">
        <v>3360</v>
      </c>
      <c r="X217">
        <v>7128</v>
      </c>
      <c r="Z217">
        <v>134</v>
      </c>
      <c r="AA217" s="31">
        <v>45796</v>
      </c>
      <c r="AB217" s="61">
        <v>0.46653935185185191</v>
      </c>
      <c r="AC217" t="s">
        <v>795</v>
      </c>
      <c r="AD217" s="31">
        <v>45930</v>
      </c>
      <c r="AE217" s="61">
        <v>0.38721064814814821</v>
      </c>
      <c r="AF217" t="s">
        <v>796</v>
      </c>
      <c r="AH217" t="s">
        <v>3910</v>
      </c>
      <c r="AI217" t="s">
        <v>1885</v>
      </c>
      <c r="AQ217">
        <v>1</v>
      </c>
    </row>
    <row r="218" spans="1:43" hidden="1" x14ac:dyDescent="0.3">
      <c r="A218" t="s">
        <v>31</v>
      </c>
      <c r="B218">
        <v>396</v>
      </c>
      <c r="C218">
        <v>211</v>
      </c>
      <c r="D218">
        <v>2047</v>
      </c>
      <c r="G218" t="s">
        <v>3911</v>
      </c>
      <c r="H218">
        <v>5691820000190</v>
      </c>
      <c r="I218" t="s">
        <v>3912</v>
      </c>
      <c r="J218" t="s">
        <v>1239</v>
      </c>
      <c r="K218" t="s">
        <v>3913</v>
      </c>
      <c r="M218" t="s">
        <v>3914</v>
      </c>
      <c r="O218" t="s">
        <v>6495</v>
      </c>
      <c r="P218" t="s">
        <v>1026</v>
      </c>
      <c r="Q218" t="s">
        <v>1027</v>
      </c>
      <c r="S218" t="s">
        <v>1718</v>
      </c>
      <c r="T218" t="s">
        <v>319</v>
      </c>
      <c r="U218" t="s">
        <v>816</v>
      </c>
      <c r="W218">
        <v>1123798</v>
      </c>
      <c r="X218">
        <v>1404</v>
      </c>
      <c r="Z218">
        <v>52</v>
      </c>
      <c r="AA218" s="31">
        <v>45796</v>
      </c>
      <c r="AB218" s="61">
        <v>0.6614930555555556</v>
      </c>
      <c r="AC218" t="s">
        <v>818</v>
      </c>
      <c r="AD218" s="31">
        <v>45848</v>
      </c>
      <c r="AE218" s="61">
        <v>0.37546296296296289</v>
      </c>
      <c r="AH218" t="s">
        <v>3916</v>
      </c>
      <c r="AI218" t="s">
        <v>1730</v>
      </c>
      <c r="AJ218" t="s">
        <v>3916</v>
      </c>
      <c r="AQ218">
        <v>1</v>
      </c>
    </row>
    <row r="219" spans="1:43" hidden="1" x14ac:dyDescent="0.3">
      <c r="A219" t="s">
        <v>31</v>
      </c>
      <c r="B219">
        <v>397</v>
      </c>
      <c r="C219">
        <v>149</v>
      </c>
      <c r="D219">
        <v>2048</v>
      </c>
      <c r="G219" t="s">
        <v>3644</v>
      </c>
      <c r="H219">
        <v>12418196000118</v>
      </c>
      <c r="I219" t="s">
        <v>3645</v>
      </c>
      <c r="J219" t="s">
        <v>3917</v>
      </c>
      <c r="K219" t="s">
        <v>3647</v>
      </c>
      <c r="M219" t="s">
        <v>3648</v>
      </c>
      <c r="T219" t="s">
        <v>319</v>
      </c>
      <c r="U219" t="s">
        <v>3417</v>
      </c>
      <c r="W219">
        <v>1600</v>
      </c>
      <c r="X219">
        <v>1939757</v>
      </c>
      <c r="Z219">
        <v>17</v>
      </c>
      <c r="AA219" s="31">
        <v>45796</v>
      </c>
      <c r="AB219" s="61">
        <v>0.68685185185185182</v>
      </c>
      <c r="AC219" t="s">
        <v>795</v>
      </c>
      <c r="AD219" s="31">
        <v>45813</v>
      </c>
      <c r="AE219" s="61">
        <v>0.43167824074074068</v>
      </c>
      <c r="AF219" t="s">
        <v>934</v>
      </c>
      <c r="AH219" t="s">
        <v>3901</v>
      </c>
      <c r="AI219" t="s">
        <v>3900</v>
      </c>
      <c r="AQ219">
        <v>1</v>
      </c>
    </row>
    <row r="220" spans="1:43" hidden="1" x14ac:dyDescent="0.3">
      <c r="A220" t="s">
        <v>31</v>
      </c>
      <c r="B220">
        <v>398</v>
      </c>
      <c r="C220">
        <v>98</v>
      </c>
      <c r="D220">
        <v>2049</v>
      </c>
      <c r="G220" t="s">
        <v>3918</v>
      </c>
      <c r="I220" t="s">
        <v>604</v>
      </c>
      <c r="J220" t="s">
        <v>1243</v>
      </c>
      <c r="M220" t="s">
        <v>3295</v>
      </c>
      <c r="T220" t="s">
        <v>319</v>
      </c>
      <c r="U220" t="s">
        <v>3417</v>
      </c>
      <c r="Z220">
        <v>14</v>
      </c>
      <c r="AA220" s="31">
        <v>45797</v>
      </c>
      <c r="AB220" s="61">
        <v>0.40790509259259261</v>
      </c>
      <c r="AC220" t="s">
        <v>795</v>
      </c>
      <c r="AD220" s="31">
        <v>45811</v>
      </c>
      <c r="AE220" s="61">
        <v>0.65237268518518521</v>
      </c>
      <c r="AF220" t="s">
        <v>796</v>
      </c>
      <c r="AH220" t="s">
        <v>3919</v>
      </c>
      <c r="AI220" t="s">
        <v>3920</v>
      </c>
      <c r="AQ220">
        <v>1</v>
      </c>
    </row>
    <row r="221" spans="1:43" hidden="1" x14ac:dyDescent="0.3">
      <c r="A221" t="s">
        <v>31</v>
      </c>
      <c r="B221">
        <v>399</v>
      </c>
      <c r="C221">
        <v>180</v>
      </c>
      <c r="D221">
        <v>2052</v>
      </c>
      <c r="G221" t="s">
        <v>3921</v>
      </c>
      <c r="H221">
        <v>7287290000226</v>
      </c>
      <c r="I221" t="s">
        <v>3561</v>
      </c>
      <c r="J221" t="s">
        <v>3922</v>
      </c>
      <c r="K221" t="s">
        <v>3563</v>
      </c>
      <c r="M221" t="s">
        <v>3564</v>
      </c>
      <c r="O221" t="s">
        <v>6455</v>
      </c>
      <c r="P221" t="s">
        <v>3566</v>
      </c>
      <c r="Q221" t="s">
        <v>790</v>
      </c>
      <c r="T221" t="s">
        <v>319</v>
      </c>
      <c r="U221" t="s">
        <v>816</v>
      </c>
      <c r="W221">
        <v>840</v>
      </c>
      <c r="X221">
        <v>0</v>
      </c>
      <c r="Z221">
        <v>0</v>
      </c>
      <c r="AA221" s="31">
        <v>45798</v>
      </c>
      <c r="AB221" s="61">
        <v>0.53145833333333337</v>
      </c>
      <c r="AC221" t="s">
        <v>818</v>
      </c>
      <c r="AD221" s="31">
        <v>45798</v>
      </c>
      <c r="AE221" s="61">
        <v>0.53222222222222226</v>
      </c>
      <c r="AH221" t="s">
        <v>3882</v>
      </c>
      <c r="AI221" t="s">
        <v>3920</v>
      </c>
      <c r="AQ221">
        <v>1</v>
      </c>
    </row>
    <row r="222" spans="1:43" hidden="1" x14ac:dyDescent="0.3">
      <c r="A222" t="s">
        <v>31</v>
      </c>
      <c r="B222">
        <v>400</v>
      </c>
      <c r="C222">
        <v>107</v>
      </c>
      <c r="D222">
        <v>2055</v>
      </c>
      <c r="G222" t="s">
        <v>3923</v>
      </c>
      <c r="H222">
        <v>7527737000297</v>
      </c>
      <c r="I222" t="s">
        <v>427</v>
      </c>
      <c r="J222" t="s">
        <v>914</v>
      </c>
      <c r="M222" t="s">
        <v>3320</v>
      </c>
      <c r="S222" t="s">
        <v>1718</v>
      </c>
      <c r="T222" t="s">
        <v>319</v>
      </c>
      <c r="U222" t="s">
        <v>781</v>
      </c>
      <c r="Z222">
        <v>132</v>
      </c>
      <c r="AA222" s="31">
        <v>45799</v>
      </c>
      <c r="AB222" s="61">
        <v>0.39634259259259258</v>
      </c>
      <c r="AC222" t="s">
        <v>795</v>
      </c>
      <c r="AD222" s="31">
        <v>45931</v>
      </c>
      <c r="AE222" s="61">
        <v>0.70456018518518515</v>
      </c>
      <c r="AF222" t="s">
        <v>1358</v>
      </c>
      <c r="AI222" t="s">
        <v>3924</v>
      </c>
      <c r="AQ222">
        <v>1</v>
      </c>
    </row>
    <row r="223" spans="1:43" hidden="1" x14ac:dyDescent="0.3">
      <c r="A223" t="s">
        <v>31</v>
      </c>
      <c r="B223">
        <v>401</v>
      </c>
      <c r="C223">
        <v>103</v>
      </c>
      <c r="D223">
        <v>2056</v>
      </c>
      <c r="G223" t="s">
        <v>3925</v>
      </c>
      <c r="H223">
        <v>12549273000179</v>
      </c>
      <c r="I223" t="s">
        <v>3309</v>
      </c>
      <c r="J223" t="s">
        <v>1804</v>
      </c>
      <c r="M223" t="s">
        <v>3312</v>
      </c>
      <c r="O223" t="s">
        <v>6441</v>
      </c>
      <c r="P223" t="s">
        <v>1596</v>
      </c>
      <c r="Q223" t="s">
        <v>790</v>
      </c>
      <c r="T223" t="s">
        <v>319</v>
      </c>
      <c r="U223" t="s">
        <v>816</v>
      </c>
      <c r="W223">
        <v>3780</v>
      </c>
      <c r="X223">
        <v>0</v>
      </c>
      <c r="Z223">
        <v>13</v>
      </c>
      <c r="AA223" s="31">
        <v>45799</v>
      </c>
      <c r="AB223" s="61">
        <v>0.43107638888888888</v>
      </c>
      <c r="AC223" t="s">
        <v>818</v>
      </c>
      <c r="AD223" s="31">
        <v>45812</v>
      </c>
      <c r="AE223" s="61">
        <v>0.6988078703703704</v>
      </c>
      <c r="AH223" t="s">
        <v>3924</v>
      </c>
      <c r="AI223" t="s">
        <v>1726</v>
      </c>
      <c r="AQ223">
        <v>1</v>
      </c>
    </row>
    <row r="224" spans="1:43" hidden="1" x14ac:dyDescent="0.3">
      <c r="A224" t="s">
        <v>31</v>
      </c>
      <c r="B224">
        <v>402</v>
      </c>
      <c r="C224">
        <v>98</v>
      </c>
      <c r="D224">
        <v>2057</v>
      </c>
      <c r="G224" t="s">
        <v>3926</v>
      </c>
      <c r="I224" t="s">
        <v>604</v>
      </c>
      <c r="J224" t="s">
        <v>3927</v>
      </c>
      <c r="M224" t="s">
        <v>3295</v>
      </c>
      <c r="T224" t="s">
        <v>319</v>
      </c>
      <c r="U224" t="s">
        <v>3417</v>
      </c>
      <c r="Z224">
        <v>1</v>
      </c>
      <c r="AA224" s="31">
        <v>45799</v>
      </c>
      <c r="AB224" s="61">
        <v>0.45256944444444452</v>
      </c>
      <c r="AC224" t="s">
        <v>795</v>
      </c>
      <c r="AD224" s="31">
        <v>45800</v>
      </c>
      <c r="AE224" s="61">
        <v>0.53533564814814816</v>
      </c>
      <c r="AF224" t="s">
        <v>1358</v>
      </c>
      <c r="AH224" t="s">
        <v>3924</v>
      </c>
      <c r="AI224" t="s">
        <v>1726</v>
      </c>
      <c r="AQ224">
        <v>1</v>
      </c>
    </row>
    <row r="225" spans="1:43" hidden="1" x14ac:dyDescent="0.3">
      <c r="A225" t="s">
        <v>31</v>
      </c>
      <c r="B225">
        <v>403</v>
      </c>
      <c r="C225">
        <v>76</v>
      </c>
      <c r="D225">
        <v>2059</v>
      </c>
      <c r="G225" t="s">
        <v>3928</v>
      </c>
      <c r="I225" t="s">
        <v>225</v>
      </c>
      <c r="J225" t="s">
        <v>3691</v>
      </c>
      <c r="K225" t="s">
        <v>3623</v>
      </c>
      <c r="M225" t="s">
        <v>3233</v>
      </c>
      <c r="P225" t="s">
        <v>3234</v>
      </c>
      <c r="Q225" t="s">
        <v>1699</v>
      </c>
      <c r="T225" t="s">
        <v>319</v>
      </c>
      <c r="U225" t="s">
        <v>816</v>
      </c>
      <c r="W225">
        <v>1680</v>
      </c>
      <c r="X225">
        <v>0</v>
      </c>
      <c r="Z225">
        <v>0</v>
      </c>
      <c r="AA225" s="31">
        <v>45804</v>
      </c>
      <c r="AB225" s="61">
        <v>0.78116898148148151</v>
      </c>
      <c r="AC225" t="s">
        <v>818</v>
      </c>
      <c r="AD225" s="31">
        <v>45804</v>
      </c>
      <c r="AE225" s="61">
        <v>0.78571759259259255</v>
      </c>
      <c r="AH225" t="s">
        <v>3929</v>
      </c>
      <c r="AI225" t="s">
        <v>3929</v>
      </c>
      <c r="AQ225">
        <v>1</v>
      </c>
    </row>
    <row r="226" spans="1:43" hidden="1" x14ac:dyDescent="0.3">
      <c r="A226" t="s">
        <v>31</v>
      </c>
      <c r="B226">
        <v>404</v>
      </c>
      <c r="C226">
        <v>107</v>
      </c>
      <c r="D226">
        <v>2060</v>
      </c>
      <c r="G226" t="s">
        <v>3930</v>
      </c>
      <c r="H226">
        <v>7527737000297</v>
      </c>
      <c r="I226" t="s">
        <v>427</v>
      </c>
      <c r="J226" t="s">
        <v>914</v>
      </c>
      <c r="M226" t="s">
        <v>3320</v>
      </c>
      <c r="T226" t="s">
        <v>319</v>
      </c>
      <c r="U226" t="s">
        <v>781</v>
      </c>
      <c r="Z226">
        <v>127</v>
      </c>
      <c r="AA226" s="31">
        <v>45804</v>
      </c>
      <c r="AB226" s="61">
        <v>0.79291666666666671</v>
      </c>
      <c r="AC226" t="s">
        <v>795</v>
      </c>
      <c r="AD226" s="31">
        <v>45931</v>
      </c>
      <c r="AE226" s="61">
        <v>0.70349537037037035</v>
      </c>
      <c r="AF226" t="s">
        <v>867</v>
      </c>
      <c r="AQ226">
        <v>1</v>
      </c>
    </row>
    <row r="227" spans="1:43" hidden="1" x14ac:dyDescent="0.3">
      <c r="A227" t="s">
        <v>31</v>
      </c>
      <c r="B227">
        <v>411</v>
      </c>
      <c r="C227">
        <v>103</v>
      </c>
      <c r="D227">
        <v>2074</v>
      </c>
      <c r="G227" t="s">
        <v>3931</v>
      </c>
      <c r="H227">
        <v>12549273000179</v>
      </c>
      <c r="I227" t="s">
        <v>3309</v>
      </c>
      <c r="J227" t="s">
        <v>3932</v>
      </c>
      <c r="K227" t="s">
        <v>3933</v>
      </c>
      <c r="M227" t="s">
        <v>3312</v>
      </c>
      <c r="O227" t="s">
        <v>6441</v>
      </c>
      <c r="P227" t="s">
        <v>1596</v>
      </c>
      <c r="Q227" t="s">
        <v>790</v>
      </c>
      <c r="S227" t="s">
        <v>1718</v>
      </c>
      <c r="T227" t="s">
        <v>319</v>
      </c>
      <c r="U227" t="s">
        <v>3417</v>
      </c>
      <c r="W227">
        <v>420</v>
      </c>
      <c r="X227">
        <v>3564</v>
      </c>
      <c r="Z227">
        <v>29</v>
      </c>
      <c r="AA227" s="31">
        <v>45805</v>
      </c>
      <c r="AB227" s="61">
        <v>0.45006944444444452</v>
      </c>
      <c r="AC227" t="s">
        <v>795</v>
      </c>
      <c r="AD227" s="31">
        <v>45834</v>
      </c>
      <c r="AE227" s="61">
        <v>0.66600694444444442</v>
      </c>
      <c r="AF227" t="s">
        <v>867</v>
      </c>
      <c r="AH227" t="s">
        <v>3934</v>
      </c>
      <c r="AI227" t="s">
        <v>3934</v>
      </c>
      <c r="AQ227">
        <v>1</v>
      </c>
    </row>
    <row r="228" spans="1:43" hidden="1" x14ac:dyDescent="0.3">
      <c r="A228" t="s">
        <v>31</v>
      </c>
      <c r="B228">
        <v>414</v>
      </c>
      <c r="C228">
        <v>187</v>
      </c>
      <c r="D228">
        <v>2102</v>
      </c>
      <c r="G228" t="s">
        <v>3935</v>
      </c>
      <c r="H228">
        <v>17063632000105</v>
      </c>
      <c r="I228" t="s">
        <v>3631</v>
      </c>
      <c r="J228" t="s">
        <v>3936</v>
      </c>
      <c r="K228" t="s">
        <v>3633</v>
      </c>
      <c r="M228" t="s">
        <v>3634</v>
      </c>
      <c r="O228" t="s">
        <v>6464</v>
      </c>
      <c r="P228" t="s">
        <v>3636</v>
      </c>
      <c r="Q228" t="s">
        <v>1699</v>
      </c>
      <c r="T228" t="s">
        <v>319</v>
      </c>
      <c r="U228" t="s">
        <v>3417</v>
      </c>
      <c r="W228">
        <v>4200</v>
      </c>
      <c r="X228">
        <v>0</v>
      </c>
      <c r="Z228">
        <v>5</v>
      </c>
      <c r="AA228" s="31">
        <v>45806</v>
      </c>
      <c r="AB228" s="61">
        <v>0.6139930555555555</v>
      </c>
      <c r="AC228" t="s">
        <v>795</v>
      </c>
      <c r="AD228" s="31">
        <v>45811</v>
      </c>
      <c r="AE228" s="61">
        <v>0.64604166666666663</v>
      </c>
      <c r="AF228" t="s">
        <v>796</v>
      </c>
      <c r="AH228" t="s">
        <v>3937</v>
      </c>
      <c r="AQ228">
        <v>1</v>
      </c>
    </row>
    <row r="229" spans="1:43" hidden="1" x14ac:dyDescent="0.3">
      <c r="A229" t="s">
        <v>31</v>
      </c>
      <c r="B229">
        <v>418</v>
      </c>
      <c r="C229">
        <v>196</v>
      </c>
      <c r="D229">
        <v>2143</v>
      </c>
      <c r="G229" t="s">
        <v>488</v>
      </c>
      <c r="H229">
        <v>32494222000102</v>
      </c>
      <c r="I229" t="s">
        <v>3715</v>
      </c>
      <c r="J229" t="s">
        <v>3716</v>
      </c>
      <c r="K229" t="s">
        <v>3717</v>
      </c>
      <c r="M229" t="s">
        <v>3718</v>
      </c>
      <c r="O229" t="s">
        <v>6471</v>
      </c>
      <c r="P229" t="s">
        <v>3720</v>
      </c>
      <c r="Q229" t="s">
        <v>790</v>
      </c>
      <c r="T229" t="s">
        <v>319</v>
      </c>
      <c r="U229" t="s">
        <v>3417</v>
      </c>
      <c r="W229">
        <v>1600</v>
      </c>
      <c r="X229">
        <v>252621</v>
      </c>
      <c r="Z229">
        <v>4</v>
      </c>
      <c r="AA229" s="31">
        <v>45807</v>
      </c>
      <c r="AB229" s="61">
        <v>0.49321759259259262</v>
      </c>
      <c r="AC229" t="s">
        <v>795</v>
      </c>
      <c r="AD229" s="31">
        <v>45811</v>
      </c>
      <c r="AE229" s="61">
        <v>0.65384259259259259</v>
      </c>
      <c r="AF229" t="s">
        <v>867</v>
      </c>
      <c r="AH229" t="s">
        <v>1590</v>
      </c>
      <c r="AI229" t="s">
        <v>1590</v>
      </c>
      <c r="AQ229">
        <v>1</v>
      </c>
    </row>
    <row r="230" spans="1:43" hidden="1" x14ac:dyDescent="0.3">
      <c r="A230" t="s">
        <v>31</v>
      </c>
      <c r="B230">
        <v>420</v>
      </c>
      <c r="C230">
        <v>73</v>
      </c>
      <c r="D230">
        <v>2145</v>
      </c>
      <c r="G230" t="s">
        <v>3938</v>
      </c>
      <c r="I230" t="s">
        <v>3218</v>
      </c>
      <c r="J230" t="s">
        <v>1474</v>
      </c>
      <c r="K230" t="s">
        <v>3939</v>
      </c>
      <c r="M230" t="s">
        <v>3220</v>
      </c>
      <c r="T230" t="s">
        <v>319</v>
      </c>
      <c r="U230" t="s">
        <v>3417</v>
      </c>
      <c r="W230">
        <v>3024</v>
      </c>
      <c r="X230">
        <v>3564</v>
      </c>
      <c r="Z230">
        <v>7</v>
      </c>
      <c r="AA230" s="31">
        <v>45807</v>
      </c>
      <c r="AB230" s="61">
        <v>0.59365740740740736</v>
      </c>
      <c r="AC230" t="s">
        <v>795</v>
      </c>
      <c r="AD230" s="31">
        <v>45814</v>
      </c>
      <c r="AE230" s="61">
        <v>0.47375</v>
      </c>
      <c r="AF230" t="s">
        <v>796</v>
      </c>
      <c r="AH230" t="s">
        <v>3940</v>
      </c>
      <c r="AI230" t="s">
        <v>3940</v>
      </c>
      <c r="AQ230">
        <v>1</v>
      </c>
    </row>
    <row r="231" spans="1:43" hidden="1" x14ac:dyDescent="0.3">
      <c r="A231" t="s">
        <v>31</v>
      </c>
      <c r="B231">
        <v>421</v>
      </c>
      <c r="C231">
        <v>148</v>
      </c>
      <c r="D231">
        <v>531</v>
      </c>
      <c r="G231" t="s">
        <v>3941</v>
      </c>
      <c r="H231">
        <v>8530284000130</v>
      </c>
      <c r="I231" t="s">
        <v>3555</v>
      </c>
      <c r="J231" t="s">
        <v>2927</v>
      </c>
      <c r="K231" t="s">
        <v>3942</v>
      </c>
      <c r="M231" t="s">
        <v>3557</v>
      </c>
      <c r="T231" t="s">
        <v>319</v>
      </c>
      <c r="U231" t="s">
        <v>816</v>
      </c>
      <c r="W231">
        <v>714</v>
      </c>
      <c r="X231">
        <v>32076</v>
      </c>
      <c r="Z231">
        <v>7</v>
      </c>
      <c r="AA231" s="31">
        <v>45807</v>
      </c>
      <c r="AB231" s="61">
        <v>0.61069444444444443</v>
      </c>
      <c r="AC231" t="s">
        <v>818</v>
      </c>
      <c r="AD231" s="31">
        <v>45814</v>
      </c>
      <c r="AE231" s="61">
        <v>0.70561342592592591</v>
      </c>
      <c r="AH231" t="s">
        <v>3916</v>
      </c>
      <c r="AI231" t="s">
        <v>3940</v>
      </c>
      <c r="AQ231">
        <v>1</v>
      </c>
    </row>
    <row r="232" spans="1:43" hidden="1" x14ac:dyDescent="0.3">
      <c r="A232" t="s">
        <v>31</v>
      </c>
      <c r="B232">
        <v>424</v>
      </c>
      <c r="C232">
        <v>122</v>
      </c>
      <c r="D232">
        <v>2180</v>
      </c>
      <c r="G232" t="s">
        <v>3865</v>
      </c>
      <c r="I232" t="s">
        <v>680</v>
      </c>
      <c r="J232" t="s">
        <v>680</v>
      </c>
      <c r="K232" t="s">
        <v>3867</v>
      </c>
      <c r="M232" t="s">
        <v>3351</v>
      </c>
      <c r="T232" t="s">
        <v>319</v>
      </c>
      <c r="U232" t="s">
        <v>816</v>
      </c>
      <c r="W232">
        <v>2000</v>
      </c>
      <c r="X232">
        <v>0</v>
      </c>
      <c r="Z232">
        <v>0</v>
      </c>
      <c r="AA232" s="31">
        <v>45812</v>
      </c>
      <c r="AB232" s="61">
        <v>0.68781250000000005</v>
      </c>
      <c r="AC232" t="s">
        <v>818</v>
      </c>
      <c r="AD232" s="31">
        <v>45812</v>
      </c>
      <c r="AE232" s="61">
        <v>0.69079861111111107</v>
      </c>
      <c r="AH232" t="s">
        <v>3943</v>
      </c>
      <c r="AQ232">
        <v>1</v>
      </c>
    </row>
    <row r="233" spans="1:43" hidden="1" x14ac:dyDescent="0.3">
      <c r="A233" t="s">
        <v>31</v>
      </c>
      <c r="B233">
        <v>427</v>
      </c>
      <c r="C233">
        <v>115</v>
      </c>
      <c r="D233">
        <v>2188</v>
      </c>
      <c r="G233" t="s">
        <v>3944</v>
      </c>
      <c r="I233" t="s">
        <v>3333</v>
      </c>
      <c r="J233" t="s">
        <v>3945</v>
      </c>
      <c r="K233" t="s">
        <v>3526</v>
      </c>
      <c r="M233" t="s">
        <v>3334</v>
      </c>
      <c r="T233" t="s">
        <v>319</v>
      </c>
      <c r="U233" t="s">
        <v>3417</v>
      </c>
      <c r="Z233">
        <v>8</v>
      </c>
      <c r="AA233" s="31">
        <v>45813</v>
      </c>
      <c r="AB233" s="61">
        <v>0.61968749999999995</v>
      </c>
      <c r="AC233" t="s">
        <v>795</v>
      </c>
      <c r="AD233" s="31">
        <v>45821</v>
      </c>
      <c r="AE233" s="61">
        <v>0.69953703703703707</v>
      </c>
      <c r="AF233" t="s">
        <v>934</v>
      </c>
      <c r="AH233" t="s">
        <v>1854</v>
      </c>
      <c r="AI233" t="s">
        <v>3946</v>
      </c>
      <c r="AQ233">
        <v>1</v>
      </c>
    </row>
    <row r="234" spans="1:43" hidden="1" x14ac:dyDescent="0.3">
      <c r="A234" t="s">
        <v>31</v>
      </c>
      <c r="B234">
        <v>429</v>
      </c>
      <c r="C234">
        <v>119</v>
      </c>
      <c r="D234">
        <v>2191</v>
      </c>
      <c r="G234" t="s">
        <v>3947</v>
      </c>
      <c r="I234" t="s">
        <v>608</v>
      </c>
      <c r="J234" t="s">
        <v>844</v>
      </c>
      <c r="K234" t="s">
        <v>3948</v>
      </c>
      <c r="M234" t="s">
        <v>3345</v>
      </c>
      <c r="S234" t="s">
        <v>1419</v>
      </c>
      <c r="T234" t="s">
        <v>319</v>
      </c>
      <c r="U234" t="s">
        <v>3417</v>
      </c>
      <c r="W234">
        <v>26200</v>
      </c>
      <c r="X234">
        <v>3400</v>
      </c>
      <c r="Z234">
        <v>102</v>
      </c>
      <c r="AA234" s="31">
        <v>45814</v>
      </c>
      <c r="AB234" s="61">
        <v>0.59260416666666671</v>
      </c>
      <c r="AC234" t="s">
        <v>795</v>
      </c>
      <c r="AD234" s="31">
        <v>45916</v>
      </c>
      <c r="AE234" s="61">
        <v>0.50366898148148154</v>
      </c>
      <c r="AF234" t="s">
        <v>934</v>
      </c>
      <c r="AQ234">
        <v>1</v>
      </c>
    </row>
    <row r="235" spans="1:43" hidden="1" x14ac:dyDescent="0.3">
      <c r="A235" t="s">
        <v>31</v>
      </c>
      <c r="B235">
        <v>430</v>
      </c>
      <c r="C235">
        <v>134</v>
      </c>
      <c r="D235">
        <v>2192</v>
      </c>
      <c r="G235" t="s">
        <v>3949</v>
      </c>
      <c r="I235" t="s">
        <v>3377</v>
      </c>
      <c r="J235" t="s">
        <v>161</v>
      </c>
      <c r="K235" t="s">
        <v>3830</v>
      </c>
      <c r="M235" t="s">
        <v>3379</v>
      </c>
      <c r="S235" t="s">
        <v>1419</v>
      </c>
      <c r="T235" t="s">
        <v>319</v>
      </c>
      <c r="U235" t="s">
        <v>3417</v>
      </c>
      <c r="W235">
        <v>0</v>
      </c>
      <c r="X235">
        <v>2016</v>
      </c>
      <c r="Z235">
        <v>81</v>
      </c>
      <c r="AA235" s="31">
        <v>45814</v>
      </c>
      <c r="AB235" s="61">
        <v>0.61868055555555557</v>
      </c>
      <c r="AC235" t="s">
        <v>795</v>
      </c>
      <c r="AD235" s="31">
        <v>45895</v>
      </c>
      <c r="AE235" s="61">
        <v>0.63534722222222217</v>
      </c>
      <c r="AF235" t="s">
        <v>934</v>
      </c>
      <c r="AH235" t="s">
        <v>3951</v>
      </c>
      <c r="AI235" t="s">
        <v>3951</v>
      </c>
      <c r="AQ235">
        <v>1</v>
      </c>
    </row>
    <row r="236" spans="1:43" hidden="1" x14ac:dyDescent="0.3">
      <c r="A236" t="s">
        <v>31</v>
      </c>
      <c r="B236">
        <v>432</v>
      </c>
      <c r="C236">
        <v>211</v>
      </c>
      <c r="D236">
        <v>2196</v>
      </c>
      <c r="G236" t="s">
        <v>3952</v>
      </c>
      <c r="H236">
        <v>5691820000190</v>
      </c>
      <c r="I236" t="s">
        <v>3912</v>
      </c>
      <c r="J236" t="s">
        <v>6496</v>
      </c>
      <c r="K236" t="s">
        <v>3913</v>
      </c>
      <c r="M236" t="s">
        <v>3914</v>
      </c>
      <c r="O236" t="s">
        <v>6495</v>
      </c>
      <c r="P236" t="s">
        <v>1026</v>
      </c>
      <c r="Q236" t="s">
        <v>1027</v>
      </c>
      <c r="T236" t="s">
        <v>319</v>
      </c>
      <c r="U236" t="s">
        <v>3417</v>
      </c>
      <c r="W236">
        <v>58143</v>
      </c>
      <c r="X236">
        <v>0</v>
      </c>
      <c r="Z236">
        <v>3</v>
      </c>
      <c r="AA236" s="31">
        <v>45818</v>
      </c>
      <c r="AB236" s="61">
        <v>0.52453703703703702</v>
      </c>
      <c r="AC236" t="s">
        <v>795</v>
      </c>
      <c r="AD236" s="31">
        <v>45821</v>
      </c>
      <c r="AE236" s="61">
        <v>0.46098379629629632</v>
      </c>
      <c r="AF236" t="s">
        <v>867</v>
      </c>
      <c r="AH236" t="s">
        <v>3954</v>
      </c>
      <c r="AQ236">
        <v>1</v>
      </c>
    </row>
    <row r="237" spans="1:43" hidden="1" x14ac:dyDescent="0.3">
      <c r="A237" t="s">
        <v>31</v>
      </c>
      <c r="B237">
        <v>436</v>
      </c>
      <c r="C237">
        <v>207</v>
      </c>
      <c r="D237">
        <v>2201</v>
      </c>
      <c r="G237" t="s">
        <v>6497</v>
      </c>
      <c r="H237">
        <v>43609706000168</v>
      </c>
      <c r="I237" t="s">
        <v>3839</v>
      </c>
      <c r="J237" t="s">
        <v>3956</v>
      </c>
      <c r="K237" t="s">
        <v>3840</v>
      </c>
      <c r="M237" t="s">
        <v>3841</v>
      </c>
      <c r="O237" t="s">
        <v>6488</v>
      </c>
      <c r="P237" t="s">
        <v>3843</v>
      </c>
      <c r="Q237" t="s">
        <v>932</v>
      </c>
      <c r="S237" t="s">
        <v>1419</v>
      </c>
      <c r="T237" t="s">
        <v>319</v>
      </c>
      <c r="U237" t="s">
        <v>3417</v>
      </c>
      <c r="W237">
        <v>7140</v>
      </c>
      <c r="X237">
        <v>0</v>
      </c>
      <c r="Z237">
        <v>12</v>
      </c>
      <c r="AA237" s="31">
        <v>45820</v>
      </c>
      <c r="AB237" s="61">
        <v>0.70355324074074077</v>
      </c>
      <c r="AC237" t="s">
        <v>795</v>
      </c>
      <c r="AD237" s="31">
        <v>45832</v>
      </c>
      <c r="AE237" s="61">
        <v>0.64807870370370368</v>
      </c>
      <c r="AF237" t="s">
        <v>934</v>
      </c>
      <c r="AH237" t="s">
        <v>3957</v>
      </c>
      <c r="AI237" t="s">
        <v>3957</v>
      </c>
      <c r="AQ237">
        <v>1</v>
      </c>
    </row>
    <row r="238" spans="1:43" hidden="1" x14ac:dyDescent="0.3">
      <c r="A238" t="s">
        <v>31</v>
      </c>
      <c r="B238">
        <v>437</v>
      </c>
      <c r="C238">
        <v>147</v>
      </c>
      <c r="D238">
        <v>2202</v>
      </c>
      <c r="G238" t="s">
        <v>3958</v>
      </c>
      <c r="H238">
        <v>7964558000136</v>
      </c>
      <c r="I238" t="s">
        <v>3430</v>
      </c>
      <c r="J238" t="s">
        <v>6498</v>
      </c>
      <c r="K238" t="s">
        <v>3515</v>
      </c>
      <c r="M238" t="s">
        <v>3433</v>
      </c>
      <c r="S238" t="s">
        <v>1718</v>
      </c>
      <c r="T238" t="s">
        <v>319</v>
      </c>
      <c r="U238" t="s">
        <v>3417</v>
      </c>
      <c r="W238">
        <v>420</v>
      </c>
      <c r="X238">
        <v>3564</v>
      </c>
      <c r="Z238">
        <v>52</v>
      </c>
      <c r="AA238" s="31">
        <v>45821</v>
      </c>
      <c r="AB238" s="61">
        <v>0.42613425925925918</v>
      </c>
      <c r="AC238" t="s">
        <v>795</v>
      </c>
      <c r="AD238" s="31">
        <v>45873</v>
      </c>
      <c r="AE238" s="61">
        <v>0.72765046296296299</v>
      </c>
      <c r="AF238" t="s">
        <v>1358</v>
      </c>
      <c r="AH238" t="s">
        <v>3960</v>
      </c>
      <c r="AI238" t="s">
        <v>3960</v>
      </c>
      <c r="AQ238">
        <v>1</v>
      </c>
    </row>
    <row r="239" spans="1:43" hidden="1" x14ac:dyDescent="0.3">
      <c r="A239" t="s">
        <v>31</v>
      </c>
      <c r="B239">
        <v>438</v>
      </c>
      <c r="C239">
        <v>182</v>
      </c>
      <c r="D239">
        <v>2203</v>
      </c>
      <c r="G239" t="s">
        <v>3961</v>
      </c>
      <c r="H239">
        <v>23873456000161</v>
      </c>
      <c r="I239" t="s">
        <v>3573</v>
      </c>
      <c r="J239" t="s">
        <v>6499</v>
      </c>
      <c r="K239" t="s">
        <v>3575</v>
      </c>
      <c r="M239" t="s">
        <v>3576</v>
      </c>
      <c r="O239" t="s">
        <v>6457</v>
      </c>
      <c r="P239" t="s">
        <v>1837</v>
      </c>
      <c r="Q239" t="s">
        <v>790</v>
      </c>
      <c r="S239" t="s">
        <v>1718</v>
      </c>
      <c r="T239" t="s">
        <v>319</v>
      </c>
      <c r="U239" t="s">
        <v>3417</v>
      </c>
      <c r="W239">
        <v>420</v>
      </c>
      <c r="X239">
        <v>3564</v>
      </c>
      <c r="Z239">
        <v>10</v>
      </c>
      <c r="AA239" s="31">
        <v>45821</v>
      </c>
      <c r="AB239" s="61">
        <v>0.46237268518518521</v>
      </c>
      <c r="AC239" t="s">
        <v>795</v>
      </c>
      <c r="AD239" s="31">
        <v>45831</v>
      </c>
      <c r="AE239" s="61">
        <v>0.44872685185185179</v>
      </c>
      <c r="AF239" t="s">
        <v>934</v>
      </c>
      <c r="AH239" t="s">
        <v>3960</v>
      </c>
      <c r="AI239" t="s">
        <v>3960</v>
      </c>
      <c r="AQ239">
        <v>1</v>
      </c>
    </row>
    <row r="240" spans="1:43" hidden="1" x14ac:dyDescent="0.3">
      <c r="A240" t="s">
        <v>31</v>
      </c>
      <c r="B240">
        <v>439</v>
      </c>
      <c r="C240">
        <v>149</v>
      </c>
      <c r="D240">
        <v>2204</v>
      </c>
      <c r="G240" t="s">
        <v>3963</v>
      </c>
      <c r="H240">
        <v>12418196000118</v>
      </c>
      <c r="I240" t="s">
        <v>3645</v>
      </c>
      <c r="J240" t="s">
        <v>3688</v>
      </c>
      <c r="K240" t="s">
        <v>3647</v>
      </c>
      <c r="M240" t="s">
        <v>3648</v>
      </c>
      <c r="S240" t="s">
        <v>1718</v>
      </c>
      <c r="T240" t="s">
        <v>319</v>
      </c>
      <c r="U240" t="s">
        <v>3606</v>
      </c>
      <c r="Z240">
        <v>13</v>
      </c>
      <c r="AA240" s="31">
        <v>45821</v>
      </c>
      <c r="AB240" s="61">
        <v>0.46744212962962961</v>
      </c>
      <c r="AC240" t="s">
        <v>795</v>
      </c>
      <c r="AD240" s="31">
        <v>45834</v>
      </c>
      <c r="AE240" s="61">
        <v>0.66707175925925921</v>
      </c>
      <c r="AF240" t="s">
        <v>867</v>
      </c>
      <c r="AI240" t="s">
        <v>3960</v>
      </c>
      <c r="AQ240">
        <v>1</v>
      </c>
    </row>
    <row r="241" spans="1:43" hidden="1" x14ac:dyDescent="0.3">
      <c r="A241" t="s">
        <v>31</v>
      </c>
      <c r="B241">
        <v>440</v>
      </c>
      <c r="C241">
        <v>212</v>
      </c>
      <c r="D241">
        <v>2205</v>
      </c>
      <c r="G241" t="s">
        <v>3964</v>
      </c>
      <c r="H241">
        <v>54984976000175</v>
      </c>
      <c r="I241" t="s">
        <v>3965</v>
      </c>
      <c r="J241" t="s">
        <v>3966</v>
      </c>
      <c r="K241" t="s">
        <v>3967</v>
      </c>
      <c r="M241" t="s">
        <v>3968</v>
      </c>
      <c r="O241" t="s">
        <v>6500</v>
      </c>
      <c r="P241" t="s">
        <v>1094</v>
      </c>
      <c r="Q241" t="s">
        <v>790</v>
      </c>
      <c r="S241" t="s">
        <v>1718</v>
      </c>
      <c r="T241" t="s">
        <v>319</v>
      </c>
      <c r="U241" t="s">
        <v>816</v>
      </c>
      <c r="W241">
        <v>420</v>
      </c>
      <c r="X241">
        <v>3564</v>
      </c>
      <c r="Z241">
        <v>10</v>
      </c>
      <c r="AA241" s="31">
        <v>45821</v>
      </c>
      <c r="AB241" s="61">
        <v>0.48508101851851848</v>
      </c>
      <c r="AC241" t="s">
        <v>795</v>
      </c>
      <c r="AD241" s="31">
        <v>45831</v>
      </c>
      <c r="AE241" s="61">
        <v>0.39015046296296302</v>
      </c>
      <c r="AF241" t="s">
        <v>934</v>
      </c>
      <c r="AH241" t="s">
        <v>3960</v>
      </c>
      <c r="AI241" t="s">
        <v>3960</v>
      </c>
      <c r="AQ241">
        <v>1</v>
      </c>
    </row>
    <row r="242" spans="1:43" hidden="1" x14ac:dyDescent="0.3">
      <c r="A242" t="s">
        <v>31</v>
      </c>
      <c r="B242">
        <v>442</v>
      </c>
      <c r="C242">
        <v>85</v>
      </c>
      <c r="D242">
        <v>2207</v>
      </c>
      <c r="G242" t="s">
        <v>3970</v>
      </c>
      <c r="I242" t="s">
        <v>3261</v>
      </c>
      <c r="J242" t="s">
        <v>3971</v>
      </c>
      <c r="K242" t="s">
        <v>3972</v>
      </c>
      <c r="M242" t="s">
        <v>3263</v>
      </c>
      <c r="P242" t="s">
        <v>3264</v>
      </c>
      <c r="T242" t="s">
        <v>319</v>
      </c>
      <c r="U242" t="s">
        <v>3417</v>
      </c>
      <c r="W242">
        <v>420</v>
      </c>
      <c r="X242">
        <v>3564</v>
      </c>
      <c r="Z242">
        <v>71</v>
      </c>
      <c r="AA242" s="31">
        <v>45824</v>
      </c>
      <c r="AB242" s="61">
        <v>0.40819444444444453</v>
      </c>
      <c r="AC242" t="s">
        <v>795</v>
      </c>
      <c r="AD242" s="31">
        <v>45895</v>
      </c>
      <c r="AE242" s="61">
        <v>0.62921296296296292</v>
      </c>
      <c r="AF242" t="s">
        <v>867</v>
      </c>
      <c r="AH242" t="s">
        <v>1769</v>
      </c>
      <c r="AI242" t="s">
        <v>3973</v>
      </c>
      <c r="AQ242">
        <v>1</v>
      </c>
    </row>
    <row r="243" spans="1:43" hidden="1" x14ac:dyDescent="0.3">
      <c r="A243" t="s">
        <v>31</v>
      </c>
      <c r="B243">
        <v>443</v>
      </c>
      <c r="C243">
        <v>108</v>
      </c>
      <c r="D243">
        <v>2208</v>
      </c>
      <c r="G243" t="s">
        <v>3974</v>
      </c>
      <c r="I243" t="s">
        <v>3321</v>
      </c>
      <c r="J243" t="s">
        <v>3975</v>
      </c>
      <c r="M243" t="s">
        <v>3322</v>
      </c>
      <c r="T243" t="s">
        <v>319</v>
      </c>
      <c r="U243" t="s">
        <v>3417</v>
      </c>
      <c r="W243">
        <v>420</v>
      </c>
      <c r="X243">
        <v>3564</v>
      </c>
      <c r="Z243">
        <v>2</v>
      </c>
      <c r="AA243" s="31">
        <v>45824</v>
      </c>
      <c r="AB243" s="61">
        <v>0.47565972222222219</v>
      </c>
      <c r="AC243" t="s">
        <v>795</v>
      </c>
      <c r="AD243" s="31">
        <v>45826</v>
      </c>
      <c r="AE243" s="61">
        <v>0.72990740740740745</v>
      </c>
      <c r="AF243" t="s">
        <v>867</v>
      </c>
      <c r="AH243" t="s">
        <v>3973</v>
      </c>
      <c r="AI243" t="s">
        <v>3973</v>
      </c>
      <c r="AQ243">
        <v>1</v>
      </c>
    </row>
    <row r="244" spans="1:43" hidden="1" x14ac:dyDescent="0.3">
      <c r="A244" t="s">
        <v>31</v>
      </c>
      <c r="B244">
        <v>444</v>
      </c>
      <c r="C244">
        <v>137</v>
      </c>
      <c r="D244">
        <v>2209</v>
      </c>
      <c r="G244" t="s">
        <v>3976</v>
      </c>
      <c r="I244" t="s">
        <v>116</v>
      </c>
      <c r="J244" t="s">
        <v>704</v>
      </c>
      <c r="K244" t="s">
        <v>3703</v>
      </c>
      <c r="M244" t="s">
        <v>3386</v>
      </c>
      <c r="T244" t="s">
        <v>319</v>
      </c>
      <c r="U244" t="s">
        <v>3417</v>
      </c>
      <c r="W244">
        <v>420</v>
      </c>
      <c r="X244">
        <v>3564</v>
      </c>
      <c r="Z244">
        <v>9</v>
      </c>
      <c r="AA244" s="31">
        <v>45824</v>
      </c>
      <c r="AB244" s="61">
        <v>0.48714120370370367</v>
      </c>
      <c r="AC244" t="s">
        <v>795</v>
      </c>
      <c r="AD244" s="31">
        <v>45833</v>
      </c>
      <c r="AE244" s="61">
        <v>0.46094907407407409</v>
      </c>
      <c r="AF244" t="s">
        <v>934</v>
      </c>
      <c r="AH244" t="s">
        <v>3973</v>
      </c>
      <c r="AI244" t="s">
        <v>3973</v>
      </c>
      <c r="AQ244">
        <v>1</v>
      </c>
    </row>
    <row r="245" spans="1:43" hidden="1" x14ac:dyDescent="0.3">
      <c r="A245" t="s">
        <v>31</v>
      </c>
      <c r="B245">
        <v>445</v>
      </c>
      <c r="C245">
        <v>116</v>
      </c>
      <c r="D245">
        <v>2211</v>
      </c>
      <c r="G245" t="s">
        <v>3977</v>
      </c>
      <c r="I245" t="s">
        <v>3335</v>
      </c>
      <c r="J245" t="s">
        <v>3978</v>
      </c>
      <c r="K245" t="s">
        <v>3979</v>
      </c>
      <c r="M245" t="s">
        <v>3337</v>
      </c>
      <c r="P245" t="s">
        <v>3338</v>
      </c>
      <c r="Q245" t="s">
        <v>3339</v>
      </c>
      <c r="T245" t="s">
        <v>319</v>
      </c>
      <c r="U245" t="s">
        <v>816</v>
      </c>
      <c r="W245">
        <v>420</v>
      </c>
      <c r="X245">
        <v>3564</v>
      </c>
      <c r="Z245">
        <v>39</v>
      </c>
      <c r="AA245" s="31">
        <v>45824</v>
      </c>
      <c r="AB245" s="61">
        <v>0.61697916666666663</v>
      </c>
      <c r="AC245" t="s">
        <v>795</v>
      </c>
      <c r="AD245" s="31">
        <v>45863</v>
      </c>
      <c r="AE245" s="61">
        <v>0.61900462962962965</v>
      </c>
      <c r="AF245" t="s">
        <v>934</v>
      </c>
      <c r="AH245" t="s">
        <v>3973</v>
      </c>
      <c r="AI245" t="s">
        <v>3973</v>
      </c>
      <c r="AQ245">
        <v>1</v>
      </c>
    </row>
    <row r="246" spans="1:43" hidden="1" x14ac:dyDescent="0.3">
      <c r="A246" t="s">
        <v>31</v>
      </c>
      <c r="B246">
        <v>446</v>
      </c>
      <c r="C246">
        <v>112</v>
      </c>
      <c r="D246">
        <v>2212</v>
      </c>
      <c r="G246" t="s">
        <v>3980</v>
      </c>
      <c r="I246" t="s">
        <v>3327</v>
      </c>
      <c r="J246" t="s">
        <v>3764</v>
      </c>
      <c r="M246" t="s">
        <v>3328</v>
      </c>
      <c r="T246" t="s">
        <v>319</v>
      </c>
      <c r="U246" t="s">
        <v>816</v>
      </c>
      <c r="W246">
        <v>420</v>
      </c>
      <c r="X246">
        <v>3564</v>
      </c>
      <c r="Z246">
        <v>2</v>
      </c>
      <c r="AA246" s="31">
        <v>45824</v>
      </c>
      <c r="AB246" s="61">
        <v>0.64842592592592596</v>
      </c>
      <c r="AC246" t="s">
        <v>795</v>
      </c>
      <c r="AD246" s="31">
        <v>45826</v>
      </c>
      <c r="AE246" s="61">
        <v>0.39716435185185178</v>
      </c>
      <c r="AF246" t="s">
        <v>867</v>
      </c>
      <c r="AH246" t="s">
        <v>3973</v>
      </c>
      <c r="AI246" t="s">
        <v>3973</v>
      </c>
      <c r="AQ246">
        <v>1</v>
      </c>
    </row>
    <row r="247" spans="1:43" hidden="1" x14ac:dyDescent="0.3">
      <c r="A247" t="s">
        <v>31</v>
      </c>
      <c r="B247">
        <v>448</v>
      </c>
      <c r="C247">
        <v>153</v>
      </c>
      <c r="D247">
        <v>2214</v>
      </c>
      <c r="G247" t="s">
        <v>3981</v>
      </c>
      <c r="I247" t="s">
        <v>3451</v>
      </c>
      <c r="J247" t="s">
        <v>6501</v>
      </c>
      <c r="K247" t="s">
        <v>3983</v>
      </c>
      <c r="M247" t="s">
        <v>3454</v>
      </c>
      <c r="T247" t="s">
        <v>319</v>
      </c>
      <c r="U247" t="s">
        <v>816</v>
      </c>
      <c r="W247">
        <v>420</v>
      </c>
      <c r="X247">
        <v>3564</v>
      </c>
      <c r="Z247">
        <v>10</v>
      </c>
      <c r="AA247" s="31">
        <v>45824</v>
      </c>
      <c r="AB247" s="61">
        <v>0.73062499999999997</v>
      </c>
      <c r="AC247" t="s">
        <v>795</v>
      </c>
      <c r="AD247" s="31">
        <v>45834</v>
      </c>
      <c r="AE247" s="61">
        <v>0.48526620370370371</v>
      </c>
      <c r="AF247" t="s">
        <v>934</v>
      </c>
      <c r="AH247" t="s">
        <v>3973</v>
      </c>
      <c r="AI247" t="s">
        <v>3973</v>
      </c>
      <c r="AQ247">
        <v>1</v>
      </c>
    </row>
    <row r="248" spans="1:43" hidden="1" x14ac:dyDescent="0.3">
      <c r="A248" t="s">
        <v>31</v>
      </c>
      <c r="B248">
        <v>449</v>
      </c>
      <c r="C248">
        <v>134</v>
      </c>
      <c r="D248">
        <v>2215</v>
      </c>
      <c r="G248" t="s">
        <v>3984</v>
      </c>
      <c r="I248" t="s">
        <v>3377</v>
      </c>
      <c r="J248" t="s">
        <v>3985</v>
      </c>
      <c r="K248" t="s">
        <v>3830</v>
      </c>
      <c r="M248" t="s">
        <v>3379</v>
      </c>
      <c r="T248" t="s">
        <v>319</v>
      </c>
      <c r="U248" t="s">
        <v>816</v>
      </c>
      <c r="W248">
        <v>1680</v>
      </c>
      <c r="X248">
        <v>0</v>
      </c>
      <c r="Z248">
        <v>0</v>
      </c>
      <c r="AA248" s="31">
        <v>45826</v>
      </c>
      <c r="AB248" s="61">
        <v>0.39401620370370372</v>
      </c>
      <c r="AC248" t="s">
        <v>818</v>
      </c>
      <c r="AD248" s="31">
        <v>45826</v>
      </c>
      <c r="AE248" s="61">
        <v>0.39494212962962971</v>
      </c>
      <c r="AH248" t="s">
        <v>3986</v>
      </c>
      <c r="AQ248">
        <v>1</v>
      </c>
    </row>
    <row r="249" spans="1:43" hidden="1" x14ac:dyDescent="0.3">
      <c r="A249" t="s">
        <v>31</v>
      </c>
      <c r="B249">
        <v>452</v>
      </c>
      <c r="C249">
        <v>134</v>
      </c>
      <c r="D249">
        <v>2215</v>
      </c>
      <c r="G249" t="s">
        <v>6502</v>
      </c>
      <c r="I249" t="s">
        <v>3377</v>
      </c>
      <c r="J249" t="s">
        <v>3985</v>
      </c>
      <c r="K249" t="s">
        <v>3830</v>
      </c>
      <c r="M249" t="s">
        <v>3379</v>
      </c>
      <c r="T249" t="s">
        <v>319</v>
      </c>
      <c r="U249" t="s">
        <v>3409</v>
      </c>
      <c r="Z249">
        <v>8</v>
      </c>
      <c r="AA249" s="31">
        <v>45826</v>
      </c>
      <c r="AB249" s="61">
        <v>0.69927083333333329</v>
      </c>
      <c r="AC249" t="s">
        <v>795</v>
      </c>
      <c r="AD249" s="31">
        <v>45834</v>
      </c>
      <c r="AE249" s="61">
        <v>0.66675925925925927</v>
      </c>
      <c r="AF249" t="s">
        <v>867</v>
      </c>
      <c r="AH249" t="s">
        <v>3986</v>
      </c>
      <c r="AI249" t="s">
        <v>3986</v>
      </c>
      <c r="AQ249">
        <v>1</v>
      </c>
    </row>
    <row r="250" spans="1:43" hidden="1" x14ac:dyDescent="0.3">
      <c r="A250" t="s">
        <v>31</v>
      </c>
      <c r="B250">
        <v>454</v>
      </c>
      <c r="C250">
        <v>170</v>
      </c>
      <c r="D250">
        <v>2220</v>
      </c>
      <c r="G250" t="s">
        <v>3988</v>
      </c>
      <c r="H250">
        <v>4150555001304</v>
      </c>
      <c r="I250" t="s">
        <v>3477</v>
      </c>
      <c r="J250" t="s">
        <v>3478</v>
      </c>
      <c r="K250" t="s">
        <v>3569</v>
      </c>
      <c r="M250" t="s">
        <v>3480</v>
      </c>
      <c r="O250" t="s">
        <v>6444</v>
      </c>
      <c r="P250" t="s">
        <v>3482</v>
      </c>
      <c r="Q250" t="s">
        <v>1699</v>
      </c>
      <c r="T250" t="s">
        <v>319</v>
      </c>
      <c r="U250" t="s">
        <v>816</v>
      </c>
      <c r="W250">
        <v>13000</v>
      </c>
      <c r="X250">
        <v>64152</v>
      </c>
      <c r="Z250">
        <v>44</v>
      </c>
      <c r="AA250" s="31">
        <v>45832</v>
      </c>
      <c r="AB250" s="61">
        <v>0.41875000000000001</v>
      </c>
      <c r="AC250" t="s">
        <v>795</v>
      </c>
      <c r="AD250" s="31">
        <v>45876</v>
      </c>
      <c r="AE250" s="61">
        <v>0.48769675925925932</v>
      </c>
      <c r="AF250" t="s">
        <v>934</v>
      </c>
      <c r="AH250" t="s">
        <v>3989</v>
      </c>
      <c r="AI250" t="s">
        <v>3989</v>
      </c>
      <c r="AQ250">
        <v>1</v>
      </c>
    </row>
    <row r="251" spans="1:43" hidden="1" x14ac:dyDescent="0.3">
      <c r="A251" t="s">
        <v>31</v>
      </c>
      <c r="B251">
        <v>458</v>
      </c>
      <c r="C251">
        <v>170</v>
      </c>
      <c r="D251">
        <v>2233</v>
      </c>
      <c r="G251" t="s">
        <v>460</v>
      </c>
      <c r="H251">
        <v>4150555001304</v>
      </c>
      <c r="I251" t="s">
        <v>3477</v>
      </c>
      <c r="J251" t="s">
        <v>3478</v>
      </c>
      <c r="K251" t="s">
        <v>3569</v>
      </c>
      <c r="M251" t="s">
        <v>3480</v>
      </c>
      <c r="O251" t="s">
        <v>6444</v>
      </c>
      <c r="P251" t="s">
        <v>3482</v>
      </c>
      <c r="Q251" t="s">
        <v>1699</v>
      </c>
      <c r="T251" t="s">
        <v>319</v>
      </c>
      <c r="U251" t="s">
        <v>816</v>
      </c>
      <c r="W251">
        <v>838821</v>
      </c>
      <c r="X251">
        <v>0</v>
      </c>
      <c r="Z251">
        <v>64</v>
      </c>
      <c r="AA251" s="31">
        <v>45832</v>
      </c>
      <c r="AB251" s="61">
        <v>0.64075231481481476</v>
      </c>
      <c r="AC251" t="s">
        <v>795</v>
      </c>
      <c r="AD251" s="31">
        <v>45896</v>
      </c>
      <c r="AE251" s="61">
        <v>0.65649305555555559</v>
      </c>
      <c r="AF251" t="s">
        <v>867</v>
      </c>
      <c r="AH251" t="s">
        <v>3990</v>
      </c>
      <c r="AQ251">
        <v>1</v>
      </c>
    </row>
    <row r="252" spans="1:43" hidden="1" x14ac:dyDescent="0.3">
      <c r="A252" t="s">
        <v>31</v>
      </c>
      <c r="B252">
        <v>459</v>
      </c>
      <c r="C252">
        <v>183</v>
      </c>
      <c r="D252">
        <v>2234</v>
      </c>
      <c r="G252" t="s">
        <v>3991</v>
      </c>
      <c r="H252">
        <v>3204281000192</v>
      </c>
      <c r="I252" t="s">
        <v>3594</v>
      </c>
      <c r="J252" t="s">
        <v>3595</v>
      </c>
      <c r="K252" t="s">
        <v>3596</v>
      </c>
      <c r="M252" t="s">
        <v>2617</v>
      </c>
      <c r="O252" t="s">
        <v>6459</v>
      </c>
      <c r="P252" t="s">
        <v>2618</v>
      </c>
      <c r="Q252" t="s">
        <v>790</v>
      </c>
      <c r="T252" t="s">
        <v>319</v>
      </c>
      <c r="U252" t="s">
        <v>3417</v>
      </c>
      <c r="W252">
        <v>420</v>
      </c>
      <c r="X252">
        <v>3564</v>
      </c>
      <c r="Z252">
        <v>45</v>
      </c>
      <c r="AA252" s="31">
        <v>45832</v>
      </c>
      <c r="AB252" s="61">
        <v>0.65225694444444449</v>
      </c>
      <c r="AC252" t="s">
        <v>795</v>
      </c>
      <c r="AD252" s="31">
        <v>45877</v>
      </c>
      <c r="AE252" s="61">
        <v>0.42207175925925933</v>
      </c>
      <c r="AF252" t="s">
        <v>934</v>
      </c>
      <c r="AH252" t="s">
        <v>3989</v>
      </c>
      <c r="AI252" t="s">
        <v>3989</v>
      </c>
      <c r="AQ252">
        <v>1</v>
      </c>
    </row>
    <row r="253" spans="1:43" hidden="1" x14ac:dyDescent="0.3">
      <c r="A253" t="s">
        <v>31</v>
      </c>
      <c r="B253">
        <v>460</v>
      </c>
      <c r="C253">
        <v>88</v>
      </c>
      <c r="D253">
        <v>2235</v>
      </c>
      <c r="G253" t="s">
        <v>3992</v>
      </c>
      <c r="I253" t="s">
        <v>660</v>
      </c>
      <c r="J253" t="s">
        <v>1133</v>
      </c>
      <c r="K253" t="s">
        <v>3993</v>
      </c>
      <c r="M253" t="s">
        <v>3273</v>
      </c>
      <c r="P253" t="s">
        <v>3274</v>
      </c>
      <c r="Q253" t="s">
        <v>932</v>
      </c>
      <c r="T253" t="s">
        <v>319</v>
      </c>
      <c r="U253" t="s">
        <v>816</v>
      </c>
      <c r="W253">
        <v>2100</v>
      </c>
      <c r="X253">
        <v>0</v>
      </c>
      <c r="Z253">
        <v>0</v>
      </c>
      <c r="AA253" s="31">
        <v>45832</v>
      </c>
      <c r="AB253" s="61">
        <v>0.67142361111111115</v>
      </c>
      <c r="AC253" t="s">
        <v>818</v>
      </c>
      <c r="AD253" s="31">
        <v>45832</v>
      </c>
      <c r="AE253" s="61">
        <v>0.67877314814814815</v>
      </c>
      <c r="AH253" t="s">
        <v>3990</v>
      </c>
      <c r="AQ253">
        <v>1</v>
      </c>
    </row>
    <row r="254" spans="1:43" hidden="1" x14ac:dyDescent="0.3">
      <c r="A254" t="s">
        <v>31</v>
      </c>
      <c r="B254">
        <v>461</v>
      </c>
      <c r="C254">
        <v>174</v>
      </c>
      <c r="D254">
        <v>2236</v>
      </c>
      <c r="G254" t="s">
        <v>3994</v>
      </c>
      <c r="H254">
        <v>45238441000164</v>
      </c>
      <c r="I254" t="s">
        <v>3507</v>
      </c>
      <c r="J254" t="s">
        <v>3995</v>
      </c>
      <c r="K254" t="s">
        <v>3509</v>
      </c>
      <c r="L254">
        <v>11973359869</v>
      </c>
      <c r="M254" t="s">
        <v>3510</v>
      </c>
      <c r="O254" t="s">
        <v>6448</v>
      </c>
      <c r="P254" t="s">
        <v>1094</v>
      </c>
      <c r="Q254" t="s">
        <v>790</v>
      </c>
      <c r="T254" t="s">
        <v>319</v>
      </c>
      <c r="U254" t="s">
        <v>816</v>
      </c>
      <c r="W254">
        <v>116661</v>
      </c>
      <c r="X254">
        <v>0</v>
      </c>
      <c r="Z254">
        <v>0</v>
      </c>
      <c r="AA254" s="31">
        <v>45832</v>
      </c>
      <c r="AB254" s="61">
        <v>0.6791666666666667</v>
      </c>
      <c r="AC254" t="s">
        <v>818</v>
      </c>
      <c r="AD254" s="31">
        <v>45832</v>
      </c>
      <c r="AE254" s="61">
        <v>0.68104166666666666</v>
      </c>
      <c r="AH254" t="s">
        <v>3990</v>
      </c>
      <c r="AQ254">
        <v>1</v>
      </c>
    </row>
    <row r="255" spans="1:43" hidden="1" x14ac:dyDescent="0.3">
      <c r="A255" t="s">
        <v>31</v>
      </c>
      <c r="B255">
        <v>464</v>
      </c>
      <c r="C255">
        <v>206</v>
      </c>
      <c r="D255">
        <v>2241</v>
      </c>
      <c r="G255" t="s">
        <v>3996</v>
      </c>
      <c r="H255">
        <v>37075503000136</v>
      </c>
      <c r="I255" t="s">
        <v>3826</v>
      </c>
      <c r="J255" t="s">
        <v>1474</v>
      </c>
      <c r="K255" t="s">
        <v>1475</v>
      </c>
      <c r="M255" t="s">
        <v>1476</v>
      </c>
      <c r="O255" t="s">
        <v>6487</v>
      </c>
      <c r="P255" t="s">
        <v>1477</v>
      </c>
      <c r="Q255" t="s">
        <v>932</v>
      </c>
      <c r="T255" t="s">
        <v>319</v>
      </c>
      <c r="U255" t="s">
        <v>3417</v>
      </c>
      <c r="Z255">
        <v>30</v>
      </c>
      <c r="AA255" s="31">
        <v>45833</v>
      </c>
      <c r="AB255" s="61">
        <v>0.45314814814814808</v>
      </c>
      <c r="AC255" t="s">
        <v>795</v>
      </c>
      <c r="AD255" s="31">
        <v>45863</v>
      </c>
      <c r="AE255" s="61">
        <v>0.4473611111111111</v>
      </c>
      <c r="AF255" t="s">
        <v>867</v>
      </c>
      <c r="AH255" t="s">
        <v>3997</v>
      </c>
      <c r="AQ255">
        <v>1</v>
      </c>
    </row>
    <row r="256" spans="1:43" hidden="1" x14ac:dyDescent="0.3">
      <c r="A256" t="s">
        <v>31</v>
      </c>
      <c r="B256">
        <v>465</v>
      </c>
      <c r="C256">
        <v>169</v>
      </c>
      <c r="D256">
        <v>2242</v>
      </c>
      <c r="G256" t="s">
        <v>3998</v>
      </c>
      <c r="H256">
        <v>11458315000101</v>
      </c>
      <c r="I256" t="s">
        <v>3465</v>
      </c>
      <c r="J256" t="s">
        <v>707</v>
      </c>
      <c r="K256" t="s">
        <v>3467</v>
      </c>
      <c r="M256" t="s">
        <v>3468</v>
      </c>
      <c r="O256" t="s">
        <v>6442</v>
      </c>
      <c r="P256" t="s">
        <v>3470</v>
      </c>
      <c r="Q256" t="s">
        <v>790</v>
      </c>
      <c r="T256" t="s">
        <v>319</v>
      </c>
      <c r="U256" t="s">
        <v>816</v>
      </c>
      <c r="W256">
        <v>1701</v>
      </c>
      <c r="X256">
        <v>32076</v>
      </c>
      <c r="Z256">
        <v>44</v>
      </c>
      <c r="AA256" s="31">
        <v>45833</v>
      </c>
      <c r="AB256" s="61">
        <v>0.50416666666666665</v>
      </c>
      <c r="AC256" t="s">
        <v>818</v>
      </c>
      <c r="AD256" s="31">
        <v>45877</v>
      </c>
      <c r="AE256" s="61">
        <v>0.60512731481481485</v>
      </c>
      <c r="AH256" t="s">
        <v>3997</v>
      </c>
      <c r="AI256" t="s">
        <v>3999</v>
      </c>
      <c r="AQ256">
        <v>1</v>
      </c>
    </row>
    <row r="257" spans="1:43" hidden="1" x14ac:dyDescent="0.3">
      <c r="A257" t="s">
        <v>31</v>
      </c>
      <c r="B257">
        <v>471</v>
      </c>
      <c r="C257">
        <v>133</v>
      </c>
      <c r="D257">
        <v>2279</v>
      </c>
      <c r="G257" t="s">
        <v>6503</v>
      </c>
      <c r="I257" t="s">
        <v>625</v>
      </c>
      <c r="J257" t="s">
        <v>3899</v>
      </c>
      <c r="K257" t="s">
        <v>3584</v>
      </c>
      <c r="M257" t="s">
        <v>2207</v>
      </c>
      <c r="T257" t="s">
        <v>319</v>
      </c>
      <c r="U257" t="s">
        <v>3417</v>
      </c>
      <c r="W257">
        <v>840</v>
      </c>
      <c r="X257">
        <v>0</v>
      </c>
      <c r="Z257">
        <v>63</v>
      </c>
      <c r="AA257" s="31">
        <v>45838</v>
      </c>
      <c r="AB257" s="61">
        <v>0.64850694444444446</v>
      </c>
      <c r="AC257" t="s">
        <v>795</v>
      </c>
      <c r="AD257" s="31">
        <v>45901</v>
      </c>
      <c r="AE257" s="61">
        <v>0.49880787037037039</v>
      </c>
      <c r="AF257" t="s">
        <v>796</v>
      </c>
      <c r="AH257" t="s">
        <v>1901</v>
      </c>
      <c r="AQ257">
        <v>1</v>
      </c>
    </row>
    <row r="258" spans="1:43" hidden="1" x14ac:dyDescent="0.3">
      <c r="A258" t="s">
        <v>31</v>
      </c>
      <c r="B258">
        <v>472</v>
      </c>
      <c r="C258">
        <v>206</v>
      </c>
      <c r="D258">
        <v>2280</v>
      </c>
      <c r="G258" t="s">
        <v>4001</v>
      </c>
      <c r="H258">
        <v>37075503000136</v>
      </c>
      <c r="I258" t="s">
        <v>3826</v>
      </c>
      <c r="J258" t="s">
        <v>1474</v>
      </c>
      <c r="K258" t="s">
        <v>1475</v>
      </c>
      <c r="M258" t="s">
        <v>1476</v>
      </c>
      <c r="O258" t="s">
        <v>6487</v>
      </c>
      <c r="P258" t="s">
        <v>1477</v>
      </c>
      <c r="Q258" t="s">
        <v>932</v>
      </c>
      <c r="T258" t="s">
        <v>319</v>
      </c>
      <c r="U258" t="s">
        <v>816</v>
      </c>
      <c r="W258">
        <v>0</v>
      </c>
      <c r="X258">
        <v>264</v>
      </c>
      <c r="Z258">
        <v>1</v>
      </c>
      <c r="AA258" s="31">
        <v>45838</v>
      </c>
      <c r="AB258" s="61">
        <v>0.67339120370370376</v>
      </c>
      <c r="AC258" t="s">
        <v>818</v>
      </c>
      <c r="AD258" s="31">
        <v>45839</v>
      </c>
      <c r="AE258" s="61">
        <v>0.64826388888888886</v>
      </c>
      <c r="AH258" t="s">
        <v>1866</v>
      </c>
      <c r="AI258" t="s">
        <v>1866</v>
      </c>
      <c r="AQ258">
        <v>1</v>
      </c>
    </row>
    <row r="259" spans="1:43" hidden="1" x14ac:dyDescent="0.3">
      <c r="A259" t="s">
        <v>31</v>
      </c>
      <c r="B259">
        <v>473</v>
      </c>
      <c r="C259">
        <v>154</v>
      </c>
      <c r="D259">
        <v>2296</v>
      </c>
      <c r="G259" t="s">
        <v>4002</v>
      </c>
      <c r="H259">
        <v>790751000159</v>
      </c>
      <c r="I259" t="s">
        <v>3456</v>
      </c>
      <c r="J259" t="s">
        <v>4003</v>
      </c>
      <c r="K259" t="s">
        <v>3580</v>
      </c>
      <c r="M259" t="s">
        <v>3459</v>
      </c>
      <c r="T259" t="s">
        <v>319</v>
      </c>
      <c r="U259" t="s">
        <v>781</v>
      </c>
      <c r="Z259">
        <v>59</v>
      </c>
      <c r="AA259" s="31">
        <v>45839</v>
      </c>
      <c r="AB259" s="61">
        <v>0.65577546296296296</v>
      </c>
      <c r="AC259" t="s">
        <v>795</v>
      </c>
      <c r="AD259" s="31">
        <v>45898</v>
      </c>
      <c r="AE259" s="61">
        <v>0.68674768518518514</v>
      </c>
      <c r="AF259" t="s">
        <v>867</v>
      </c>
      <c r="AQ259">
        <v>1</v>
      </c>
    </row>
    <row r="260" spans="1:43" hidden="1" x14ac:dyDescent="0.3">
      <c r="A260" t="s">
        <v>31</v>
      </c>
      <c r="B260">
        <v>474</v>
      </c>
      <c r="C260">
        <v>203</v>
      </c>
      <c r="D260">
        <v>2298</v>
      </c>
      <c r="G260" t="s">
        <v>4004</v>
      </c>
      <c r="H260">
        <v>11806036000183</v>
      </c>
      <c r="I260" t="s">
        <v>3791</v>
      </c>
      <c r="J260" t="s">
        <v>2600</v>
      </c>
      <c r="K260" t="s">
        <v>3792</v>
      </c>
      <c r="M260" t="s">
        <v>3793</v>
      </c>
      <c r="O260" t="s">
        <v>6480</v>
      </c>
      <c r="P260" t="s">
        <v>3636</v>
      </c>
      <c r="Q260" t="s">
        <v>1699</v>
      </c>
      <c r="T260" t="s">
        <v>319</v>
      </c>
      <c r="U260" t="s">
        <v>3417</v>
      </c>
      <c r="Z260">
        <v>13</v>
      </c>
      <c r="AA260" s="31">
        <v>45841</v>
      </c>
      <c r="AB260" s="61">
        <v>0.67476851851851849</v>
      </c>
      <c r="AC260" t="s">
        <v>795</v>
      </c>
      <c r="AD260" s="31">
        <v>45854</v>
      </c>
      <c r="AE260" s="61">
        <v>0.45506944444444453</v>
      </c>
      <c r="AF260" t="s">
        <v>1358</v>
      </c>
      <c r="AH260" t="s">
        <v>1878</v>
      </c>
      <c r="AI260" t="s">
        <v>4005</v>
      </c>
      <c r="AQ260">
        <v>1</v>
      </c>
    </row>
    <row r="261" spans="1:43" hidden="1" x14ac:dyDescent="0.3">
      <c r="A261" t="s">
        <v>31</v>
      </c>
      <c r="B261">
        <v>476</v>
      </c>
      <c r="D261">
        <v>2323</v>
      </c>
      <c r="G261" t="s">
        <v>6504</v>
      </c>
      <c r="H261">
        <v>16939440000149</v>
      </c>
      <c r="J261" t="s">
        <v>707</v>
      </c>
      <c r="K261" t="s">
        <v>3779</v>
      </c>
      <c r="M261" t="s">
        <v>3780</v>
      </c>
      <c r="T261" t="s">
        <v>319</v>
      </c>
      <c r="U261" t="s">
        <v>816</v>
      </c>
      <c r="W261">
        <v>2880</v>
      </c>
      <c r="X261">
        <v>0</v>
      </c>
      <c r="Z261">
        <v>0</v>
      </c>
      <c r="AA261" s="31">
        <v>45845</v>
      </c>
      <c r="AB261" s="61">
        <v>0.71598379629629627</v>
      </c>
      <c r="AC261" t="s">
        <v>818</v>
      </c>
      <c r="AD261" s="31">
        <v>45845</v>
      </c>
      <c r="AE261" s="61">
        <v>0.71729166666666666</v>
      </c>
      <c r="AH261" t="s">
        <v>4008</v>
      </c>
      <c r="AI261" t="s">
        <v>4008</v>
      </c>
      <c r="AQ261">
        <v>1</v>
      </c>
    </row>
    <row r="262" spans="1:43" hidden="1" x14ac:dyDescent="0.3">
      <c r="A262" t="s">
        <v>31</v>
      </c>
      <c r="B262">
        <v>477</v>
      </c>
      <c r="C262">
        <v>202</v>
      </c>
      <c r="D262">
        <v>2325</v>
      </c>
      <c r="G262" t="s">
        <v>4009</v>
      </c>
      <c r="H262">
        <v>16939440000149</v>
      </c>
      <c r="I262" t="s">
        <v>3778</v>
      </c>
      <c r="J262" t="s">
        <v>707</v>
      </c>
      <c r="K262" t="s">
        <v>3779</v>
      </c>
      <c r="M262" t="s">
        <v>3780</v>
      </c>
      <c r="O262" t="s">
        <v>6479</v>
      </c>
      <c r="P262" t="s">
        <v>3782</v>
      </c>
      <c r="Q262" t="s">
        <v>790</v>
      </c>
      <c r="T262" t="s">
        <v>319</v>
      </c>
      <c r="U262" t="s">
        <v>816</v>
      </c>
      <c r="W262">
        <v>1440</v>
      </c>
      <c r="X262">
        <v>0</v>
      </c>
      <c r="Z262">
        <v>0</v>
      </c>
      <c r="AA262" s="31">
        <v>45845</v>
      </c>
      <c r="AB262" s="61">
        <v>0.73579861111111111</v>
      </c>
      <c r="AC262" t="s">
        <v>818</v>
      </c>
      <c r="AD262" s="31">
        <v>45845</v>
      </c>
      <c r="AE262" s="61">
        <v>0.73719907407407403</v>
      </c>
      <c r="AH262" t="s">
        <v>4008</v>
      </c>
      <c r="AQ262">
        <v>1</v>
      </c>
    </row>
    <row r="263" spans="1:43" hidden="1" x14ac:dyDescent="0.3">
      <c r="A263" t="s">
        <v>31</v>
      </c>
      <c r="B263">
        <v>478</v>
      </c>
      <c r="D263">
        <v>2326</v>
      </c>
      <c r="G263" t="s">
        <v>4010</v>
      </c>
      <c r="H263">
        <v>21922850000117</v>
      </c>
      <c r="J263" t="s">
        <v>4011</v>
      </c>
      <c r="K263" t="s">
        <v>4012</v>
      </c>
      <c r="T263" t="s">
        <v>319</v>
      </c>
      <c r="U263" t="s">
        <v>816</v>
      </c>
      <c r="W263">
        <v>275352</v>
      </c>
      <c r="X263">
        <v>0</v>
      </c>
      <c r="Z263">
        <v>0</v>
      </c>
      <c r="AA263" s="31">
        <v>45846</v>
      </c>
      <c r="AB263" s="61">
        <v>0.71418981481481481</v>
      </c>
      <c r="AC263" t="s">
        <v>818</v>
      </c>
      <c r="AD263" s="31">
        <v>45846</v>
      </c>
      <c r="AE263" s="61">
        <v>0.71649305555555554</v>
      </c>
      <c r="AH263" t="s">
        <v>4013</v>
      </c>
      <c r="AI263" t="s">
        <v>4013</v>
      </c>
      <c r="AQ263">
        <v>1</v>
      </c>
    </row>
    <row r="264" spans="1:43" hidden="1" x14ac:dyDescent="0.3">
      <c r="A264" t="s">
        <v>31</v>
      </c>
      <c r="B264">
        <v>479</v>
      </c>
      <c r="C264">
        <v>187</v>
      </c>
      <c r="D264">
        <v>2330</v>
      </c>
      <c r="G264" t="s">
        <v>439</v>
      </c>
      <c r="H264">
        <v>17063632000105</v>
      </c>
      <c r="I264" t="s">
        <v>3631</v>
      </c>
      <c r="J264" t="s">
        <v>4014</v>
      </c>
      <c r="K264" t="s">
        <v>3633</v>
      </c>
      <c r="M264" t="s">
        <v>3634</v>
      </c>
      <c r="O264" t="s">
        <v>6464</v>
      </c>
      <c r="P264" t="s">
        <v>3636</v>
      </c>
      <c r="Q264" t="s">
        <v>1699</v>
      </c>
      <c r="T264" t="s">
        <v>319</v>
      </c>
      <c r="U264" t="s">
        <v>816</v>
      </c>
      <c r="W264">
        <v>41275</v>
      </c>
      <c r="X264">
        <v>0</v>
      </c>
      <c r="Z264">
        <v>2</v>
      </c>
      <c r="AA264" s="31">
        <v>45846</v>
      </c>
      <c r="AB264" s="61">
        <v>0.71885416666666668</v>
      </c>
      <c r="AC264" t="s">
        <v>818</v>
      </c>
      <c r="AD264" s="31">
        <v>45848</v>
      </c>
      <c r="AE264" s="61">
        <v>0.4230902777777778</v>
      </c>
      <c r="AH264" t="s">
        <v>4013</v>
      </c>
      <c r="AQ264">
        <v>1</v>
      </c>
    </row>
    <row r="265" spans="1:43" hidden="1" x14ac:dyDescent="0.3">
      <c r="A265" t="s">
        <v>31</v>
      </c>
      <c r="B265">
        <v>480</v>
      </c>
      <c r="D265">
        <v>2331</v>
      </c>
      <c r="G265" t="s">
        <v>4015</v>
      </c>
      <c r="H265">
        <v>21922850000117</v>
      </c>
      <c r="J265" t="s">
        <v>4011</v>
      </c>
      <c r="K265" t="s">
        <v>4012</v>
      </c>
      <c r="T265" t="s">
        <v>319</v>
      </c>
      <c r="U265" t="s">
        <v>816</v>
      </c>
      <c r="W265">
        <v>25200</v>
      </c>
      <c r="X265">
        <v>68904</v>
      </c>
      <c r="Z265">
        <v>27</v>
      </c>
      <c r="AA265" s="31">
        <v>45846</v>
      </c>
      <c r="AB265" s="61">
        <v>0.71953703703703709</v>
      </c>
      <c r="AC265" t="s">
        <v>795</v>
      </c>
      <c r="AD265" s="31">
        <v>45873</v>
      </c>
      <c r="AE265" s="61">
        <v>0.4752777777777778</v>
      </c>
      <c r="AF265" t="s">
        <v>1358</v>
      </c>
      <c r="AH265" t="s">
        <v>4013</v>
      </c>
      <c r="AI265" t="s">
        <v>4017</v>
      </c>
      <c r="AQ265">
        <v>1</v>
      </c>
    </row>
    <row r="266" spans="1:43" hidden="1" x14ac:dyDescent="0.3">
      <c r="A266" t="s">
        <v>31</v>
      </c>
      <c r="B266">
        <v>481</v>
      </c>
      <c r="C266">
        <v>152</v>
      </c>
      <c r="D266">
        <v>2337</v>
      </c>
      <c r="G266" t="s">
        <v>4018</v>
      </c>
      <c r="I266" t="s">
        <v>3445</v>
      </c>
      <c r="J266" t="s">
        <v>3620</v>
      </c>
      <c r="K266" t="s">
        <v>3621</v>
      </c>
      <c r="M266" t="s">
        <v>3448</v>
      </c>
      <c r="T266" t="s">
        <v>319</v>
      </c>
      <c r="U266" t="s">
        <v>3409</v>
      </c>
      <c r="Z266">
        <v>81</v>
      </c>
      <c r="AA266" s="31">
        <v>45849</v>
      </c>
      <c r="AB266" s="61">
        <v>0.64908564814814818</v>
      </c>
      <c r="AC266" t="s">
        <v>795</v>
      </c>
      <c r="AD266" s="31">
        <v>45930</v>
      </c>
      <c r="AE266" s="61">
        <v>0.39872685185185192</v>
      </c>
      <c r="AF266" t="s">
        <v>796</v>
      </c>
      <c r="AI266" t="s">
        <v>4019</v>
      </c>
      <c r="AQ266">
        <v>1</v>
      </c>
    </row>
    <row r="267" spans="1:43" hidden="1" x14ac:dyDescent="0.3">
      <c r="A267" t="s">
        <v>31</v>
      </c>
      <c r="B267">
        <v>482</v>
      </c>
      <c r="C267">
        <v>149</v>
      </c>
      <c r="D267">
        <v>2338</v>
      </c>
      <c r="G267" t="s">
        <v>4020</v>
      </c>
      <c r="H267">
        <v>12418196000118</v>
      </c>
      <c r="I267" t="s">
        <v>3645</v>
      </c>
      <c r="J267" t="s">
        <v>1115</v>
      </c>
      <c r="K267" t="s">
        <v>3647</v>
      </c>
      <c r="M267" t="s">
        <v>3648</v>
      </c>
      <c r="T267" t="s">
        <v>319</v>
      </c>
      <c r="U267" t="s">
        <v>3417</v>
      </c>
      <c r="W267">
        <v>0</v>
      </c>
      <c r="X267">
        <v>0</v>
      </c>
      <c r="Z267">
        <v>17</v>
      </c>
      <c r="AA267" s="31">
        <v>45849</v>
      </c>
      <c r="AB267" s="61">
        <v>0.65001157407407406</v>
      </c>
      <c r="AC267" t="s">
        <v>795</v>
      </c>
      <c r="AD267" s="31">
        <v>45866</v>
      </c>
      <c r="AE267" s="61">
        <v>0.72260416666666671</v>
      </c>
      <c r="AF267" t="s">
        <v>1358</v>
      </c>
      <c r="AH267" t="s">
        <v>4021</v>
      </c>
      <c r="AI267" t="s">
        <v>4019</v>
      </c>
      <c r="AQ267">
        <v>1</v>
      </c>
    </row>
    <row r="268" spans="1:43" hidden="1" x14ac:dyDescent="0.3">
      <c r="A268" t="s">
        <v>31</v>
      </c>
      <c r="B268">
        <v>483</v>
      </c>
      <c r="C268">
        <v>147</v>
      </c>
      <c r="D268">
        <v>2339</v>
      </c>
      <c r="G268" t="s">
        <v>4022</v>
      </c>
      <c r="H268">
        <v>7964558000136</v>
      </c>
      <c r="I268" t="s">
        <v>3430</v>
      </c>
      <c r="J268" t="s">
        <v>1317</v>
      </c>
      <c r="K268" t="s">
        <v>3515</v>
      </c>
      <c r="M268" t="s">
        <v>3433</v>
      </c>
      <c r="T268" t="s">
        <v>319</v>
      </c>
      <c r="U268" t="s">
        <v>816</v>
      </c>
      <c r="Z268">
        <v>27</v>
      </c>
      <c r="AA268" s="31">
        <v>45849</v>
      </c>
      <c r="AB268" s="61">
        <v>0.65327546296296302</v>
      </c>
      <c r="AC268" t="s">
        <v>795</v>
      </c>
      <c r="AD268" s="31">
        <v>45876</v>
      </c>
      <c r="AE268" s="61">
        <v>0.59097222222222223</v>
      </c>
      <c r="AF268" t="s">
        <v>1358</v>
      </c>
      <c r="AH268" t="s">
        <v>4019</v>
      </c>
      <c r="AQ268">
        <v>1</v>
      </c>
    </row>
    <row r="269" spans="1:43" hidden="1" x14ac:dyDescent="0.3">
      <c r="A269" t="s">
        <v>31</v>
      </c>
      <c r="B269">
        <v>489</v>
      </c>
      <c r="C269">
        <v>181</v>
      </c>
      <c r="D269">
        <v>2349</v>
      </c>
      <c r="G269" t="s">
        <v>4023</v>
      </c>
      <c r="H269">
        <v>43204189000147</v>
      </c>
      <c r="I269" t="s">
        <v>3612</v>
      </c>
      <c r="J269" t="s">
        <v>990</v>
      </c>
      <c r="K269" t="s">
        <v>3613</v>
      </c>
      <c r="M269" t="s">
        <v>3614</v>
      </c>
      <c r="O269" t="s">
        <v>6461</v>
      </c>
      <c r="P269" t="s">
        <v>3616</v>
      </c>
      <c r="Q269" t="s">
        <v>790</v>
      </c>
      <c r="T269" t="s">
        <v>319</v>
      </c>
      <c r="U269" t="s">
        <v>816</v>
      </c>
      <c r="W269">
        <v>4320</v>
      </c>
      <c r="X269">
        <v>0</v>
      </c>
      <c r="Z269">
        <v>0</v>
      </c>
      <c r="AA269" s="31">
        <v>45854</v>
      </c>
      <c r="AB269" s="61">
        <v>0.70699074074074075</v>
      </c>
      <c r="AC269" t="s">
        <v>818</v>
      </c>
      <c r="AD269" s="31">
        <v>45854</v>
      </c>
      <c r="AE269" s="61">
        <v>0.70780092592592592</v>
      </c>
      <c r="AH269" t="s">
        <v>4024</v>
      </c>
      <c r="AI269" t="s">
        <v>4025</v>
      </c>
      <c r="AQ269">
        <v>1</v>
      </c>
    </row>
    <row r="270" spans="1:43" hidden="1" x14ac:dyDescent="0.3">
      <c r="A270" t="s">
        <v>31</v>
      </c>
      <c r="B270">
        <v>490</v>
      </c>
      <c r="C270">
        <v>182</v>
      </c>
      <c r="D270">
        <v>2350</v>
      </c>
      <c r="G270" t="s">
        <v>4026</v>
      </c>
      <c r="H270">
        <v>23873456000161</v>
      </c>
      <c r="I270" t="s">
        <v>3573</v>
      </c>
      <c r="J270" t="s">
        <v>3574</v>
      </c>
      <c r="K270" t="s">
        <v>3575</v>
      </c>
      <c r="M270" t="s">
        <v>3576</v>
      </c>
      <c r="O270" t="s">
        <v>6457</v>
      </c>
      <c r="P270" t="s">
        <v>1837</v>
      </c>
      <c r="Q270" t="s">
        <v>790</v>
      </c>
      <c r="T270" t="s">
        <v>319</v>
      </c>
      <c r="U270" t="s">
        <v>816</v>
      </c>
      <c r="W270">
        <v>4200</v>
      </c>
      <c r="X270">
        <v>0</v>
      </c>
      <c r="Z270">
        <v>6</v>
      </c>
      <c r="AA270" s="31">
        <v>45854</v>
      </c>
      <c r="AB270" s="61">
        <v>0.70843750000000005</v>
      </c>
      <c r="AC270" t="s">
        <v>818</v>
      </c>
      <c r="AD270" s="31">
        <v>45860</v>
      </c>
      <c r="AE270" s="61">
        <v>0.52978009259259262</v>
      </c>
      <c r="AH270" t="s">
        <v>4024</v>
      </c>
      <c r="AQ270">
        <v>1</v>
      </c>
    </row>
    <row r="271" spans="1:43" hidden="1" x14ac:dyDescent="0.3">
      <c r="A271" t="s">
        <v>31</v>
      </c>
      <c r="B271">
        <v>491</v>
      </c>
      <c r="C271">
        <v>209</v>
      </c>
      <c r="D271">
        <v>2351</v>
      </c>
      <c r="G271" t="s">
        <v>4027</v>
      </c>
      <c r="H271">
        <v>10682266000115</v>
      </c>
      <c r="I271" t="s">
        <v>3893</v>
      </c>
      <c r="J271" t="s">
        <v>4028</v>
      </c>
      <c r="K271" t="s">
        <v>3895</v>
      </c>
      <c r="M271" t="s">
        <v>3896</v>
      </c>
      <c r="O271" t="s">
        <v>6493</v>
      </c>
      <c r="P271" t="s">
        <v>1596</v>
      </c>
      <c r="Q271" t="s">
        <v>790</v>
      </c>
      <c r="T271" t="s">
        <v>319</v>
      </c>
      <c r="U271" t="s">
        <v>816</v>
      </c>
      <c r="W271">
        <v>6720</v>
      </c>
      <c r="X271">
        <v>0</v>
      </c>
      <c r="Z271">
        <v>15</v>
      </c>
      <c r="AA271" s="31">
        <v>45855</v>
      </c>
      <c r="AB271" s="61">
        <v>0.42640046296296302</v>
      </c>
      <c r="AC271" t="s">
        <v>818</v>
      </c>
      <c r="AD271" s="31">
        <v>45870</v>
      </c>
      <c r="AE271" s="61">
        <v>0.61040509259259257</v>
      </c>
      <c r="AH271" t="s">
        <v>4029</v>
      </c>
      <c r="AI271" t="s">
        <v>1945</v>
      </c>
      <c r="AQ271">
        <v>1</v>
      </c>
    </row>
    <row r="272" spans="1:43" hidden="1" x14ac:dyDescent="0.3">
      <c r="A272" t="s">
        <v>31</v>
      </c>
      <c r="B272">
        <v>492</v>
      </c>
      <c r="C272">
        <v>147</v>
      </c>
      <c r="D272">
        <v>848</v>
      </c>
      <c r="G272" t="s">
        <v>4030</v>
      </c>
      <c r="H272">
        <v>7964558000136</v>
      </c>
      <c r="I272" t="s">
        <v>3430</v>
      </c>
      <c r="J272" t="s">
        <v>3431</v>
      </c>
      <c r="K272" t="s">
        <v>3432</v>
      </c>
      <c r="M272" t="s">
        <v>3433</v>
      </c>
      <c r="T272" t="s">
        <v>319</v>
      </c>
      <c r="U272" t="s">
        <v>3417</v>
      </c>
      <c r="W272">
        <v>716156</v>
      </c>
      <c r="X272">
        <v>0</v>
      </c>
      <c r="Z272">
        <v>11</v>
      </c>
      <c r="AA272" s="31">
        <v>45855</v>
      </c>
      <c r="AB272" s="61">
        <v>0.43496527777777783</v>
      </c>
      <c r="AC272" t="s">
        <v>795</v>
      </c>
      <c r="AD272" s="31">
        <v>45866</v>
      </c>
      <c r="AE272" s="61">
        <v>0.5060069444444445</v>
      </c>
      <c r="AF272" t="s">
        <v>867</v>
      </c>
      <c r="AH272" t="s">
        <v>4029</v>
      </c>
      <c r="AQ272">
        <v>1</v>
      </c>
    </row>
    <row r="273" spans="1:43" hidden="1" x14ac:dyDescent="0.3">
      <c r="A273" t="s">
        <v>31</v>
      </c>
      <c r="B273">
        <v>498</v>
      </c>
      <c r="C273">
        <v>171</v>
      </c>
      <c r="D273">
        <v>2383</v>
      </c>
      <c r="G273" t="s">
        <v>3663</v>
      </c>
      <c r="H273">
        <v>39955762000187</v>
      </c>
      <c r="I273" t="s">
        <v>3484</v>
      </c>
      <c r="J273" t="s">
        <v>3664</v>
      </c>
      <c r="K273" t="s">
        <v>3665</v>
      </c>
      <c r="M273" t="s">
        <v>3487</v>
      </c>
      <c r="O273" t="s">
        <v>6445</v>
      </c>
      <c r="P273" t="s">
        <v>1094</v>
      </c>
      <c r="Q273" t="s">
        <v>790</v>
      </c>
      <c r="T273" t="s">
        <v>319</v>
      </c>
      <c r="U273" t="s">
        <v>816</v>
      </c>
      <c r="W273">
        <v>245704</v>
      </c>
      <c r="X273">
        <v>0</v>
      </c>
      <c r="Z273">
        <v>0</v>
      </c>
      <c r="AA273" s="31">
        <v>45861</v>
      </c>
      <c r="AB273" s="61">
        <v>0.71406250000000004</v>
      </c>
      <c r="AC273" t="s">
        <v>818</v>
      </c>
      <c r="AD273" s="31">
        <v>45861</v>
      </c>
      <c r="AE273" s="61">
        <v>0.71575231481481483</v>
      </c>
      <c r="AH273" t="s">
        <v>4032</v>
      </c>
      <c r="AQ273">
        <v>1</v>
      </c>
    </row>
    <row r="274" spans="1:43" hidden="1" x14ac:dyDescent="0.3">
      <c r="A274" t="s">
        <v>31</v>
      </c>
      <c r="B274">
        <v>499</v>
      </c>
      <c r="C274">
        <v>97</v>
      </c>
      <c r="D274">
        <v>2390</v>
      </c>
      <c r="G274" t="s">
        <v>4033</v>
      </c>
      <c r="H274">
        <v>22500484000170</v>
      </c>
      <c r="I274" t="s">
        <v>669</v>
      </c>
      <c r="J274" t="s">
        <v>4034</v>
      </c>
      <c r="K274" t="s">
        <v>4035</v>
      </c>
      <c r="M274" t="s">
        <v>3294</v>
      </c>
      <c r="T274" t="s">
        <v>319</v>
      </c>
      <c r="U274" t="s">
        <v>816</v>
      </c>
      <c r="W274">
        <v>840</v>
      </c>
      <c r="X274">
        <v>0</v>
      </c>
      <c r="Z274">
        <v>0</v>
      </c>
      <c r="AA274" s="31">
        <v>45862</v>
      </c>
      <c r="AB274" s="61">
        <v>0.58165509259259263</v>
      </c>
      <c r="AC274" t="s">
        <v>818</v>
      </c>
      <c r="AD274" s="31">
        <v>45862</v>
      </c>
      <c r="AE274" s="61">
        <v>0.65292824074074074</v>
      </c>
      <c r="AH274" t="s">
        <v>4036</v>
      </c>
      <c r="AQ274">
        <v>1</v>
      </c>
    </row>
    <row r="275" spans="1:43" hidden="1" x14ac:dyDescent="0.3">
      <c r="A275" t="s">
        <v>31</v>
      </c>
      <c r="B275">
        <v>500</v>
      </c>
      <c r="C275">
        <v>96</v>
      </c>
      <c r="D275">
        <v>2391</v>
      </c>
      <c r="G275" t="s">
        <v>6505</v>
      </c>
      <c r="I275" t="s">
        <v>3291</v>
      </c>
      <c r="J275" t="s">
        <v>4038</v>
      </c>
      <c r="K275" t="s">
        <v>3672</v>
      </c>
      <c r="M275" t="s">
        <v>3293</v>
      </c>
      <c r="T275" t="s">
        <v>319</v>
      </c>
      <c r="U275" t="s">
        <v>816</v>
      </c>
      <c r="W275">
        <v>1440</v>
      </c>
      <c r="X275">
        <v>0</v>
      </c>
      <c r="Z275">
        <v>0</v>
      </c>
      <c r="AA275" s="31">
        <v>45862</v>
      </c>
      <c r="AB275" s="61">
        <v>0.62880787037037034</v>
      </c>
      <c r="AC275" t="s">
        <v>818</v>
      </c>
      <c r="AD275" s="31">
        <v>45862</v>
      </c>
      <c r="AE275" s="61">
        <v>0.63013888888888892</v>
      </c>
      <c r="AH275" t="s">
        <v>4036</v>
      </c>
      <c r="AQ275">
        <v>1</v>
      </c>
    </row>
    <row r="276" spans="1:43" hidden="1" x14ac:dyDescent="0.3">
      <c r="A276" t="s">
        <v>31</v>
      </c>
      <c r="B276">
        <v>501</v>
      </c>
      <c r="C276">
        <v>147</v>
      </c>
      <c r="D276">
        <v>2392</v>
      </c>
      <c r="G276" t="s">
        <v>4039</v>
      </c>
      <c r="H276">
        <v>7964558000136</v>
      </c>
      <c r="I276" t="s">
        <v>3430</v>
      </c>
      <c r="J276" t="s">
        <v>704</v>
      </c>
      <c r="K276" t="s">
        <v>3515</v>
      </c>
      <c r="M276" t="s">
        <v>3433</v>
      </c>
      <c r="T276" t="s">
        <v>319</v>
      </c>
      <c r="U276" t="s">
        <v>816</v>
      </c>
      <c r="W276">
        <v>6720</v>
      </c>
      <c r="X276">
        <v>0</v>
      </c>
      <c r="Z276">
        <v>0</v>
      </c>
      <c r="AA276" s="31">
        <v>45862</v>
      </c>
      <c r="AB276" s="61">
        <v>0.63891203703703703</v>
      </c>
      <c r="AC276" t="s">
        <v>818</v>
      </c>
      <c r="AD276" s="31">
        <v>45862</v>
      </c>
      <c r="AE276" s="61">
        <v>0.65201388888888889</v>
      </c>
      <c r="AH276" t="s">
        <v>4036</v>
      </c>
      <c r="AQ276">
        <v>1</v>
      </c>
    </row>
    <row r="277" spans="1:43" hidden="1" x14ac:dyDescent="0.3">
      <c r="A277" t="s">
        <v>31</v>
      </c>
      <c r="B277">
        <v>502</v>
      </c>
      <c r="C277">
        <v>112</v>
      </c>
      <c r="D277">
        <v>2429</v>
      </c>
      <c r="G277" t="s">
        <v>4040</v>
      </c>
      <c r="I277" t="s">
        <v>3327</v>
      </c>
      <c r="J277" t="s">
        <v>704</v>
      </c>
      <c r="M277" t="s">
        <v>3328</v>
      </c>
      <c r="T277" t="s">
        <v>319</v>
      </c>
      <c r="U277" t="s">
        <v>3417</v>
      </c>
      <c r="W277">
        <v>1600</v>
      </c>
      <c r="X277">
        <v>774415</v>
      </c>
      <c r="Z277">
        <v>34</v>
      </c>
      <c r="AA277" s="31">
        <v>45868</v>
      </c>
      <c r="AB277" s="61">
        <v>0.48775462962962962</v>
      </c>
      <c r="AC277" t="s">
        <v>795</v>
      </c>
      <c r="AD277" s="31">
        <v>45902</v>
      </c>
      <c r="AE277" s="61">
        <v>0.49239583333333331</v>
      </c>
      <c r="AF277" t="s">
        <v>5347</v>
      </c>
      <c r="AH277" t="s">
        <v>4041</v>
      </c>
      <c r="AI277" t="s">
        <v>4041</v>
      </c>
      <c r="AQ277">
        <v>1</v>
      </c>
    </row>
    <row r="278" spans="1:43" hidden="1" x14ac:dyDescent="0.3">
      <c r="A278" t="s">
        <v>31</v>
      </c>
      <c r="B278">
        <v>511</v>
      </c>
      <c r="C278">
        <v>93</v>
      </c>
      <c r="D278">
        <v>986</v>
      </c>
      <c r="G278" t="s">
        <v>4042</v>
      </c>
      <c r="I278" t="s">
        <v>3285</v>
      </c>
      <c r="J278" t="s">
        <v>3490</v>
      </c>
      <c r="K278" t="s">
        <v>3491</v>
      </c>
      <c r="M278" t="s">
        <v>3286</v>
      </c>
      <c r="T278" t="s">
        <v>319</v>
      </c>
      <c r="U278" t="s">
        <v>3417</v>
      </c>
      <c r="W278">
        <v>3360</v>
      </c>
      <c r="X278">
        <v>7128</v>
      </c>
      <c r="Z278">
        <v>28</v>
      </c>
      <c r="AA278" s="31">
        <v>45870</v>
      </c>
      <c r="AB278" s="61">
        <v>0.65550925925925929</v>
      </c>
      <c r="AC278" t="s">
        <v>795</v>
      </c>
      <c r="AD278" s="31">
        <v>45898</v>
      </c>
      <c r="AE278" s="61">
        <v>0.60733796296296294</v>
      </c>
      <c r="AF278" t="s">
        <v>867</v>
      </c>
      <c r="AH278" t="s">
        <v>4043</v>
      </c>
      <c r="AI278" t="s">
        <v>4044</v>
      </c>
      <c r="AQ278">
        <v>1</v>
      </c>
    </row>
    <row r="279" spans="1:43" hidden="1" x14ac:dyDescent="0.3">
      <c r="A279" t="s">
        <v>31</v>
      </c>
      <c r="B279">
        <v>512</v>
      </c>
      <c r="C279">
        <v>149</v>
      </c>
      <c r="D279">
        <v>2450</v>
      </c>
      <c r="G279" t="s">
        <v>6506</v>
      </c>
      <c r="H279">
        <v>12418196000118</v>
      </c>
      <c r="I279" t="s">
        <v>3645</v>
      </c>
      <c r="J279" t="s">
        <v>1115</v>
      </c>
      <c r="K279" t="s">
        <v>3647</v>
      </c>
      <c r="M279" t="s">
        <v>3648</v>
      </c>
      <c r="T279" t="s">
        <v>319</v>
      </c>
      <c r="U279" t="s">
        <v>816</v>
      </c>
      <c r="W279">
        <v>3360</v>
      </c>
      <c r="X279">
        <v>0</v>
      </c>
      <c r="Z279">
        <v>3</v>
      </c>
      <c r="AA279" s="31">
        <v>45873</v>
      </c>
      <c r="AB279" s="61">
        <v>0.43699074074074068</v>
      </c>
      <c r="AC279" t="s">
        <v>818</v>
      </c>
      <c r="AD279" s="31">
        <v>45876</v>
      </c>
      <c r="AE279" s="61">
        <v>0.64539351851851856</v>
      </c>
      <c r="AH279" t="s">
        <v>4046</v>
      </c>
      <c r="AQ279">
        <v>1</v>
      </c>
    </row>
    <row r="280" spans="1:43" hidden="1" x14ac:dyDescent="0.3">
      <c r="A280" t="s">
        <v>31</v>
      </c>
      <c r="B280">
        <v>513</v>
      </c>
      <c r="C280">
        <v>150</v>
      </c>
      <c r="D280">
        <v>2451</v>
      </c>
      <c r="G280" t="s">
        <v>4047</v>
      </c>
      <c r="H280">
        <v>32258848000101</v>
      </c>
      <c r="I280" t="s">
        <v>3435</v>
      </c>
      <c r="J280" t="s">
        <v>1804</v>
      </c>
      <c r="K280" t="s">
        <v>3493</v>
      </c>
      <c r="M280" t="s">
        <v>3437</v>
      </c>
      <c r="T280" t="s">
        <v>319</v>
      </c>
      <c r="U280" t="s">
        <v>816</v>
      </c>
      <c r="W280">
        <v>1680</v>
      </c>
      <c r="X280">
        <v>0</v>
      </c>
      <c r="Z280">
        <v>3</v>
      </c>
      <c r="AA280" s="31">
        <v>45873</v>
      </c>
      <c r="AB280" s="61">
        <v>0.62299768518518517</v>
      </c>
      <c r="AC280" t="s">
        <v>818</v>
      </c>
      <c r="AD280" s="31">
        <v>45876</v>
      </c>
      <c r="AE280" s="61">
        <v>0.69701388888888893</v>
      </c>
      <c r="AH280" t="s">
        <v>4046</v>
      </c>
      <c r="AQ280">
        <v>1</v>
      </c>
    </row>
    <row r="281" spans="1:43" hidden="1" x14ac:dyDescent="0.3">
      <c r="A281" t="s">
        <v>31</v>
      </c>
      <c r="B281">
        <v>514</v>
      </c>
      <c r="C281">
        <v>190</v>
      </c>
      <c r="D281">
        <v>1769</v>
      </c>
      <c r="G281" t="s">
        <v>4048</v>
      </c>
      <c r="H281">
        <v>18203215000175</v>
      </c>
      <c r="I281" t="s">
        <v>3690</v>
      </c>
      <c r="J281" t="s">
        <v>3691</v>
      </c>
      <c r="K281" t="s">
        <v>3692</v>
      </c>
      <c r="M281" t="s">
        <v>3693</v>
      </c>
      <c r="O281" t="s">
        <v>6470</v>
      </c>
      <c r="P281" t="s">
        <v>3695</v>
      </c>
      <c r="Q281" t="s">
        <v>790</v>
      </c>
      <c r="T281" t="s">
        <v>319</v>
      </c>
      <c r="U281" t="s">
        <v>816</v>
      </c>
      <c r="W281">
        <v>3024</v>
      </c>
      <c r="X281">
        <v>605</v>
      </c>
      <c r="Z281">
        <v>14</v>
      </c>
      <c r="AA281" s="31">
        <v>45874</v>
      </c>
      <c r="AB281" s="61">
        <v>0.66400462962962958</v>
      </c>
      <c r="AC281" t="s">
        <v>818</v>
      </c>
      <c r="AD281" s="31">
        <v>45888</v>
      </c>
      <c r="AE281" s="61">
        <v>0.48135416666666669</v>
      </c>
      <c r="AH281" t="s">
        <v>1981</v>
      </c>
      <c r="AI281" t="s">
        <v>1981</v>
      </c>
      <c r="AQ281">
        <v>1</v>
      </c>
    </row>
    <row r="282" spans="1:43" hidden="1" x14ac:dyDescent="0.3">
      <c r="A282" t="s">
        <v>31</v>
      </c>
      <c r="B282">
        <v>515</v>
      </c>
      <c r="C282">
        <v>170</v>
      </c>
      <c r="D282">
        <v>2455</v>
      </c>
      <c r="G282" t="s">
        <v>4049</v>
      </c>
      <c r="H282">
        <v>4150555001304</v>
      </c>
      <c r="I282" t="s">
        <v>3477</v>
      </c>
      <c r="J282" t="s">
        <v>3478</v>
      </c>
      <c r="K282" t="s">
        <v>3569</v>
      </c>
      <c r="M282" t="s">
        <v>3480</v>
      </c>
      <c r="O282" t="s">
        <v>6444</v>
      </c>
      <c r="P282" t="s">
        <v>3482</v>
      </c>
      <c r="Q282" t="s">
        <v>1699</v>
      </c>
      <c r="T282" t="s">
        <v>319</v>
      </c>
      <c r="U282" t="s">
        <v>816</v>
      </c>
      <c r="W282">
        <v>1847759</v>
      </c>
      <c r="X282">
        <v>1590</v>
      </c>
      <c r="Z282">
        <v>28</v>
      </c>
      <c r="AA282" s="31">
        <v>45876</v>
      </c>
      <c r="AB282" s="61">
        <v>0.48866898148148152</v>
      </c>
      <c r="AC282" t="s">
        <v>818</v>
      </c>
      <c r="AD282" s="31">
        <v>45904</v>
      </c>
      <c r="AE282" s="61">
        <v>0.71673611111111113</v>
      </c>
      <c r="AH282" t="s">
        <v>4050</v>
      </c>
      <c r="AQ282">
        <v>1</v>
      </c>
    </row>
    <row r="283" spans="1:43" hidden="1" x14ac:dyDescent="0.3">
      <c r="A283" t="s">
        <v>31</v>
      </c>
      <c r="B283">
        <v>522</v>
      </c>
      <c r="C283">
        <v>149</v>
      </c>
      <c r="D283">
        <v>2460</v>
      </c>
      <c r="G283" t="s">
        <v>4051</v>
      </c>
      <c r="H283">
        <v>12418196000118</v>
      </c>
      <c r="I283" t="s">
        <v>3645</v>
      </c>
      <c r="J283" t="s">
        <v>4052</v>
      </c>
      <c r="K283" t="s">
        <v>3647</v>
      </c>
      <c r="M283" t="s">
        <v>3648</v>
      </c>
      <c r="T283" t="s">
        <v>319</v>
      </c>
      <c r="U283" t="s">
        <v>3409</v>
      </c>
      <c r="Z283">
        <v>21</v>
      </c>
      <c r="AA283" s="31">
        <v>45877</v>
      </c>
      <c r="AB283" s="61">
        <v>0.51511574074074074</v>
      </c>
      <c r="AC283" t="s">
        <v>795</v>
      </c>
      <c r="AD283" s="31">
        <v>45898</v>
      </c>
      <c r="AE283" s="61">
        <v>0.68209490740740741</v>
      </c>
      <c r="AF283" t="s">
        <v>867</v>
      </c>
      <c r="AI283" t="s">
        <v>4043</v>
      </c>
      <c r="AQ283">
        <v>1</v>
      </c>
    </row>
    <row r="284" spans="1:43" hidden="1" x14ac:dyDescent="0.3">
      <c r="A284" t="s">
        <v>31</v>
      </c>
      <c r="B284">
        <v>523</v>
      </c>
      <c r="C284">
        <v>183</v>
      </c>
      <c r="D284">
        <v>2461</v>
      </c>
      <c r="G284" t="s">
        <v>4053</v>
      </c>
      <c r="H284">
        <v>3204281000192</v>
      </c>
      <c r="I284" t="s">
        <v>3594</v>
      </c>
      <c r="J284" t="s">
        <v>3595</v>
      </c>
      <c r="K284" t="s">
        <v>3596</v>
      </c>
      <c r="M284" t="s">
        <v>2617</v>
      </c>
      <c r="O284" t="s">
        <v>6459</v>
      </c>
      <c r="P284" t="s">
        <v>2618</v>
      </c>
      <c r="Q284" t="s">
        <v>790</v>
      </c>
      <c r="T284" t="s">
        <v>319</v>
      </c>
      <c r="U284" t="s">
        <v>816</v>
      </c>
      <c r="W284">
        <v>26200</v>
      </c>
      <c r="X284">
        <v>3400</v>
      </c>
      <c r="Z284">
        <v>43</v>
      </c>
      <c r="AA284" s="31">
        <v>45880</v>
      </c>
      <c r="AB284" s="61">
        <v>0.49128472222222219</v>
      </c>
      <c r="AC284" t="s">
        <v>795</v>
      </c>
      <c r="AD284" s="31">
        <v>45923</v>
      </c>
      <c r="AE284" s="61">
        <v>0.65136574074074072</v>
      </c>
      <c r="AF284" t="s">
        <v>974</v>
      </c>
      <c r="AH284" t="s">
        <v>1959</v>
      </c>
      <c r="AI284" t="s">
        <v>1959</v>
      </c>
      <c r="AQ284">
        <v>1</v>
      </c>
    </row>
    <row r="285" spans="1:43" hidden="1" x14ac:dyDescent="0.3">
      <c r="A285" t="s">
        <v>31</v>
      </c>
      <c r="B285">
        <v>524</v>
      </c>
      <c r="C285">
        <v>146</v>
      </c>
      <c r="D285">
        <v>2462</v>
      </c>
      <c r="G285" t="s">
        <v>4054</v>
      </c>
      <c r="I285" t="s">
        <v>3425</v>
      </c>
      <c r="J285" t="s">
        <v>3426</v>
      </c>
      <c r="K285" t="s">
        <v>3515</v>
      </c>
      <c r="M285" t="s">
        <v>3428</v>
      </c>
      <c r="T285" t="s">
        <v>319</v>
      </c>
      <c r="U285" t="s">
        <v>3417</v>
      </c>
      <c r="W285">
        <v>3360</v>
      </c>
      <c r="X285">
        <v>7128</v>
      </c>
      <c r="Z285">
        <v>14</v>
      </c>
      <c r="AA285" s="31">
        <v>45880</v>
      </c>
      <c r="AB285" s="61">
        <v>0.49332175925925931</v>
      </c>
      <c r="AC285" t="s">
        <v>795</v>
      </c>
      <c r="AD285" s="31">
        <v>45894</v>
      </c>
      <c r="AE285" s="61">
        <v>0.66289351851851852</v>
      </c>
      <c r="AF285" t="s">
        <v>867</v>
      </c>
      <c r="AH285" t="s">
        <v>1959</v>
      </c>
      <c r="AI285" t="s">
        <v>4055</v>
      </c>
      <c r="AQ285">
        <v>1</v>
      </c>
    </row>
    <row r="286" spans="1:43" hidden="1" x14ac:dyDescent="0.3">
      <c r="A286" t="s">
        <v>31</v>
      </c>
      <c r="B286">
        <v>525</v>
      </c>
      <c r="C286">
        <v>202</v>
      </c>
      <c r="D286">
        <v>2467</v>
      </c>
      <c r="G286" t="s">
        <v>4056</v>
      </c>
      <c r="H286">
        <v>16939440000149</v>
      </c>
      <c r="I286" t="s">
        <v>3778</v>
      </c>
      <c r="J286" t="s">
        <v>707</v>
      </c>
      <c r="K286" t="s">
        <v>3779</v>
      </c>
      <c r="M286" t="s">
        <v>3780</v>
      </c>
      <c r="O286" t="s">
        <v>6479</v>
      </c>
      <c r="P286" t="s">
        <v>3782</v>
      </c>
      <c r="Q286" t="s">
        <v>790</v>
      </c>
      <c r="T286" t="s">
        <v>319</v>
      </c>
      <c r="U286" t="s">
        <v>816</v>
      </c>
      <c r="W286">
        <v>6048</v>
      </c>
      <c r="X286">
        <v>0</v>
      </c>
      <c r="Z286">
        <v>0</v>
      </c>
      <c r="AA286" s="31">
        <v>45887</v>
      </c>
      <c r="AB286" s="61">
        <v>0.39128472222222221</v>
      </c>
      <c r="AC286" t="s">
        <v>818</v>
      </c>
      <c r="AD286" s="31">
        <v>45887</v>
      </c>
      <c r="AE286" s="61">
        <v>0.39361111111111108</v>
      </c>
      <c r="AH286" t="s">
        <v>1959</v>
      </c>
      <c r="AQ286">
        <v>1</v>
      </c>
    </row>
    <row r="287" spans="1:43" hidden="1" x14ac:dyDescent="0.3">
      <c r="A287" t="s">
        <v>31</v>
      </c>
      <c r="B287">
        <v>526</v>
      </c>
      <c r="C287">
        <v>186</v>
      </c>
      <c r="D287">
        <v>2468</v>
      </c>
      <c r="G287" t="s">
        <v>4057</v>
      </c>
      <c r="H287">
        <v>10899939000193</v>
      </c>
      <c r="I287" t="s">
        <v>3625</v>
      </c>
      <c r="J287" t="s">
        <v>704</v>
      </c>
      <c r="K287" t="s">
        <v>3626</v>
      </c>
      <c r="M287" t="s">
        <v>3627</v>
      </c>
      <c r="O287" t="s">
        <v>6463</v>
      </c>
      <c r="P287" t="s">
        <v>3629</v>
      </c>
      <c r="Q287" t="s">
        <v>932</v>
      </c>
      <c r="T287" t="s">
        <v>319</v>
      </c>
      <c r="U287" t="s">
        <v>3417</v>
      </c>
      <c r="W287">
        <v>0</v>
      </c>
      <c r="X287">
        <v>3564</v>
      </c>
      <c r="Z287">
        <v>28</v>
      </c>
      <c r="AA287" s="31">
        <v>45887</v>
      </c>
      <c r="AB287" s="61">
        <v>0.40155092592592601</v>
      </c>
      <c r="AC287" t="s">
        <v>795</v>
      </c>
      <c r="AD287" s="31">
        <v>45915</v>
      </c>
      <c r="AE287" s="61">
        <v>0.63196759259259261</v>
      </c>
      <c r="AF287" t="s">
        <v>934</v>
      </c>
      <c r="AH287" t="s">
        <v>2042</v>
      </c>
      <c r="AI287" t="s">
        <v>2042</v>
      </c>
      <c r="AQ287">
        <v>1</v>
      </c>
    </row>
    <row r="288" spans="1:43" hidden="1" x14ac:dyDescent="0.3">
      <c r="A288" t="s">
        <v>31</v>
      </c>
      <c r="B288">
        <v>527</v>
      </c>
      <c r="C288">
        <v>195</v>
      </c>
      <c r="D288">
        <v>2469</v>
      </c>
      <c r="G288" t="s">
        <v>6507</v>
      </c>
      <c r="H288">
        <v>49682710000138</v>
      </c>
      <c r="I288" t="s">
        <v>4059</v>
      </c>
      <c r="J288" t="s">
        <v>4060</v>
      </c>
      <c r="K288" t="s">
        <v>4061</v>
      </c>
      <c r="M288" t="s">
        <v>4062</v>
      </c>
      <c r="O288" t="s">
        <v>6508</v>
      </c>
      <c r="P288" t="s">
        <v>1633</v>
      </c>
      <c r="Q288" t="s">
        <v>848</v>
      </c>
      <c r="T288" t="s">
        <v>319</v>
      </c>
      <c r="U288" t="s">
        <v>816</v>
      </c>
      <c r="W288">
        <v>0</v>
      </c>
      <c r="X288">
        <v>7524</v>
      </c>
      <c r="Z288">
        <v>7</v>
      </c>
      <c r="AA288" s="31">
        <v>45887</v>
      </c>
      <c r="AB288" s="61">
        <v>0.4024652777777778</v>
      </c>
      <c r="AC288" t="s">
        <v>818</v>
      </c>
      <c r="AD288" s="31">
        <v>45894</v>
      </c>
      <c r="AE288" s="61">
        <v>0.49158564814814809</v>
      </c>
      <c r="AH288" t="s">
        <v>4064</v>
      </c>
      <c r="AI288" t="s">
        <v>4064</v>
      </c>
      <c r="AQ288">
        <v>1</v>
      </c>
    </row>
    <row r="289" spans="1:43" hidden="1" x14ac:dyDescent="0.3">
      <c r="A289" t="s">
        <v>31</v>
      </c>
      <c r="B289">
        <v>528</v>
      </c>
      <c r="C289">
        <v>88</v>
      </c>
      <c r="D289">
        <v>2470</v>
      </c>
      <c r="G289" t="s">
        <v>6509</v>
      </c>
      <c r="I289" t="s">
        <v>660</v>
      </c>
      <c r="J289" t="s">
        <v>1133</v>
      </c>
      <c r="K289" t="s">
        <v>3993</v>
      </c>
      <c r="M289" t="s">
        <v>3273</v>
      </c>
      <c r="P289" t="s">
        <v>3274</v>
      </c>
      <c r="Q289" t="s">
        <v>932</v>
      </c>
      <c r="T289" t="s">
        <v>319</v>
      </c>
      <c r="U289" t="s">
        <v>3417</v>
      </c>
      <c r="W289">
        <v>3360</v>
      </c>
      <c r="X289">
        <v>7128</v>
      </c>
      <c r="Z289">
        <v>43</v>
      </c>
      <c r="AA289" s="31">
        <v>45887</v>
      </c>
      <c r="AB289" s="61">
        <v>0.43887731481481479</v>
      </c>
      <c r="AC289" t="s">
        <v>795</v>
      </c>
      <c r="AD289" s="31">
        <v>45930</v>
      </c>
      <c r="AE289" s="61">
        <v>0.38685185185185178</v>
      </c>
      <c r="AF289" t="s">
        <v>867</v>
      </c>
      <c r="AH289" t="s">
        <v>2042</v>
      </c>
      <c r="AI289" t="s">
        <v>2042</v>
      </c>
      <c r="AQ289">
        <v>1</v>
      </c>
    </row>
    <row r="290" spans="1:43" hidden="1" x14ac:dyDescent="0.3">
      <c r="A290" t="s">
        <v>31</v>
      </c>
      <c r="B290">
        <v>529</v>
      </c>
      <c r="C290">
        <v>103</v>
      </c>
      <c r="D290">
        <v>2471</v>
      </c>
      <c r="G290" t="s">
        <v>4066</v>
      </c>
      <c r="H290">
        <v>12549273000179</v>
      </c>
      <c r="I290" t="s">
        <v>3309</v>
      </c>
      <c r="J290" t="s">
        <v>4067</v>
      </c>
      <c r="M290" t="s">
        <v>3312</v>
      </c>
      <c r="O290" t="s">
        <v>6441</v>
      </c>
      <c r="P290" t="s">
        <v>1596</v>
      </c>
      <c r="Q290" t="s">
        <v>790</v>
      </c>
      <c r="T290" t="s">
        <v>319</v>
      </c>
      <c r="U290" t="s">
        <v>3417</v>
      </c>
      <c r="W290">
        <v>420</v>
      </c>
      <c r="X290">
        <v>3564</v>
      </c>
      <c r="Z290">
        <v>25</v>
      </c>
      <c r="AA290" s="31">
        <v>45887</v>
      </c>
      <c r="AB290" s="61">
        <v>0.52501157407407406</v>
      </c>
      <c r="AC290" t="s">
        <v>795</v>
      </c>
      <c r="AD290" s="31">
        <v>45912</v>
      </c>
      <c r="AE290" s="61">
        <v>0.71452546296296293</v>
      </c>
      <c r="AF290" t="s">
        <v>934</v>
      </c>
      <c r="AH290" t="s">
        <v>2042</v>
      </c>
      <c r="AI290" t="s">
        <v>4068</v>
      </c>
      <c r="AQ290">
        <v>1</v>
      </c>
    </row>
    <row r="291" spans="1:43" hidden="1" x14ac:dyDescent="0.3">
      <c r="A291" t="s">
        <v>31</v>
      </c>
      <c r="B291">
        <v>530</v>
      </c>
      <c r="C291">
        <v>154</v>
      </c>
      <c r="D291">
        <v>2472</v>
      </c>
      <c r="G291" t="s">
        <v>6510</v>
      </c>
      <c r="H291">
        <v>790751000159</v>
      </c>
      <c r="I291" t="s">
        <v>3456</v>
      </c>
      <c r="J291" t="s">
        <v>4003</v>
      </c>
      <c r="K291" t="s">
        <v>3580</v>
      </c>
      <c r="M291" t="s">
        <v>3459</v>
      </c>
      <c r="T291" t="s">
        <v>319</v>
      </c>
      <c r="U291" t="s">
        <v>816</v>
      </c>
      <c r="W291">
        <v>5800</v>
      </c>
      <c r="X291">
        <v>0</v>
      </c>
      <c r="Z291">
        <v>10</v>
      </c>
      <c r="AA291" s="31">
        <v>45887</v>
      </c>
      <c r="AB291" s="61">
        <v>0.59663194444444445</v>
      </c>
      <c r="AC291" t="s">
        <v>818</v>
      </c>
      <c r="AD291" s="31">
        <v>45897</v>
      </c>
      <c r="AE291" s="61">
        <v>0.6378125</v>
      </c>
      <c r="AH291" t="s">
        <v>4064</v>
      </c>
      <c r="AQ291">
        <v>1</v>
      </c>
    </row>
    <row r="292" spans="1:43" hidden="1" x14ac:dyDescent="0.3">
      <c r="A292" t="s">
        <v>31</v>
      </c>
      <c r="B292">
        <v>533</v>
      </c>
      <c r="C292">
        <v>167</v>
      </c>
      <c r="D292">
        <v>2480</v>
      </c>
      <c r="G292" t="s">
        <v>4070</v>
      </c>
      <c r="H292">
        <v>7973104000121</v>
      </c>
      <c r="I292" t="s">
        <v>979</v>
      </c>
      <c r="J292" t="s">
        <v>952</v>
      </c>
      <c r="K292" t="s">
        <v>4071</v>
      </c>
      <c r="M292" t="s">
        <v>982</v>
      </c>
      <c r="P292" t="s">
        <v>983</v>
      </c>
      <c r="Q292" t="s">
        <v>932</v>
      </c>
      <c r="T292" t="s">
        <v>319</v>
      </c>
      <c r="U292" t="s">
        <v>781</v>
      </c>
      <c r="Z292">
        <v>23</v>
      </c>
      <c r="AA292" s="31">
        <v>45889</v>
      </c>
      <c r="AB292" s="61">
        <v>0.41270833333333329</v>
      </c>
      <c r="AC292" t="s">
        <v>795</v>
      </c>
      <c r="AD292" s="31">
        <v>45912</v>
      </c>
      <c r="AE292" s="61">
        <v>0.71810185185185182</v>
      </c>
      <c r="AF292" t="s">
        <v>934</v>
      </c>
      <c r="AQ292">
        <v>1</v>
      </c>
    </row>
    <row r="293" spans="1:43" hidden="1" x14ac:dyDescent="0.3">
      <c r="A293" t="s">
        <v>31</v>
      </c>
      <c r="B293">
        <v>535</v>
      </c>
      <c r="C293">
        <v>175</v>
      </c>
      <c r="D293">
        <v>2483</v>
      </c>
      <c r="G293" t="s">
        <v>4072</v>
      </c>
      <c r="H293">
        <v>52362985000107</v>
      </c>
      <c r="I293" t="s">
        <v>3519</v>
      </c>
      <c r="J293" t="s">
        <v>4073</v>
      </c>
      <c r="K293" t="s">
        <v>4074</v>
      </c>
      <c r="M293" t="s">
        <v>3521</v>
      </c>
      <c r="O293" t="s">
        <v>6449</v>
      </c>
      <c r="P293" t="s">
        <v>3523</v>
      </c>
      <c r="Q293" t="s">
        <v>790</v>
      </c>
      <c r="T293" t="s">
        <v>319</v>
      </c>
      <c r="U293" t="s">
        <v>3417</v>
      </c>
      <c r="W293">
        <v>3360</v>
      </c>
      <c r="X293">
        <v>0</v>
      </c>
      <c r="Z293">
        <v>41</v>
      </c>
      <c r="AA293" s="31">
        <v>45889</v>
      </c>
      <c r="AB293" s="61">
        <v>0.42591435185185178</v>
      </c>
      <c r="AC293" t="s">
        <v>795</v>
      </c>
      <c r="AD293" s="31">
        <v>45930</v>
      </c>
      <c r="AE293" s="61">
        <v>0.39935185185185179</v>
      </c>
      <c r="AF293" t="s">
        <v>796</v>
      </c>
      <c r="AI293" t="s">
        <v>4075</v>
      </c>
      <c r="AQ293">
        <v>1</v>
      </c>
    </row>
    <row r="294" spans="1:43" hidden="1" x14ac:dyDescent="0.3">
      <c r="A294" t="s">
        <v>31</v>
      </c>
      <c r="B294">
        <v>536</v>
      </c>
      <c r="D294">
        <v>2484</v>
      </c>
      <c r="G294" t="s">
        <v>4076</v>
      </c>
      <c r="H294">
        <v>8037413000152</v>
      </c>
      <c r="J294" t="s">
        <v>4077</v>
      </c>
      <c r="K294" t="s">
        <v>4078</v>
      </c>
      <c r="M294" t="s">
        <v>4079</v>
      </c>
      <c r="T294" t="s">
        <v>319</v>
      </c>
      <c r="U294" t="s">
        <v>3417</v>
      </c>
      <c r="W294">
        <v>3360</v>
      </c>
      <c r="X294">
        <v>7128</v>
      </c>
      <c r="Z294">
        <v>37</v>
      </c>
      <c r="AA294" s="31">
        <v>45889</v>
      </c>
      <c r="AB294" s="61">
        <v>0.43030092592592589</v>
      </c>
      <c r="AC294" t="s">
        <v>795</v>
      </c>
      <c r="AD294" s="31">
        <v>45926</v>
      </c>
      <c r="AE294" s="61">
        <v>0.67302083333333329</v>
      </c>
      <c r="AF294" t="s">
        <v>796</v>
      </c>
      <c r="AH294" t="s">
        <v>4080</v>
      </c>
      <c r="AQ294">
        <v>1</v>
      </c>
    </row>
    <row r="295" spans="1:43" hidden="1" x14ac:dyDescent="0.3">
      <c r="A295" t="s">
        <v>31</v>
      </c>
      <c r="B295">
        <v>538</v>
      </c>
      <c r="C295">
        <v>132</v>
      </c>
      <c r="D295">
        <v>2489</v>
      </c>
      <c r="G295" t="s">
        <v>4081</v>
      </c>
      <c r="I295" t="s">
        <v>3373</v>
      </c>
      <c r="J295" t="s">
        <v>3588</v>
      </c>
      <c r="K295" t="s">
        <v>3553</v>
      </c>
      <c r="M295" t="s">
        <v>3375</v>
      </c>
      <c r="T295" t="s">
        <v>319</v>
      </c>
      <c r="U295" t="s">
        <v>3417</v>
      </c>
      <c r="W295">
        <v>3360</v>
      </c>
      <c r="X295">
        <v>7128</v>
      </c>
      <c r="Z295">
        <v>5</v>
      </c>
      <c r="AA295" s="31">
        <v>45889</v>
      </c>
      <c r="AB295" s="61">
        <v>0.46584490740740742</v>
      </c>
      <c r="AC295" t="s">
        <v>795</v>
      </c>
      <c r="AD295" s="31">
        <v>45894</v>
      </c>
      <c r="AE295" s="61">
        <v>0.70057870370370368</v>
      </c>
      <c r="AF295" t="s">
        <v>867</v>
      </c>
      <c r="AH295" t="s">
        <v>4080</v>
      </c>
      <c r="AI295" t="s">
        <v>4080</v>
      </c>
      <c r="AQ295">
        <v>1</v>
      </c>
    </row>
    <row r="296" spans="1:43" hidden="1" x14ac:dyDescent="0.3">
      <c r="A296" t="s">
        <v>31</v>
      </c>
      <c r="B296">
        <v>541</v>
      </c>
      <c r="C296">
        <v>97</v>
      </c>
      <c r="D296">
        <v>2495</v>
      </c>
      <c r="G296" t="s">
        <v>4082</v>
      </c>
      <c r="H296">
        <v>22500484000170</v>
      </c>
      <c r="I296" t="s">
        <v>669</v>
      </c>
      <c r="J296" t="s">
        <v>4034</v>
      </c>
      <c r="K296" t="s">
        <v>4035</v>
      </c>
      <c r="M296" t="s">
        <v>3294</v>
      </c>
      <c r="T296" t="s">
        <v>319</v>
      </c>
      <c r="U296" t="s">
        <v>816</v>
      </c>
      <c r="W296">
        <v>630</v>
      </c>
      <c r="X296">
        <v>0</v>
      </c>
      <c r="Z296">
        <v>0</v>
      </c>
      <c r="AA296" s="31">
        <v>45889</v>
      </c>
      <c r="AB296" s="61">
        <v>0.69578703703703704</v>
      </c>
      <c r="AC296" t="s">
        <v>818</v>
      </c>
      <c r="AD296" s="31">
        <v>45889</v>
      </c>
      <c r="AE296" s="61">
        <v>0.69665509259259262</v>
      </c>
      <c r="AH296" t="s">
        <v>4080</v>
      </c>
      <c r="AQ296">
        <v>1</v>
      </c>
    </row>
    <row r="297" spans="1:43" hidden="1" x14ac:dyDescent="0.3">
      <c r="A297" t="s">
        <v>31</v>
      </c>
      <c r="B297">
        <v>543</v>
      </c>
      <c r="C297">
        <v>179</v>
      </c>
      <c r="D297">
        <v>2500</v>
      </c>
      <c r="G297" t="s">
        <v>4083</v>
      </c>
      <c r="H297">
        <v>21736169000184</v>
      </c>
      <c r="I297" t="s">
        <v>3546</v>
      </c>
      <c r="J297" t="s">
        <v>1243</v>
      </c>
      <c r="K297" t="s">
        <v>3547</v>
      </c>
      <c r="M297" t="s">
        <v>3548</v>
      </c>
      <c r="O297" t="s">
        <v>6454</v>
      </c>
      <c r="P297" t="s">
        <v>3550</v>
      </c>
      <c r="Q297" t="s">
        <v>874</v>
      </c>
      <c r="T297" t="s">
        <v>319</v>
      </c>
      <c r="U297" t="s">
        <v>816</v>
      </c>
      <c r="W297">
        <v>4200</v>
      </c>
      <c r="X297">
        <v>0</v>
      </c>
      <c r="Z297">
        <v>39</v>
      </c>
      <c r="AA297" s="31">
        <v>45890</v>
      </c>
      <c r="AB297" s="61">
        <v>0.4518287037037037</v>
      </c>
      <c r="AC297" t="s">
        <v>795</v>
      </c>
      <c r="AD297" s="31">
        <v>45929</v>
      </c>
      <c r="AE297" s="61">
        <v>0.44091435185185179</v>
      </c>
      <c r="AF297" t="s">
        <v>796</v>
      </c>
      <c r="AH297" t="s">
        <v>4084</v>
      </c>
      <c r="AQ297">
        <v>1</v>
      </c>
    </row>
    <row r="298" spans="1:43" hidden="1" x14ac:dyDescent="0.3">
      <c r="A298" t="s">
        <v>31</v>
      </c>
      <c r="B298">
        <v>544</v>
      </c>
      <c r="C298">
        <v>76</v>
      </c>
      <c r="D298">
        <v>2501</v>
      </c>
      <c r="G298" t="s">
        <v>4085</v>
      </c>
      <c r="I298" t="s">
        <v>225</v>
      </c>
      <c r="J298" t="s">
        <v>4086</v>
      </c>
      <c r="K298" t="s">
        <v>3623</v>
      </c>
      <c r="M298" t="s">
        <v>3233</v>
      </c>
      <c r="P298" t="s">
        <v>3234</v>
      </c>
      <c r="Q298" t="s">
        <v>1699</v>
      </c>
      <c r="T298" t="s">
        <v>319</v>
      </c>
      <c r="U298" t="s">
        <v>816</v>
      </c>
      <c r="W298">
        <v>1680</v>
      </c>
      <c r="X298">
        <v>0</v>
      </c>
      <c r="Z298">
        <v>0</v>
      </c>
      <c r="AA298" s="31">
        <v>45890</v>
      </c>
      <c r="AB298" s="61">
        <v>0.4753472222222222</v>
      </c>
      <c r="AC298" t="s">
        <v>818</v>
      </c>
      <c r="AD298" s="31">
        <v>45890</v>
      </c>
      <c r="AE298" s="61">
        <v>0.66390046296296301</v>
      </c>
      <c r="AH298" t="s">
        <v>4084</v>
      </c>
      <c r="AQ298">
        <v>1</v>
      </c>
    </row>
    <row r="299" spans="1:43" hidden="1" x14ac:dyDescent="0.3">
      <c r="A299" t="s">
        <v>31</v>
      </c>
      <c r="B299">
        <v>547</v>
      </c>
      <c r="C299">
        <v>76</v>
      </c>
      <c r="D299">
        <v>2503</v>
      </c>
      <c r="G299" t="s">
        <v>4087</v>
      </c>
      <c r="I299" t="s">
        <v>225</v>
      </c>
      <c r="J299" t="s">
        <v>3691</v>
      </c>
      <c r="K299" t="s">
        <v>3623</v>
      </c>
      <c r="M299" t="s">
        <v>3233</v>
      </c>
      <c r="P299" t="s">
        <v>3234</v>
      </c>
      <c r="Q299" t="s">
        <v>1699</v>
      </c>
      <c r="T299" t="s">
        <v>319</v>
      </c>
      <c r="U299" t="s">
        <v>816</v>
      </c>
      <c r="W299">
        <v>1680</v>
      </c>
      <c r="X299">
        <v>64152</v>
      </c>
      <c r="Z299">
        <v>21</v>
      </c>
      <c r="AA299" s="31">
        <v>45894</v>
      </c>
      <c r="AB299" s="61">
        <v>0.41486111111111112</v>
      </c>
      <c r="AC299" t="s">
        <v>818</v>
      </c>
      <c r="AD299" s="31">
        <v>45915</v>
      </c>
      <c r="AE299" s="61">
        <v>0.47063657407407411</v>
      </c>
      <c r="AH299" t="s">
        <v>2048</v>
      </c>
      <c r="AI299" t="s">
        <v>2048</v>
      </c>
      <c r="AQ299">
        <v>1</v>
      </c>
    </row>
    <row r="300" spans="1:43" hidden="1" x14ac:dyDescent="0.3">
      <c r="A300" t="s">
        <v>31</v>
      </c>
      <c r="B300">
        <v>548</v>
      </c>
      <c r="C300">
        <v>190</v>
      </c>
      <c r="D300">
        <v>2504</v>
      </c>
      <c r="G300" t="s">
        <v>4088</v>
      </c>
      <c r="H300">
        <v>18203215000175</v>
      </c>
      <c r="I300" t="s">
        <v>3690</v>
      </c>
      <c r="J300" t="s">
        <v>4210</v>
      </c>
      <c r="K300" t="s">
        <v>3692</v>
      </c>
      <c r="M300" t="s">
        <v>3693</v>
      </c>
      <c r="O300" t="s">
        <v>6470</v>
      </c>
      <c r="P300" t="s">
        <v>3695</v>
      </c>
      <c r="Q300" t="s">
        <v>790</v>
      </c>
      <c r="T300" t="s">
        <v>319</v>
      </c>
      <c r="U300" t="s">
        <v>816</v>
      </c>
      <c r="W300">
        <v>3360</v>
      </c>
      <c r="X300">
        <v>0</v>
      </c>
      <c r="Z300">
        <v>9</v>
      </c>
      <c r="AA300" s="31">
        <v>45894</v>
      </c>
      <c r="AB300" s="61">
        <v>0.43626157407407412</v>
      </c>
      <c r="AC300" t="s">
        <v>818</v>
      </c>
      <c r="AD300" s="31">
        <v>45903</v>
      </c>
      <c r="AE300" s="61">
        <v>0.51253472222222218</v>
      </c>
      <c r="AH300" t="s">
        <v>2048</v>
      </c>
      <c r="AQ300">
        <v>1</v>
      </c>
    </row>
    <row r="301" spans="1:43" hidden="1" x14ac:dyDescent="0.3">
      <c r="A301" t="s">
        <v>31</v>
      </c>
      <c r="B301">
        <v>549</v>
      </c>
      <c r="C301">
        <v>208</v>
      </c>
      <c r="D301">
        <v>2505</v>
      </c>
      <c r="G301" t="s">
        <v>4090</v>
      </c>
      <c r="H301">
        <v>42830750000130</v>
      </c>
      <c r="I301" t="s">
        <v>3903</v>
      </c>
      <c r="J301" t="s">
        <v>4091</v>
      </c>
      <c r="K301" t="s">
        <v>3905</v>
      </c>
      <c r="M301" t="s">
        <v>4594</v>
      </c>
      <c r="O301" t="s">
        <v>6494</v>
      </c>
      <c r="P301" t="s">
        <v>1094</v>
      </c>
      <c r="Q301" t="s">
        <v>790</v>
      </c>
      <c r="T301" t="s">
        <v>319</v>
      </c>
      <c r="U301" t="s">
        <v>3417</v>
      </c>
      <c r="W301">
        <v>3360</v>
      </c>
      <c r="X301">
        <v>7128</v>
      </c>
      <c r="Z301">
        <v>7</v>
      </c>
      <c r="AA301" s="31">
        <v>45894</v>
      </c>
      <c r="AB301" s="61">
        <v>0.49232638888888891</v>
      </c>
      <c r="AC301" t="s">
        <v>795</v>
      </c>
      <c r="AD301" s="31">
        <v>45901</v>
      </c>
      <c r="AE301" s="61">
        <v>0.45027777777777778</v>
      </c>
      <c r="AF301" t="s">
        <v>934</v>
      </c>
      <c r="AH301" t="s">
        <v>2048</v>
      </c>
      <c r="AI301" t="s">
        <v>2048</v>
      </c>
      <c r="AQ301">
        <v>1</v>
      </c>
    </row>
    <row r="302" spans="1:43" hidden="1" x14ac:dyDescent="0.3">
      <c r="A302" t="s">
        <v>31</v>
      </c>
      <c r="B302">
        <v>551</v>
      </c>
      <c r="C302">
        <v>130</v>
      </c>
      <c r="D302">
        <v>2507</v>
      </c>
      <c r="G302" t="s">
        <v>4092</v>
      </c>
      <c r="I302" t="s">
        <v>141</v>
      </c>
      <c r="J302" t="s">
        <v>3675</v>
      </c>
      <c r="K302" t="s">
        <v>3676</v>
      </c>
      <c r="M302" t="s">
        <v>3368</v>
      </c>
      <c r="P302" t="s">
        <v>923</v>
      </c>
      <c r="Q302" t="s">
        <v>790</v>
      </c>
      <c r="T302" t="s">
        <v>319</v>
      </c>
      <c r="U302" t="s">
        <v>816</v>
      </c>
      <c r="W302">
        <v>2000</v>
      </c>
      <c r="X302">
        <v>0</v>
      </c>
      <c r="Z302">
        <v>0</v>
      </c>
      <c r="AA302" s="31">
        <v>45894</v>
      </c>
      <c r="AB302" s="61">
        <v>0.60696759259259259</v>
      </c>
      <c r="AC302" t="s">
        <v>818</v>
      </c>
      <c r="AD302" s="31">
        <v>45894</v>
      </c>
      <c r="AE302" s="61">
        <v>0.64976851851851847</v>
      </c>
      <c r="AH302" t="s">
        <v>2048</v>
      </c>
      <c r="AQ302">
        <v>1</v>
      </c>
    </row>
    <row r="303" spans="1:43" hidden="1" x14ac:dyDescent="0.3">
      <c r="A303" t="s">
        <v>31</v>
      </c>
      <c r="B303">
        <v>554</v>
      </c>
      <c r="C303">
        <v>0</v>
      </c>
      <c r="D303">
        <v>2510</v>
      </c>
      <c r="G303" t="s">
        <v>6511</v>
      </c>
      <c r="H303">
        <v>49119936000125</v>
      </c>
      <c r="J303" t="s">
        <v>4094</v>
      </c>
      <c r="K303" t="s">
        <v>4095</v>
      </c>
      <c r="M303" t="s">
        <v>4096</v>
      </c>
      <c r="T303" t="s">
        <v>319</v>
      </c>
      <c r="U303" t="s">
        <v>781</v>
      </c>
      <c r="Z303">
        <v>35</v>
      </c>
      <c r="AA303" s="31">
        <v>45895</v>
      </c>
      <c r="AB303" s="61">
        <v>0.47723379629629631</v>
      </c>
      <c r="AC303" t="s">
        <v>795</v>
      </c>
      <c r="AD303" s="31">
        <v>45930</v>
      </c>
      <c r="AE303" s="61">
        <v>0.69893518518518516</v>
      </c>
      <c r="AF303" t="s">
        <v>796</v>
      </c>
      <c r="AQ303">
        <v>1</v>
      </c>
    </row>
    <row r="304" spans="1:43" hidden="1" x14ac:dyDescent="0.3">
      <c r="A304" t="s">
        <v>31</v>
      </c>
      <c r="B304">
        <v>555</v>
      </c>
      <c r="C304">
        <v>129</v>
      </c>
      <c r="D304">
        <v>2513</v>
      </c>
      <c r="G304" t="s">
        <v>3535</v>
      </c>
      <c r="I304" t="s">
        <v>679</v>
      </c>
      <c r="J304" t="s">
        <v>928</v>
      </c>
      <c r="K304" t="s">
        <v>3537</v>
      </c>
      <c r="M304" t="s">
        <v>3366</v>
      </c>
      <c r="T304" t="s">
        <v>319</v>
      </c>
      <c r="U304" t="s">
        <v>816</v>
      </c>
      <c r="W304">
        <v>50000</v>
      </c>
      <c r="X304">
        <v>68904</v>
      </c>
      <c r="Z304">
        <v>21</v>
      </c>
      <c r="AA304" s="31">
        <v>45895</v>
      </c>
      <c r="AB304" s="61">
        <v>0.51844907407407403</v>
      </c>
      <c r="AC304" t="s">
        <v>818</v>
      </c>
      <c r="AD304" s="31">
        <v>45916</v>
      </c>
      <c r="AE304" s="61">
        <v>0.65458333333333329</v>
      </c>
      <c r="AH304" t="s">
        <v>4097</v>
      </c>
      <c r="AI304" t="s">
        <v>4097</v>
      </c>
      <c r="AQ304">
        <v>1</v>
      </c>
    </row>
    <row r="305" spans="1:43" hidden="1" x14ac:dyDescent="0.3">
      <c r="A305" t="s">
        <v>31</v>
      </c>
      <c r="B305">
        <v>556</v>
      </c>
      <c r="C305">
        <v>118</v>
      </c>
      <c r="D305">
        <v>2514</v>
      </c>
      <c r="G305" t="s">
        <v>4098</v>
      </c>
      <c r="I305" t="s">
        <v>686</v>
      </c>
      <c r="J305" t="s">
        <v>162</v>
      </c>
      <c r="K305" t="s">
        <v>3609</v>
      </c>
      <c r="M305" t="s">
        <v>3343</v>
      </c>
      <c r="T305" t="s">
        <v>319</v>
      </c>
      <c r="U305" t="s">
        <v>3417</v>
      </c>
      <c r="W305">
        <v>8400</v>
      </c>
      <c r="X305">
        <v>0</v>
      </c>
      <c r="Z305">
        <v>23</v>
      </c>
      <c r="AA305" s="31">
        <v>45895</v>
      </c>
      <c r="AB305" s="61">
        <v>0.52089120370370368</v>
      </c>
      <c r="AC305" t="s">
        <v>795</v>
      </c>
      <c r="AD305" s="31">
        <v>45918</v>
      </c>
      <c r="AE305" s="61">
        <v>0.51217592592592598</v>
      </c>
      <c r="AF305" t="s">
        <v>934</v>
      </c>
      <c r="AH305" t="s">
        <v>4097</v>
      </c>
      <c r="AI305" t="s">
        <v>4097</v>
      </c>
      <c r="AQ305">
        <v>1</v>
      </c>
    </row>
    <row r="306" spans="1:43" hidden="1" x14ac:dyDescent="0.3">
      <c r="A306" t="s">
        <v>31</v>
      </c>
      <c r="B306">
        <v>560</v>
      </c>
      <c r="C306">
        <v>142</v>
      </c>
      <c r="D306">
        <v>2522</v>
      </c>
      <c r="G306" t="s">
        <v>4099</v>
      </c>
      <c r="I306" t="s">
        <v>3397</v>
      </c>
      <c r="J306" t="s">
        <v>2610</v>
      </c>
      <c r="K306" t="s">
        <v>3698</v>
      </c>
      <c r="M306" t="s">
        <v>3399</v>
      </c>
      <c r="P306" t="s">
        <v>3400</v>
      </c>
      <c r="Q306" t="s">
        <v>1699</v>
      </c>
      <c r="T306" t="s">
        <v>319</v>
      </c>
      <c r="U306" t="s">
        <v>3417</v>
      </c>
      <c r="W306">
        <v>3360</v>
      </c>
      <c r="X306">
        <v>7128</v>
      </c>
      <c r="Z306">
        <v>14</v>
      </c>
      <c r="AA306" s="31">
        <v>45898</v>
      </c>
      <c r="AB306" s="61">
        <v>0.67541666666666667</v>
      </c>
      <c r="AC306" t="s">
        <v>795</v>
      </c>
      <c r="AD306" s="31">
        <v>45912</v>
      </c>
      <c r="AE306" s="61">
        <v>0.71483796296296298</v>
      </c>
      <c r="AF306" t="s">
        <v>934</v>
      </c>
      <c r="AH306" t="s">
        <v>4100</v>
      </c>
      <c r="AI306" t="s">
        <v>4100</v>
      </c>
      <c r="AQ306">
        <v>1</v>
      </c>
    </row>
    <row r="307" spans="1:43" hidden="1" x14ac:dyDescent="0.3">
      <c r="A307" t="s">
        <v>31</v>
      </c>
      <c r="B307">
        <v>565</v>
      </c>
      <c r="C307">
        <v>185</v>
      </c>
      <c r="D307">
        <v>2537</v>
      </c>
      <c r="G307" t="s">
        <v>4101</v>
      </c>
      <c r="H307">
        <v>51496785000176</v>
      </c>
      <c r="I307" t="s">
        <v>3599</v>
      </c>
      <c r="J307" t="s">
        <v>3600</v>
      </c>
      <c r="K307" t="s">
        <v>3601</v>
      </c>
      <c r="M307" t="s">
        <v>3602</v>
      </c>
      <c r="O307" t="s">
        <v>6460</v>
      </c>
      <c r="P307" t="s">
        <v>847</v>
      </c>
      <c r="Q307" t="s">
        <v>848</v>
      </c>
      <c r="T307" t="s">
        <v>319</v>
      </c>
      <c r="U307" t="s">
        <v>816</v>
      </c>
      <c r="W307">
        <v>293842</v>
      </c>
      <c r="X307">
        <v>0</v>
      </c>
      <c r="Z307">
        <v>3</v>
      </c>
      <c r="AA307" s="31">
        <v>45901</v>
      </c>
      <c r="AB307" s="61">
        <v>0.66069444444444447</v>
      </c>
      <c r="AC307" t="s">
        <v>818</v>
      </c>
      <c r="AD307" s="31">
        <v>45904</v>
      </c>
      <c r="AE307" s="61">
        <v>0.62457175925925923</v>
      </c>
      <c r="AH307" t="s">
        <v>4102</v>
      </c>
      <c r="AQ307">
        <v>1</v>
      </c>
    </row>
    <row r="308" spans="1:43" hidden="1" x14ac:dyDescent="0.3">
      <c r="A308" t="s">
        <v>31</v>
      </c>
      <c r="B308">
        <v>568</v>
      </c>
      <c r="C308">
        <v>199</v>
      </c>
      <c r="D308">
        <v>2542</v>
      </c>
      <c r="G308" t="s">
        <v>4103</v>
      </c>
      <c r="H308">
        <v>50963243000101</v>
      </c>
      <c r="I308" t="s">
        <v>3750</v>
      </c>
      <c r="J308" t="s">
        <v>3844</v>
      </c>
      <c r="K308" t="s">
        <v>3752</v>
      </c>
      <c r="M308" t="s">
        <v>3753</v>
      </c>
      <c r="O308" t="s">
        <v>6476</v>
      </c>
      <c r="P308" t="s">
        <v>1094</v>
      </c>
      <c r="Q308" t="s">
        <v>790</v>
      </c>
      <c r="T308" t="s">
        <v>319</v>
      </c>
      <c r="U308" t="s">
        <v>816</v>
      </c>
      <c r="W308">
        <v>3024</v>
      </c>
      <c r="X308">
        <v>0</v>
      </c>
      <c r="Z308">
        <v>1</v>
      </c>
      <c r="AA308" s="31">
        <v>45902</v>
      </c>
      <c r="AB308" s="61">
        <v>0.50137731481481485</v>
      </c>
      <c r="AC308" t="s">
        <v>818</v>
      </c>
      <c r="AD308" s="31">
        <v>45903</v>
      </c>
      <c r="AE308" s="61">
        <v>0.51120370370370372</v>
      </c>
      <c r="AH308" t="s">
        <v>2213</v>
      </c>
      <c r="AQ308">
        <v>1</v>
      </c>
    </row>
    <row r="309" spans="1:43" hidden="1" x14ac:dyDescent="0.3">
      <c r="A309" t="s">
        <v>31</v>
      </c>
      <c r="B309">
        <v>569</v>
      </c>
      <c r="C309">
        <v>130</v>
      </c>
      <c r="D309">
        <v>2543</v>
      </c>
      <c r="G309" t="s">
        <v>4104</v>
      </c>
      <c r="I309" t="s">
        <v>141</v>
      </c>
      <c r="J309" t="s">
        <v>3675</v>
      </c>
      <c r="K309" t="s">
        <v>3676</v>
      </c>
      <c r="M309" t="s">
        <v>3368</v>
      </c>
      <c r="P309" t="s">
        <v>923</v>
      </c>
      <c r="Q309" t="s">
        <v>790</v>
      </c>
      <c r="T309" t="s">
        <v>319</v>
      </c>
      <c r="U309" t="s">
        <v>816</v>
      </c>
      <c r="W309">
        <v>11340</v>
      </c>
      <c r="X309">
        <v>42982</v>
      </c>
      <c r="Z309">
        <v>8</v>
      </c>
      <c r="AA309" s="31">
        <v>45903</v>
      </c>
      <c r="AB309" s="61">
        <v>0.4649537037037037</v>
      </c>
      <c r="AC309" t="s">
        <v>818</v>
      </c>
      <c r="AD309" s="31">
        <v>45911</v>
      </c>
      <c r="AE309" s="61">
        <v>0.42986111111111108</v>
      </c>
      <c r="AH309" t="s">
        <v>4105</v>
      </c>
      <c r="AI309" t="s">
        <v>4105</v>
      </c>
      <c r="AQ309">
        <v>1</v>
      </c>
    </row>
    <row r="310" spans="1:43" hidden="1" x14ac:dyDescent="0.3">
      <c r="A310" t="s">
        <v>31</v>
      </c>
      <c r="B310">
        <v>570</v>
      </c>
      <c r="C310">
        <v>122</v>
      </c>
      <c r="D310">
        <v>2544</v>
      </c>
      <c r="G310" t="s">
        <v>4106</v>
      </c>
      <c r="I310" t="s">
        <v>680</v>
      </c>
      <c r="J310" t="s">
        <v>680</v>
      </c>
      <c r="K310" t="s">
        <v>3867</v>
      </c>
      <c r="M310" t="s">
        <v>3351</v>
      </c>
      <c r="T310" t="s">
        <v>319</v>
      </c>
      <c r="U310" t="s">
        <v>816</v>
      </c>
      <c r="W310">
        <v>1008</v>
      </c>
      <c r="X310">
        <v>0</v>
      </c>
      <c r="Z310">
        <v>0</v>
      </c>
      <c r="AA310" s="31">
        <v>45903</v>
      </c>
      <c r="AB310" s="61">
        <v>0.47706018518518523</v>
      </c>
      <c r="AC310" t="s">
        <v>818</v>
      </c>
      <c r="AD310" s="31">
        <v>45903</v>
      </c>
      <c r="AE310" s="61">
        <v>0.51025462962962964</v>
      </c>
      <c r="AH310" t="s">
        <v>4105</v>
      </c>
      <c r="AQ310">
        <v>1</v>
      </c>
    </row>
    <row r="311" spans="1:43" hidden="1" x14ac:dyDescent="0.3">
      <c r="A311" t="s">
        <v>31</v>
      </c>
      <c r="B311">
        <v>571</v>
      </c>
      <c r="C311">
        <v>194</v>
      </c>
      <c r="D311">
        <v>2546</v>
      </c>
      <c r="G311" t="s">
        <v>4107</v>
      </c>
      <c r="H311">
        <v>44580314000186</v>
      </c>
      <c r="I311" t="s">
        <v>3682</v>
      </c>
      <c r="J311" t="s">
        <v>4411</v>
      </c>
      <c r="K311" t="s">
        <v>3684</v>
      </c>
      <c r="M311" t="s">
        <v>3685</v>
      </c>
      <c r="O311" t="s">
        <v>6469</v>
      </c>
      <c r="P311" t="s">
        <v>3687</v>
      </c>
      <c r="Q311" t="s">
        <v>790</v>
      </c>
      <c r="T311" t="s">
        <v>319</v>
      </c>
      <c r="U311" t="s">
        <v>816</v>
      </c>
      <c r="W311">
        <v>7200</v>
      </c>
      <c r="X311">
        <v>0</v>
      </c>
      <c r="Z311">
        <v>0</v>
      </c>
      <c r="AA311" s="31">
        <v>45903</v>
      </c>
      <c r="AB311" s="61">
        <v>0.6932638888888889</v>
      </c>
      <c r="AC311" t="s">
        <v>818</v>
      </c>
      <c r="AD311" s="31">
        <v>45903</v>
      </c>
      <c r="AE311" s="61">
        <v>0.7319444444444444</v>
      </c>
      <c r="AH311" t="s">
        <v>4105</v>
      </c>
      <c r="AI311" t="s">
        <v>4105</v>
      </c>
      <c r="AQ311">
        <v>1</v>
      </c>
    </row>
    <row r="312" spans="1:43" hidden="1" x14ac:dyDescent="0.3">
      <c r="A312" t="s">
        <v>31</v>
      </c>
      <c r="B312">
        <v>572</v>
      </c>
      <c r="C312">
        <v>137</v>
      </c>
      <c r="D312">
        <v>2548</v>
      </c>
      <c r="G312" t="s">
        <v>3701</v>
      </c>
      <c r="I312" t="s">
        <v>116</v>
      </c>
      <c r="J312" t="s">
        <v>704</v>
      </c>
      <c r="K312" t="s">
        <v>3703</v>
      </c>
      <c r="M312" t="s">
        <v>3386</v>
      </c>
      <c r="T312" t="s">
        <v>319</v>
      </c>
      <c r="U312" t="s">
        <v>816</v>
      </c>
      <c r="W312">
        <v>0</v>
      </c>
      <c r="X312">
        <v>55241</v>
      </c>
      <c r="Z312">
        <v>21</v>
      </c>
      <c r="AA312" s="31">
        <v>45908</v>
      </c>
      <c r="AB312" s="61">
        <v>0.42853009259259262</v>
      </c>
      <c r="AC312" t="s">
        <v>795</v>
      </c>
      <c r="AD312" s="31">
        <v>45929</v>
      </c>
      <c r="AE312" s="61">
        <v>0.3904050925925926</v>
      </c>
      <c r="AF312" t="s">
        <v>1358</v>
      </c>
      <c r="AH312" t="s">
        <v>4108</v>
      </c>
      <c r="AI312" t="s">
        <v>4108</v>
      </c>
      <c r="AQ312">
        <v>1</v>
      </c>
    </row>
    <row r="313" spans="1:43" hidden="1" x14ac:dyDescent="0.3">
      <c r="A313" t="s">
        <v>31</v>
      </c>
      <c r="B313">
        <v>573</v>
      </c>
      <c r="C313">
        <v>85</v>
      </c>
      <c r="D313">
        <v>2550</v>
      </c>
      <c r="G313" t="s">
        <v>4109</v>
      </c>
      <c r="I313" t="s">
        <v>3261</v>
      </c>
      <c r="J313" t="s">
        <v>3971</v>
      </c>
      <c r="K313" t="s">
        <v>3972</v>
      </c>
      <c r="M313" t="s">
        <v>3263</v>
      </c>
      <c r="P313" t="s">
        <v>3264</v>
      </c>
      <c r="T313" t="s">
        <v>319</v>
      </c>
      <c r="U313" t="s">
        <v>3417</v>
      </c>
      <c r="W313">
        <v>3360</v>
      </c>
      <c r="X313">
        <v>3564</v>
      </c>
      <c r="Z313">
        <v>4</v>
      </c>
      <c r="AA313" s="31">
        <v>45908</v>
      </c>
      <c r="AB313" s="61">
        <v>0.69795138888888886</v>
      </c>
      <c r="AC313" t="s">
        <v>795</v>
      </c>
      <c r="AD313" s="31">
        <v>45912</v>
      </c>
      <c r="AE313" s="61">
        <v>0.44373842592592588</v>
      </c>
      <c r="AF313" t="s">
        <v>974</v>
      </c>
      <c r="AH313" t="s">
        <v>4108</v>
      </c>
      <c r="AI313" t="s">
        <v>4108</v>
      </c>
      <c r="AQ313">
        <v>1</v>
      </c>
    </row>
    <row r="314" spans="1:43" hidden="1" x14ac:dyDescent="0.3">
      <c r="A314" t="s">
        <v>31</v>
      </c>
      <c r="B314">
        <v>574</v>
      </c>
      <c r="C314">
        <v>159</v>
      </c>
      <c r="D314">
        <v>823</v>
      </c>
      <c r="G314" t="s">
        <v>4110</v>
      </c>
      <c r="H314">
        <v>43526090000161</v>
      </c>
      <c r="I314" t="s">
        <v>913</v>
      </c>
      <c r="J314" t="s">
        <v>914</v>
      </c>
      <c r="K314" t="s">
        <v>915</v>
      </c>
      <c r="M314" t="s">
        <v>916</v>
      </c>
      <c r="P314" t="s">
        <v>909</v>
      </c>
      <c r="Q314" t="s">
        <v>790</v>
      </c>
      <c r="T314" t="s">
        <v>319</v>
      </c>
      <c r="U314" t="s">
        <v>3417</v>
      </c>
      <c r="W314">
        <v>3360</v>
      </c>
      <c r="X314">
        <v>3564</v>
      </c>
      <c r="Z314">
        <v>21</v>
      </c>
      <c r="AA314" s="31">
        <v>45909</v>
      </c>
      <c r="AB314" s="61">
        <v>0.62616898148148148</v>
      </c>
      <c r="AC314" t="s">
        <v>795</v>
      </c>
      <c r="AD314" s="31">
        <v>45930</v>
      </c>
      <c r="AE314" s="61">
        <v>0.38518518518518519</v>
      </c>
      <c r="AF314" t="s">
        <v>934</v>
      </c>
      <c r="AH314" t="s">
        <v>2209</v>
      </c>
      <c r="AI314" t="s">
        <v>2209</v>
      </c>
      <c r="AQ314">
        <v>1</v>
      </c>
    </row>
    <row r="315" spans="1:43" hidden="1" x14ac:dyDescent="0.3">
      <c r="A315" t="s">
        <v>31</v>
      </c>
      <c r="B315">
        <v>579</v>
      </c>
      <c r="C315">
        <v>208</v>
      </c>
      <c r="D315">
        <v>2552</v>
      </c>
      <c r="G315" t="s">
        <v>4111</v>
      </c>
      <c r="H315">
        <v>42830750000130</v>
      </c>
      <c r="I315" t="s">
        <v>3903</v>
      </c>
      <c r="J315" t="s">
        <v>4091</v>
      </c>
      <c r="K315" t="s">
        <v>3905</v>
      </c>
      <c r="M315" t="s">
        <v>4594</v>
      </c>
      <c r="O315" t="s">
        <v>6494</v>
      </c>
      <c r="P315" t="s">
        <v>1094</v>
      </c>
      <c r="Q315" t="s">
        <v>790</v>
      </c>
      <c r="T315" t="s">
        <v>319</v>
      </c>
      <c r="U315" t="s">
        <v>3606</v>
      </c>
      <c r="Z315">
        <v>0</v>
      </c>
      <c r="AA315" s="31">
        <v>45911</v>
      </c>
      <c r="AB315" s="61">
        <v>0.43406250000000002</v>
      </c>
      <c r="AC315" t="s">
        <v>795</v>
      </c>
      <c r="AD315" s="31">
        <v>45911</v>
      </c>
      <c r="AE315" s="61">
        <v>0.4347685185185185</v>
      </c>
      <c r="AF315" t="s">
        <v>796</v>
      </c>
      <c r="AI315" t="s">
        <v>2107</v>
      </c>
      <c r="AQ315">
        <v>1</v>
      </c>
    </row>
    <row r="316" spans="1:43" hidden="1" x14ac:dyDescent="0.3">
      <c r="A316" t="s">
        <v>31</v>
      </c>
      <c r="B316">
        <v>580</v>
      </c>
      <c r="C316">
        <v>174</v>
      </c>
      <c r="D316">
        <v>2553</v>
      </c>
      <c r="G316" t="s">
        <v>4112</v>
      </c>
      <c r="H316">
        <v>45238441000164</v>
      </c>
      <c r="I316" t="s">
        <v>3507</v>
      </c>
      <c r="J316" t="s">
        <v>3995</v>
      </c>
      <c r="K316" t="s">
        <v>3509</v>
      </c>
      <c r="L316">
        <v>11973359869</v>
      </c>
      <c r="M316" t="s">
        <v>3510</v>
      </c>
      <c r="O316" t="s">
        <v>6448</v>
      </c>
      <c r="P316" t="s">
        <v>1094</v>
      </c>
      <c r="Q316" t="s">
        <v>790</v>
      </c>
      <c r="T316" t="s">
        <v>319</v>
      </c>
      <c r="U316" t="s">
        <v>816</v>
      </c>
      <c r="W316">
        <v>8064</v>
      </c>
      <c r="X316">
        <v>0</v>
      </c>
      <c r="Z316">
        <v>40</v>
      </c>
      <c r="AA316" s="31">
        <v>45911</v>
      </c>
      <c r="AB316" s="61">
        <v>0.43517361111111108</v>
      </c>
      <c r="AC316" t="s">
        <v>818</v>
      </c>
      <c r="AD316" s="31">
        <v>45951</v>
      </c>
      <c r="AE316" s="61">
        <v>0.44538194444444451</v>
      </c>
      <c r="AH316" t="s">
        <v>4113</v>
      </c>
      <c r="AI316" t="s">
        <v>2107</v>
      </c>
      <c r="AQ316">
        <v>1</v>
      </c>
    </row>
    <row r="317" spans="1:43" hidden="1" x14ac:dyDescent="0.3">
      <c r="A317" t="s">
        <v>31</v>
      </c>
      <c r="B317">
        <v>581</v>
      </c>
      <c r="C317">
        <v>150</v>
      </c>
      <c r="D317">
        <v>2554</v>
      </c>
      <c r="G317" t="s">
        <v>4114</v>
      </c>
      <c r="H317">
        <v>32258848000101</v>
      </c>
      <c r="I317" t="s">
        <v>3435</v>
      </c>
      <c r="J317" t="s">
        <v>1540</v>
      </c>
      <c r="K317" t="s">
        <v>3493</v>
      </c>
      <c r="M317" t="s">
        <v>3437</v>
      </c>
      <c r="T317" t="s">
        <v>319</v>
      </c>
      <c r="U317" t="s">
        <v>816</v>
      </c>
      <c r="W317">
        <v>7560</v>
      </c>
      <c r="X317">
        <v>0</v>
      </c>
      <c r="Z317">
        <v>1</v>
      </c>
      <c r="AA317" s="31">
        <v>45911</v>
      </c>
      <c r="AB317" s="61">
        <v>0.43752314814814808</v>
      </c>
      <c r="AC317" t="s">
        <v>818</v>
      </c>
      <c r="AD317" s="31">
        <v>45912</v>
      </c>
      <c r="AE317" s="61">
        <v>0.44337962962962962</v>
      </c>
      <c r="AH317" t="s">
        <v>2129</v>
      </c>
      <c r="AI317" t="s">
        <v>2107</v>
      </c>
      <c r="AQ317">
        <v>1</v>
      </c>
    </row>
    <row r="318" spans="1:43" hidden="1" x14ac:dyDescent="0.3">
      <c r="A318" t="s">
        <v>31</v>
      </c>
      <c r="B318">
        <v>584</v>
      </c>
      <c r="C318">
        <v>211</v>
      </c>
      <c r="D318">
        <v>2556</v>
      </c>
      <c r="G318" t="s">
        <v>4115</v>
      </c>
      <c r="H318">
        <v>5691820000190</v>
      </c>
      <c r="I318" t="s">
        <v>3912</v>
      </c>
      <c r="J318" t="s">
        <v>3431</v>
      </c>
      <c r="K318" t="s">
        <v>3913</v>
      </c>
      <c r="M318" t="s">
        <v>3914</v>
      </c>
      <c r="O318" t="s">
        <v>6495</v>
      </c>
      <c r="P318" t="s">
        <v>1026</v>
      </c>
      <c r="Q318" t="s">
        <v>1027</v>
      </c>
      <c r="T318" t="s">
        <v>319</v>
      </c>
      <c r="U318" t="s">
        <v>816</v>
      </c>
      <c r="W318">
        <v>630</v>
      </c>
      <c r="X318">
        <v>0</v>
      </c>
      <c r="Z318">
        <v>1</v>
      </c>
      <c r="AA318" s="31">
        <v>45911</v>
      </c>
      <c r="AB318" s="61">
        <v>0.7147337962962963</v>
      </c>
      <c r="AC318" t="s">
        <v>818</v>
      </c>
      <c r="AD318" s="31">
        <v>45912</v>
      </c>
      <c r="AE318" s="61">
        <v>0.42611111111111111</v>
      </c>
      <c r="AH318" t="s">
        <v>4116</v>
      </c>
      <c r="AQ318">
        <v>1</v>
      </c>
    </row>
    <row r="319" spans="1:43" hidden="1" x14ac:dyDescent="0.3">
      <c r="A319" t="s">
        <v>31</v>
      </c>
      <c r="B319">
        <v>586</v>
      </c>
      <c r="C319">
        <v>113</v>
      </c>
      <c r="D319">
        <v>2558</v>
      </c>
      <c r="G319" t="s">
        <v>4117</v>
      </c>
      <c r="H319">
        <v>5588978000130</v>
      </c>
      <c r="I319" t="s">
        <v>65</v>
      </c>
      <c r="J319" t="s">
        <v>1252</v>
      </c>
      <c r="K319" t="s">
        <v>3472</v>
      </c>
      <c r="M319" t="s">
        <v>3329</v>
      </c>
      <c r="T319" t="s">
        <v>319</v>
      </c>
      <c r="U319" t="s">
        <v>3417</v>
      </c>
      <c r="W319">
        <v>1696</v>
      </c>
      <c r="X319">
        <v>0</v>
      </c>
      <c r="Z319">
        <v>14</v>
      </c>
      <c r="AA319" s="31">
        <v>45912</v>
      </c>
      <c r="AB319" s="61">
        <v>0.71891203703703699</v>
      </c>
      <c r="AC319" t="s">
        <v>795</v>
      </c>
      <c r="AD319" s="31">
        <v>45926</v>
      </c>
      <c r="AE319" s="61">
        <v>0.70046296296296295</v>
      </c>
      <c r="AF319" t="s">
        <v>796</v>
      </c>
      <c r="AH319" t="s">
        <v>4116</v>
      </c>
      <c r="AQ319">
        <v>1</v>
      </c>
    </row>
    <row r="320" spans="1:43" hidden="1" x14ac:dyDescent="0.3">
      <c r="A320" t="s">
        <v>31</v>
      </c>
      <c r="B320">
        <v>588</v>
      </c>
      <c r="C320">
        <v>133</v>
      </c>
      <c r="D320">
        <v>2560</v>
      </c>
      <c r="G320" t="s">
        <v>4119</v>
      </c>
      <c r="H320">
        <v>9517464000144</v>
      </c>
      <c r="I320" t="s">
        <v>625</v>
      </c>
      <c r="J320" t="s">
        <v>3899</v>
      </c>
      <c r="K320" t="s">
        <v>3584</v>
      </c>
      <c r="M320" t="s">
        <v>2207</v>
      </c>
      <c r="T320" t="s">
        <v>319</v>
      </c>
      <c r="U320" t="s">
        <v>3417</v>
      </c>
      <c r="W320">
        <v>7200</v>
      </c>
      <c r="X320">
        <v>0</v>
      </c>
      <c r="Z320">
        <v>10</v>
      </c>
      <c r="AA320" s="31">
        <v>45915</v>
      </c>
      <c r="AB320" s="61">
        <v>0.66822916666666665</v>
      </c>
      <c r="AC320" t="s">
        <v>795</v>
      </c>
      <c r="AD320" s="31">
        <v>45925</v>
      </c>
      <c r="AE320" s="61">
        <v>0.72099537037037043</v>
      </c>
      <c r="AF320" t="s">
        <v>867</v>
      </c>
      <c r="AH320" t="s">
        <v>2133</v>
      </c>
      <c r="AQ320">
        <v>1</v>
      </c>
    </row>
    <row r="321" spans="1:43" hidden="1" x14ac:dyDescent="0.3">
      <c r="A321" t="s">
        <v>31</v>
      </c>
      <c r="B321">
        <v>591</v>
      </c>
      <c r="C321">
        <v>76</v>
      </c>
      <c r="D321">
        <v>2562</v>
      </c>
      <c r="G321" t="s">
        <v>4120</v>
      </c>
      <c r="H321">
        <v>43372158000103</v>
      </c>
      <c r="I321" t="s">
        <v>225</v>
      </c>
      <c r="J321" t="s">
        <v>3691</v>
      </c>
      <c r="K321" t="s">
        <v>3623</v>
      </c>
      <c r="M321" t="s">
        <v>3233</v>
      </c>
      <c r="P321" t="s">
        <v>3234</v>
      </c>
      <c r="Q321" t="s">
        <v>1699</v>
      </c>
      <c r="T321" t="s">
        <v>319</v>
      </c>
      <c r="U321" t="s">
        <v>816</v>
      </c>
      <c r="W321">
        <v>59632</v>
      </c>
      <c r="X321">
        <v>0</v>
      </c>
      <c r="Z321">
        <v>15</v>
      </c>
      <c r="AA321" s="31">
        <v>45916</v>
      </c>
      <c r="AB321" s="61">
        <v>0.65560185185185182</v>
      </c>
      <c r="AC321" t="s">
        <v>818</v>
      </c>
      <c r="AD321" s="31">
        <v>45931</v>
      </c>
      <c r="AE321" s="61">
        <v>0.40254629629629629</v>
      </c>
      <c r="AH321" t="s">
        <v>2142</v>
      </c>
      <c r="AQ321">
        <v>1</v>
      </c>
    </row>
    <row r="322" spans="1:43" hidden="1" x14ac:dyDescent="0.3">
      <c r="A322" t="s">
        <v>31</v>
      </c>
      <c r="B322">
        <v>592</v>
      </c>
      <c r="C322">
        <v>201</v>
      </c>
      <c r="D322">
        <v>2566</v>
      </c>
      <c r="G322" t="s">
        <v>4122</v>
      </c>
      <c r="H322">
        <v>5291214000188</v>
      </c>
      <c r="I322" t="s">
        <v>3770</v>
      </c>
      <c r="J322" t="s">
        <v>4123</v>
      </c>
      <c r="K322" t="s">
        <v>4124</v>
      </c>
      <c r="M322" t="s">
        <v>3772</v>
      </c>
      <c r="O322" t="s">
        <v>6478</v>
      </c>
      <c r="P322" t="s">
        <v>3774</v>
      </c>
      <c r="Q322" t="s">
        <v>1105</v>
      </c>
      <c r="T322" t="s">
        <v>319</v>
      </c>
      <c r="U322" t="s">
        <v>3417</v>
      </c>
      <c r="W322">
        <v>3600</v>
      </c>
      <c r="X322">
        <v>0</v>
      </c>
      <c r="Z322">
        <v>12</v>
      </c>
      <c r="AA322" s="31">
        <v>45918</v>
      </c>
      <c r="AB322" s="61">
        <v>0.42675925925925928</v>
      </c>
      <c r="AC322" t="s">
        <v>795</v>
      </c>
      <c r="AD322" s="31">
        <v>45930</v>
      </c>
      <c r="AE322" s="61">
        <v>0.38418981481481479</v>
      </c>
      <c r="AF322" t="s">
        <v>934</v>
      </c>
      <c r="AH322" t="s">
        <v>4125</v>
      </c>
      <c r="AI322" t="s">
        <v>4125</v>
      </c>
      <c r="AQ322">
        <v>1</v>
      </c>
    </row>
    <row r="323" spans="1:43" hidden="1" x14ac:dyDescent="0.3">
      <c r="A323" t="s">
        <v>31</v>
      </c>
      <c r="B323">
        <v>593</v>
      </c>
      <c r="C323">
        <v>141</v>
      </c>
      <c r="D323">
        <v>2567</v>
      </c>
      <c r="G323" t="s">
        <v>4126</v>
      </c>
      <c r="I323" t="s">
        <v>434</v>
      </c>
      <c r="J323" t="s">
        <v>914</v>
      </c>
      <c r="K323" t="s">
        <v>4127</v>
      </c>
      <c r="M323" t="s">
        <v>3396</v>
      </c>
      <c r="T323" t="s">
        <v>319</v>
      </c>
      <c r="U323" t="s">
        <v>3417</v>
      </c>
      <c r="W323">
        <v>1600</v>
      </c>
      <c r="X323">
        <v>513518</v>
      </c>
      <c r="Z323">
        <v>8</v>
      </c>
      <c r="AA323" s="31">
        <v>45918</v>
      </c>
      <c r="AB323" s="61">
        <v>0.43583333333333341</v>
      </c>
      <c r="AC323" t="s">
        <v>795</v>
      </c>
      <c r="AD323" s="31">
        <v>45926</v>
      </c>
      <c r="AE323" s="61">
        <v>0.40023148148148152</v>
      </c>
      <c r="AF323" t="s">
        <v>934</v>
      </c>
      <c r="AH323" t="s">
        <v>4125</v>
      </c>
      <c r="AQ323">
        <v>1</v>
      </c>
    </row>
    <row r="324" spans="1:43" hidden="1" x14ac:dyDescent="0.3">
      <c r="A324" t="s">
        <v>31</v>
      </c>
      <c r="B324">
        <v>594</v>
      </c>
      <c r="C324">
        <v>196</v>
      </c>
      <c r="D324">
        <v>2568</v>
      </c>
      <c r="G324" t="s">
        <v>4128</v>
      </c>
      <c r="H324">
        <v>32494222000102</v>
      </c>
      <c r="I324" t="s">
        <v>3715</v>
      </c>
      <c r="J324" t="s">
        <v>3808</v>
      </c>
      <c r="K324" t="s">
        <v>3717</v>
      </c>
      <c r="M324" t="s">
        <v>3718</v>
      </c>
      <c r="O324" t="s">
        <v>6471</v>
      </c>
      <c r="P324" t="s">
        <v>3720</v>
      </c>
      <c r="Q324" t="s">
        <v>790</v>
      </c>
      <c r="T324" t="s">
        <v>319</v>
      </c>
      <c r="U324" t="s">
        <v>816</v>
      </c>
      <c r="W324">
        <v>2880</v>
      </c>
      <c r="X324">
        <v>32074</v>
      </c>
      <c r="Z324">
        <v>49</v>
      </c>
      <c r="AA324" s="31">
        <v>45918</v>
      </c>
      <c r="AB324" s="61">
        <v>0.46307870370370369</v>
      </c>
      <c r="AC324" t="s">
        <v>818</v>
      </c>
      <c r="AD324" s="31">
        <v>45953</v>
      </c>
      <c r="AE324" s="61">
        <v>0.40722222222222221</v>
      </c>
      <c r="AG324">
        <v>0</v>
      </c>
      <c r="AH324" t="s">
        <v>4125</v>
      </c>
      <c r="AI324" t="s">
        <v>4125</v>
      </c>
      <c r="AQ324">
        <v>1</v>
      </c>
    </row>
    <row r="325" spans="1:43" hidden="1" x14ac:dyDescent="0.3">
      <c r="A325" t="s">
        <v>31</v>
      </c>
      <c r="B325">
        <v>595</v>
      </c>
      <c r="C325">
        <v>153</v>
      </c>
      <c r="D325">
        <v>2569</v>
      </c>
      <c r="G325" t="s">
        <v>4129</v>
      </c>
      <c r="I325" t="s">
        <v>3451</v>
      </c>
      <c r="J325" t="s">
        <v>6501</v>
      </c>
      <c r="K325" t="s">
        <v>3983</v>
      </c>
      <c r="M325" t="s">
        <v>3454</v>
      </c>
      <c r="T325" t="s">
        <v>319</v>
      </c>
      <c r="U325" t="s">
        <v>816</v>
      </c>
      <c r="W325">
        <v>21000</v>
      </c>
      <c r="X325">
        <v>57024</v>
      </c>
      <c r="Z325">
        <v>39</v>
      </c>
      <c r="AA325" s="31">
        <v>45918</v>
      </c>
      <c r="AB325" s="61">
        <v>0.62599537037037034</v>
      </c>
      <c r="AC325" t="s">
        <v>818</v>
      </c>
      <c r="AD325" s="31">
        <v>45957</v>
      </c>
      <c r="AE325" s="61">
        <v>0.69543981481481476</v>
      </c>
      <c r="AH325" t="s">
        <v>4125</v>
      </c>
      <c r="AI325" t="s">
        <v>4125</v>
      </c>
      <c r="AQ325">
        <v>1</v>
      </c>
    </row>
    <row r="326" spans="1:43" hidden="1" x14ac:dyDescent="0.3">
      <c r="A326" t="s">
        <v>31</v>
      </c>
      <c r="B326">
        <v>596</v>
      </c>
      <c r="C326">
        <v>190</v>
      </c>
      <c r="D326">
        <v>2570</v>
      </c>
      <c r="G326" t="s">
        <v>4130</v>
      </c>
      <c r="H326">
        <v>18203215000175</v>
      </c>
      <c r="I326" t="s">
        <v>3690</v>
      </c>
      <c r="J326" t="s">
        <v>4131</v>
      </c>
      <c r="K326" t="s">
        <v>3692</v>
      </c>
      <c r="M326" t="s">
        <v>3693</v>
      </c>
      <c r="O326" t="s">
        <v>6470</v>
      </c>
      <c r="P326" t="s">
        <v>3695</v>
      </c>
      <c r="Q326" t="s">
        <v>790</v>
      </c>
      <c r="T326" t="s">
        <v>319</v>
      </c>
      <c r="U326" t="s">
        <v>816</v>
      </c>
      <c r="W326">
        <v>4320</v>
      </c>
      <c r="X326">
        <v>0</v>
      </c>
      <c r="Z326">
        <v>0</v>
      </c>
      <c r="AA326" s="31">
        <v>45919</v>
      </c>
      <c r="AB326" s="61">
        <v>0.45946759259259262</v>
      </c>
      <c r="AC326" t="s">
        <v>818</v>
      </c>
      <c r="AD326" s="31">
        <v>45919</v>
      </c>
      <c r="AE326" s="61">
        <v>0.7117013888888889</v>
      </c>
      <c r="AH326" t="s">
        <v>4132</v>
      </c>
      <c r="AQ326">
        <v>1</v>
      </c>
    </row>
    <row r="327" spans="1:43" hidden="1" x14ac:dyDescent="0.3">
      <c r="A327" t="s">
        <v>31</v>
      </c>
      <c r="B327">
        <v>598</v>
      </c>
      <c r="C327">
        <v>183</v>
      </c>
      <c r="D327">
        <v>2577</v>
      </c>
      <c r="G327" t="s">
        <v>4133</v>
      </c>
      <c r="H327">
        <v>3204281000192</v>
      </c>
      <c r="I327" t="s">
        <v>3594</v>
      </c>
      <c r="J327" t="s">
        <v>3595</v>
      </c>
      <c r="K327" t="s">
        <v>3596</v>
      </c>
      <c r="M327" t="s">
        <v>2617</v>
      </c>
      <c r="O327" t="s">
        <v>6459</v>
      </c>
      <c r="P327" t="s">
        <v>2618</v>
      </c>
      <c r="Q327" t="s">
        <v>790</v>
      </c>
      <c r="T327" t="s">
        <v>319</v>
      </c>
      <c r="U327" t="s">
        <v>3417</v>
      </c>
      <c r="W327">
        <v>3360</v>
      </c>
      <c r="X327">
        <v>7128</v>
      </c>
      <c r="Z327">
        <v>7</v>
      </c>
      <c r="AA327" s="31">
        <v>45923</v>
      </c>
      <c r="AB327" s="61">
        <v>0.45662037037037029</v>
      </c>
      <c r="AC327" t="s">
        <v>795</v>
      </c>
      <c r="AD327" s="31">
        <v>45930</v>
      </c>
      <c r="AE327" s="61">
        <v>0.38368055555555558</v>
      </c>
      <c r="AF327" t="s">
        <v>1358</v>
      </c>
      <c r="AH327" t="s">
        <v>2154</v>
      </c>
      <c r="AI327" t="s">
        <v>2154</v>
      </c>
      <c r="AQ327">
        <v>1</v>
      </c>
    </row>
    <row r="328" spans="1:43" hidden="1" x14ac:dyDescent="0.3">
      <c r="A328" t="s">
        <v>31</v>
      </c>
      <c r="B328">
        <v>599</v>
      </c>
      <c r="C328">
        <v>150</v>
      </c>
      <c r="D328">
        <v>2578</v>
      </c>
      <c r="G328" t="s">
        <v>4134</v>
      </c>
      <c r="H328">
        <v>32258848000101</v>
      </c>
      <c r="I328" t="s">
        <v>3435</v>
      </c>
      <c r="J328" t="s">
        <v>1540</v>
      </c>
      <c r="K328" t="s">
        <v>3493</v>
      </c>
      <c r="M328" t="s">
        <v>3437</v>
      </c>
      <c r="T328" t="s">
        <v>319</v>
      </c>
      <c r="U328" t="s">
        <v>816</v>
      </c>
      <c r="W328">
        <v>1440</v>
      </c>
      <c r="X328">
        <v>0</v>
      </c>
      <c r="Z328">
        <v>0</v>
      </c>
      <c r="AA328" s="31">
        <v>45923</v>
      </c>
      <c r="AB328" s="61">
        <v>0.50372685185185184</v>
      </c>
      <c r="AC328" t="s">
        <v>818</v>
      </c>
      <c r="AD328" s="31">
        <v>45923</v>
      </c>
      <c r="AE328" s="61">
        <v>0.50454861111111116</v>
      </c>
      <c r="AH328" t="s">
        <v>2154</v>
      </c>
      <c r="AQ328">
        <v>1</v>
      </c>
    </row>
    <row r="329" spans="1:43" hidden="1" x14ac:dyDescent="0.3">
      <c r="A329" t="s">
        <v>31</v>
      </c>
      <c r="B329">
        <v>605</v>
      </c>
      <c r="C329">
        <v>197</v>
      </c>
      <c r="D329">
        <v>2588</v>
      </c>
      <c r="G329" t="s">
        <v>4135</v>
      </c>
      <c r="H329">
        <v>8616236000169</v>
      </c>
      <c r="I329" t="s">
        <v>3726</v>
      </c>
      <c r="J329" t="s">
        <v>704</v>
      </c>
      <c r="K329" t="s">
        <v>3727</v>
      </c>
      <c r="M329" t="s">
        <v>3728</v>
      </c>
      <c r="O329" t="s">
        <v>6472</v>
      </c>
      <c r="P329" t="s">
        <v>3687</v>
      </c>
      <c r="Q329" t="s">
        <v>790</v>
      </c>
      <c r="T329" t="s">
        <v>319</v>
      </c>
      <c r="U329" t="s">
        <v>816</v>
      </c>
      <c r="W329">
        <v>0</v>
      </c>
      <c r="X329">
        <v>3564</v>
      </c>
      <c r="Z329">
        <v>5</v>
      </c>
      <c r="AA329" s="31">
        <v>45925</v>
      </c>
      <c r="AB329" s="61">
        <v>0.64129629629629625</v>
      </c>
      <c r="AC329" t="s">
        <v>818</v>
      </c>
      <c r="AD329" s="31">
        <v>45930</v>
      </c>
      <c r="AE329" s="61">
        <v>0.69265046296296295</v>
      </c>
      <c r="AH329" t="s">
        <v>4136</v>
      </c>
      <c r="AI329" t="s">
        <v>4136</v>
      </c>
      <c r="AQ329">
        <v>1</v>
      </c>
    </row>
    <row r="330" spans="1:43" hidden="1" x14ac:dyDescent="0.3">
      <c r="A330" t="s">
        <v>31</v>
      </c>
      <c r="B330">
        <v>606</v>
      </c>
      <c r="C330">
        <v>196</v>
      </c>
      <c r="D330">
        <v>2589</v>
      </c>
      <c r="G330" t="s">
        <v>4137</v>
      </c>
      <c r="H330">
        <v>32494222000102</v>
      </c>
      <c r="I330" t="s">
        <v>3715</v>
      </c>
      <c r="J330" t="s">
        <v>3716</v>
      </c>
      <c r="K330" t="s">
        <v>3717</v>
      </c>
      <c r="M330" t="s">
        <v>3718</v>
      </c>
      <c r="O330" t="s">
        <v>6471</v>
      </c>
      <c r="P330" t="s">
        <v>3720</v>
      </c>
      <c r="Q330" t="s">
        <v>790</v>
      </c>
      <c r="T330" t="s">
        <v>319</v>
      </c>
      <c r="U330" t="s">
        <v>3417</v>
      </c>
      <c r="W330">
        <v>7200</v>
      </c>
      <c r="X330">
        <v>0</v>
      </c>
      <c r="Z330">
        <v>28</v>
      </c>
      <c r="AA330" s="31">
        <v>45925</v>
      </c>
      <c r="AB330" s="61">
        <v>0.66199074074074071</v>
      </c>
      <c r="AC330" t="s">
        <v>795</v>
      </c>
      <c r="AD330" s="31">
        <v>45953</v>
      </c>
      <c r="AE330" s="61">
        <v>0.40660879629629632</v>
      </c>
      <c r="AF330" t="s">
        <v>867</v>
      </c>
      <c r="AH330" t="s">
        <v>4136</v>
      </c>
      <c r="AI330" t="s">
        <v>4136</v>
      </c>
      <c r="AQ330">
        <v>1</v>
      </c>
    </row>
    <row r="331" spans="1:43" hidden="1" x14ac:dyDescent="0.3">
      <c r="A331" t="s">
        <v>31</v>
      </c>
      <c r="B331">
        <v>612</v>
      </c>
      <c r="C331">
        <v>179</v>
      </c>
      <c r="D331">
        <v>2599</v>
      </c>
      <c r="G331" t="s">
        <v>4138</v>
      </c>
      <c r="H331">
        <v>21736169000184</v>
      </c>
      <c r="I331" t="s">
        <v>3546</v>
      </c>
      <c r="J331" t="s">
        <v>1243</v>
      </c>
      <c r="K331" t="s">
        <v>3547</v>
      </c>
      <c r="M331" t="s">
        <v>3548</v>
      </c>
      <c r="O331" t="s">
        <v>6454</v>
      </c>
      <c r="P331" t="s">
        <v>3550</v>
      </c>
      <c r="Q331" t="s">
        <v>874</v>
      </c>
      <c r="T331" t="s">
        <v>319</v>
      </c>
      <c r="U331" t="s">
        <v>816</v>
      </c>
      <c r="W331">
        <v>5040</v>
      </c>
      <c r="X331">
        <v>0</v>
      </c>
      <c r="Z331">
        <v>2</v>
      </c>
      <c r="AA331" s="31">
        <v>45929</v>
      </c>
      <c r="AB331" s="61">
        <v>0.44142361111111111</v>
      </c>
      <c r="AC331" t="s">
        <v>818</v>
      </c>
      <c r="AD331" s="31">
        <v>45931</v>
      </c>
      <c r="AE331" s="61">
        <v>0.42006944444444438</v>
      </c>
      <c r="AH331" t="s">
        <v>4139</v>
      </c>
      <c r="AQ331">
        <v>1</v>
      </c>
    </row>
    <row r="332" spans="1:43" hidden="1" x14ac:dyDescent="0.3">
      <c r="A332" t="s">
        <v>31</v>
      </c>
      <c r="B332">
        <v>617</v>
      </c>
      <c r="C332">
        <v>132</v>
      </c>
      <c r="D332">
        <v>2608</v>
      </c>
      <c r="G332" t="s">
        <v>3587</v>
      </c>
      <c r="I332" t="s">
        <v>3373</v>
      </c>
      <c r="J332" t="s">
        <v>3588</v>
      </c>
      <c r="K332" t="s">
        <v>3553</v>
      </c>
      <c r="M332" t="s">
        <v>3375</v>
      </c>
      <c r="T332" t="s">
        <v>319</v>
      </c>
      <c r="U332" t="s">
        <v>3417</v>
      </c>
      <c r="W332">
        <v>14677</v>
      </c>
      <c r="X332">
        <v>0</v>
      </c>
      <c r="Z332">
        <v>23</v>
      </c>
      <c r="AA332" s="31">
        <v>45930</v>
      </c>
      <c r="AB332" s="61">
        <v>0.39962962962962961</v>
      </c>
      <c r="AC332" t="s">
        <v>795</v>
      </c>
      <c r="AD332" s="31">
        <v>45953</v>
      </c>
      <c r="AE332" s="61">
        <v>0.4246064814814815</v>
      </c>
      <c r="AF332" t="s">
        <v>934</v>
      </c>
      <c r="AH332" t="s">
        <v>4140</v>
      </c>
      <c r="AQ332">
        <v>1</v>
      </c>
    </row>
    <row r="333" spans="1:43" hidden="1" x14ac:dyDescent="0.3">
      <c r="A333" t="s">
        <v>31</v>
      </c>
      <c r="B333">
        <v>625</v>
      </c>
      <c r="C333">
        <v>119</v>
      </c>
      <c r="D333">
        <v>2620</v>
      </c>
      <c r="G333" t="s">
        <v>4141</v>
      </c>
      <c r="H333">
        <v>60963378000112</v>
      </c>
      <c r="I333" t="s">
        <v>608</v>
      </c>
      <c r="J333" t="s">
        <v>844</v>
      </c>
      <c r="K333" t="s">
        <v>3948</v>
      </c>
      <c r="M333" t="s">
        <v>3345</v>
      </c>
      <c r="T333" t="s">
        <v>319</v>
      </c>
      <c r="U333" t="s">
        <v>3417</v>
      </c>
      <c r="W333">
        <v>0</v>
      </c>
      <c r="X333">
        <v>220373</v>
      </c>
      <c r="Z333">
        <v>44</v>
      </c>
      <c r="AA333" s="31">
        <v>45931</v>
      </c>
      <c r="AB333" s="61">
        <v>0.60418981481481482</v>
      </c>
      <c r="AC333" t="s">
        <v>795</v>
      </c>
      <c r="AD333" s="31">
        <v>45975</v>
      </c>
      <c r="AE333" s="61">
        <v>0.5134143518518518</v>
      </c>
      <c r="AF333" t="s">
        <v>867</v>
      </c>
      <c r="AH333" t="s">
        <v>4142</v>
      </c>
      <c r="AQ333">
        <v>1</v>
      </c>
    </row>
    <row r="334" spans="1:43" hidden="1" x14ac:dyDescent="0.3">
      <c r="A334" t="s">
        <v>31</v>
      </c>
      <c r="B334">
        <v>626</v>
      </c>
      <c r="C334">
        <v>150</v>
      </c>
      <c r="D334">
        <v>2621</v>
      </c>
      <c r="G334" t="s">
        <v>4143</v>
      </c>
      <c r="H334">
        <v>32258848000101</v>
      </c>
      <c r="I334" t="s">
        <v>3435</v>
      </c>
      <c r="J334" t="s">
        <v>1540</v>
      </c>
      <c r="K334" t="s">
        <v>3493</v>
      </c>
      <c r="M334" t="s">
        <v>3437</v>
      </c>
      <c r="T334" t="s">
        <v>319</v>
      </c>
      <c r="U334" t="s">
        <v>816</v>
      </c>
      <c r="W334">
        <v>0</v>
      </c>
      <c r="X334">
        <v>28512</v>
      </c>
      <c r="Z334">
        <v>20</v>
      </c>
      <c r="AA334" s="31">
        <v>45931</v>
      </c>
      <c r="AB334" s="61">
        <v>0.67376157407407411</v>
      </c>
      <c r="AC334" t="s">
        <v>818</v>
      </c>
      <c r="AD334" s="31">
        <v>45951</v>
      </c>
      <c r="AE334" s="61">
        <v>0.41662037037037042</v>
      </c>
      <c r="AH334" t="s">
        <v>4142</v>
      </c>
      <c r="AI334" t="s">
        <v>4142</v>
      </c>
      <c r="AQ334">
        <v>1</v>
      </c>
    </row>
    <row r="335" spans="1:43" hidden="1" x14ac:dyDescent="0.3">
      <c r="A335" t="s">
        <v>31</v>
      </c>
      <c r="B335">
        <v>627</v>
      </c>
      <c r="C335">
        <v>189</v>
      </c>
      <c r="D335">
        <v>2623</v>
      </c>
      <c r="G335" t="s">
        <v>4144</v>
      </c>
      <c r="H335">
        <v>10698565000148</v>
      </c>
      <c r="I335" t="s">
        <v>4145</v>
      </c>
      <c r="J335" t="s">
        <v>4146</v>
      </c>
      <c r="K335" t="s">
        <v>4147</v>
      </c>
      <c r="O335" t="s">
        <v>6512</v>
      </c>
      <c r="P335" t="s">
        <v>4149</v>
      </c>
      <c r="Q335" t="s">
        <v>4150</v>
      </c>
      <c r="T335" t="s">
        <v>319</v>
      </c>
      <c r="U335" t="s">
        <v>816</v>
      </c>
      <c r="W335">
        <v>700</v>
      </c>
      <c r="X335">
        <v>0</v>
      </c>
      <c r="Z335">
        <v>5</v>
      </c>
      <c r="AA335" s="31">
        <v>45932</v>
      </c>
      <c r="AB335" s="61">
        <v>0.64900462962962968</v>
      </c>
      <c r="AC335" t="s">
        <v>818</v>
      </c>
      <c r="AD335" s="31">
        <v>45937</v>
      </c>
      <c r="AE335" s="61">
        <v>0.65004629629629629</v>
      </c>
      <c r="AH335" t="s">
        <v>4151</v>
      </c>
      <c r="AQ335">
        <v>1</v>
      </c>
    </row>
    <row r="336" spans="1:43" hidden="1" x14ac:dyDescent="0.3">
      <c r="A336" t="s">
        <v>31</v>
      </c>
      <c r="B336">
        <v>629</v>
      </c>
      <c r="C336">
        <v>184</v>
      </c>
      <c r="D336">
        <v>2624</v>
      </c>
      <c r="G336" t="s">
        <v>453</v>
      </c>
      <c r="H336">
        <v>11861121000144</v>
      </c>
      <c r="I336" t="s">
        <v>3877</v>
      </c>
      <c r="J336" t="s">
        <v>3878</v>
      </c>
      <c r="K336" t="s">
        <v>3879</v>
      </c>
      <c r="M336" t="s">
        <v>3880</v>
      </c>
      <c r="O336" t="s">
        <v>6491</v>
      </c>
      <c r="P336" t="s">
        <v>1094</v>
      </c>
      <c r="Q336" t="s">
        <v>790</v>
      </c>
      <c r="T336" t="s">
        <v>319</v>
      </c>
      <c r="U336" t="s">
        <v>3417</v>
      </c>
      <c r="W336">
        <v>16200</v>
      </c>
      <c r="X336">
        <v>2160</v>
      </c>
      <c r="Z336">
        <v>17</v>
      </c>
      <c r="AA336" s="31">
        <v>45933</v>
      </c>
      <c r="AB336" s="61">
        <v>0.61473379629629632</v>
      </c>
      <c r="AC336" t="s">
        <v>795</v>
      </c>
      <c r="AD336" s="31">
        <v>45950</v>
      </c>
      <c r="AE336" s="61">
        <v>0.46638888888888891</v>
      </c>
      <c r="AF336" t="s">
        <v>867</v>
      </c>
      <c r="AH336" t="s">
        <v>4153</v>
      </c>
      <c r="AI336" t="s">
        <v>4153</v>
      </c>
      <c r="AQ336">
        <v>1</v>
      </c>
    </row>
    <row r="337" spans="1:43" hidden="1" x14ac:dyDescent="0.3">
      <c r="A337" t="s">
        <v>31</v>
      </c>
      <c r="B337">
        <v>630</v>
      </c>
      <c r="C337">
        <v>159</v>
      </c>
      <c r="D337">
        <v>2625</v>
      </c>
      <c r="G337" t="s">
        <v>4154</v>
      </c>
      <c r="H337">
        <v>43526090000161</v>
      </c>
      <c r="I337" t="s">
        <v>913</v>
      </c>
      <c r="J337" t="s">
        <v>4067</v>
      </c>
      <c r="K337" t="s">
        <v>4155</v>
      </c>
      <c r="M337" t="s">
        <v>916</v>
      </c>
      <c r="P337" t="s">
        <v>909</v>
      </c>
      <c r="Q337" t="s">
        <v>790</v>
      </c>
      <c r="T337" t="s">
        <v>319</v>
      </c>
      <c r="U337" t="s">
        <v>3417</v>
      </c>
      <c r="W337">
        <v>420</v>
      </c>
      <c r="X337">
        <v>3564</v>
      </c>
      <c r="Z337">
        <v>26</v>
      </c>
      <c r="AA337" s="31">
        <v>45933</v>
      </c>
      <c r="AB337" s="61">
        <v>0.67500000000000004</v>
      </c>
      <c r="AC337" t="s">
        <v>795</v>
      </c>
      <c r="AD337" s="31">
        <v>45959</v>
      </c>
      <c r="AE337" s="61">
        <v>0.44155092592592587</v>
      </c>
      <c r="AF337" t="s">
        <v>867</v>
      </c>
      <c r="AH337" t="s">
        <v>4153</v>
      </c>
      <c r="AI337" t="s">
        <v>4153</v>
      </c>
      <c r="AQ337">
        <v>1</v>
      </c>
    </row>
    <row r="338" spans="1:43" hidden="1" x14ac:dyDescent="0.3">
      <c r="A338" t="s">
        <v>31</v>
      </c>
      <c r="B338">
        <v>631</v>
      </c>
      <c r="C338">
        <v>204</v>
      </c>
      <c r="D338">
        <v>2626</v>
      </c>
      <c r="G338" t="s">
        <v>4156</v>
      </c>
      <c r="H338">
        <v>33071847000116</v>
      </c>
      <c r="I338" t="s">
        <v>3811</v>
      </c>
      <c r="J338" t="s">
        <v>4157</v>
      </c>
      <c r="K338" t="s">
        <v>3813</v>
      </c>
      <c r="M338" t="s">
        <v>3814</v>
      </c>
      <c r="O338" t="s">
        <v>6482</v>
      </c>
      <c r="P338" t="s">
        <v>2589</v>
      </c>
      <c r="Q338" t="s">
        <v>790</v>
      </c>
      <c r="S338" t="s">
        <v>1419</v>
      </c>
      <c r="T338" t="s">
        <v>319</v>
      </c>
      <c r="U338" t="s">
        <v>3417</v>
      </c>
      <c r="W338">
        <v>29400</v>
      </c>
      <c r="X338">
        <v>57024</v>
      </c>
      <c r="Z338">
        <v>101</v>
      </c>
      <c r="AA338" s="31">
        <v>45933</v>
      </c>
      <c r="AB338" s="61">
        <v>0.71627314814814813</v>
      </c>
      <c r="AC338" t="s">
        <v>795</v>
      </c>
      <c r="AD338" s="31">
        <v>46034</v>
      </c>
      <c r="AE338" s="61">
        <v>0.49495370370370367</v>
      </c>
      <c r="AF338" t="s">
        <v>934</v>
      </c>
      <c r="AH338" t="s">
        <v>4158</v>
      </c>
      <c r="AI338" t="s">
        <v>2251</v>
      </c>
      <c r="AK338" t="s">
        <v>4159</v>
      </c>
      <c r="AQ338">
        <v>1</v>
      </c>
    </row>
    <row r="339" spans="1:43" hidden="1" x14ac:dyDescent="0.3">
      <c r="A339" t="s">
        <v>31</v>
      </c>
      <c r="B339">
        <v>632</v>
      </c>
      <c r="D339">
        <v>2627</v>
      </c>
      <c r="G339" t="s">
        <v>4160</v>
      </c>
      <c r="H339">
        <v>8636039000101</v>
      </c>
      <c r="J339" t="s">
        <v>4455</v>
      </c>
      <c r="K339" t="s">
        <v>4162</v>
      </c>
      <c r="M339" t="s">
        <v>4163</v>
      </c>
      <c r="T339" t="s">
        <v>319</v>
      </c>
      <c r="U339" t="s">
        <v>781</v>
      </c>
      <c r="Z339">
        <v>35</v>
      </c>
      <c r="AA339" s="31">
        <v>45936</v>
      </c>
      <c r="AB339" s="61">
        <v>0.49776620370370372</v>
      </c>
      <c r="AC339" t="s">
        <v>795</v>
      </c>
      <c r="AD339" s="31">
        <v>45971</v>
      </c>
      <c r="AE339" s="61">
        <v>0.67709490740740741</v>
      </c>
      <c r="AF339" t="s">
        <v>796</v>
      </c>
      <c r="AQ339">
        <v>1</v>
      </c>
    </row>
    <row r="340" spans="1:43" hidden="1" x14ac:dyDescent="0.3">
      <c r="A340" t="s">
        <v>31</v>
      </c>
      <c r="B340">
        <v>633</v>
      </c>
      <c r="C340">
        <v>96</v>
      </c>
      <c r="D340">
        <v>2628</v>
      </c>
      <c r="G340" t="s">
        <v>4164</v>
      </c>
      <c r="H340">
        <v>44075830000153</v>
      </c>
      <c r="I340" t="s">
        <v>3291</v>
      </c>
      <c r="J340" t="s">
        <v>704</v>
      </c>
      <c r="K340" t="s">
        <v>3672</v>
      </c>
      <c r="M340" t="s">
        <v>3293</v>
      </c>
      <c r="T340" t="s">
        <v>319</v>
      </c>
      <c r="U340" t="s">
        <v>816</v>
      </c>
      <c r="W340">
        <v>1440</v>
      </c>
      <c r="X340">
        <v>0</v>
      </c>
      <c r="Z340">
        <v>0</v>
      </c>
      <c r="AA340" s="31">
        <v>45936</v>
      </c>
      <c r="AB340" s="61">
        <v>0.64180555555555552</v>
      </c>
      <c r="AC340" t="s">
        <v>818</v>
      </c>
      <c r="AD340" s="31">
        <v>45936</v>
      </c>
      <c r="AE340" s="61">
        <v>0.64354166666666668</v>
      </c>
      <c r="AH340" t="s">
        <v>4165</v>
      </c>
      <c r="AQ340">
        <v>1</v>
      </c>
    </row>
    <row r="341" spans="1:43" hidden="1" x14ac:dyDescent="0.3">
      <c r="A341" t="s">
        <v>31</v>
      </c>
      <c r="B341">
        <v>635</v>
      </c>
      <c r="D341">
        <v>2634</v>
      </c>
      <c r="E341" t="s">
        <v>4595</v>
      </c>
      <c r="G341" t="s">
        <v>4596</v>
      </c>
      <c r="H341">
        <v>21922850000117</v>
      </c>
      <c r="J341" t="s">
        <v>4169</v>
      </c>
      <c r="K341" t="s">
        <v>4597</v>
      </c>
      <c r="S341" t="s">
        <v>1718</v>
      </c>
      <c r="T341" t="s">
        <v>319</v>
      </c>
      <c r="U341" t="s">
        <v>3417</v>
      </c>
      <c r="W341">
        <v>3360</v>
      </c>
      <c r="X341">
        <v>7128</v>
      </c>
      <c r="Z341">
        <v>101</v>
      </c>
      <c r="AA341" s="31">
        <v>45940</v>
      </c>
      <c r="AB341" s="61">
        <v>0.43915509259259261</v>
      </c>
      <c r="AC341" t="s">
        <v>795</v>
      </c>
      <c r="AD341" s="31">
        <v>46041</v>
      </c>
      <c r="AE341" s="61">
        <v>0.45721064814814821</v>
      </c>
      <c r="AF341" t="s">
        <v>1358</v>
      </c>
      <c r="AH341" t="s">
        <v>2273</v>
      </c>
      <c r="AI341" t="s">
        <v>2273</v>
      </c>
      <c r="AK341" t="s">
        <v>2590</v>
      </c>
      <c r="AQ341">
        <v>1</v>
      </c>
    </row>
    <row r="342" spans="1:43" hidden="1" x14ac:dyDescent="0.3">
      <c r="A342" t="s">
        <v>31</v>
      </c>
      <c r="B342">
        <v>636</v>
      </c>
      <c r="C342">
        <v>187</v>
      </c>
      <c r="D342">
        <v>2638</v>
      </c>
      <c r="G342" t="s">
        <v>4173</v>
      </c>
      <c r="H342">
        <v>17063632000105</v>
      </c>
      <c r="I342" t="s">
        <v>3631</v>
      </c>
      <c r="J342" t="s">
        <v>4174</v>
      </c>
      <c r="K342" t="s">
        <v>3633</v>
      </c>
      <c r="M342" t="s">
        <v>3634</v>
      </c>
      <c r="O342" t="s">
        <v>6464</v>
      </c>
      <c r="P342" t="s">
        <v>3636</v>
      </c>
      <c r="Q342" t="s">
        <v>1699</v>
      </c>
      <c r="T342" t="s">
        <v>319</v>
      </c>
      <c r="U342" t="s">
        <v>3417</v>
      </c>
      <c r="W342">
        <v>3360</v>
      </c>
      <c r="X342">
        <v>3564</v>
      </c>
      <c r="Z342">
        <v>53</v>
      </c>
      <c r="AA342" s="31">
        <v>45940</v>
      </c>
      <c r="AB342" s="61">
        <v>0.4409837962962963</v>
      </c>
      <c r="AC342" t="s">
        <v>795</v>
      </c>
      <c r="AD342" s="31">
        <v>45993</v>
      </c>
      <c r="AE342" s="61">
        <v>0.39199074074074081</v>
      </c>
      <c r="AF342" t="s">
        <v>934</v>
      </c>
      <c r="AH342" t="s">
        <v>4175</v>
      </c>
      <c r="AI342" t="s">
        <v>4175</v>
      </c>
      <c r="AQ342">
        <v>1</v>
      </c>
    </row>
    <row r="343" spans="1:43" hidden="1" x14ac:dyDescent="0.3">
      <c r="A343" t="s">
        <v>31</v>
      </c>
      <c r="B343">
        <v>637</v>
      </c>
      <c r="C343">
        <v>89</v>
      </c>
      <c r="D343">
        <v>2639</v>
      </c>
      <c r="G343" t="s">
        <v>4176</v>
      </c>
      <c r="I343" t="s">
        <v>3275</v>
      </c>
      <c r="J343" t="s">
        <v>4177</v>
      </c>
      <c r="K343" t="s">
        <v>4178</v>
      </c>
      <c r="M343" t="s">
        <v>3277</v>
      </c>
      <c r="T343" t="s">
        <v>319</v>
      </c>
      <c r="U343" t="s">
        <v>3417</v>
      </c>
      <c r="Z343">
        <v>19</v>
      </c>
      <c r="AA343" s="31">
        <v>45940</v>
      </c>
      <c r="AB343" s="61">
        <v>0.44233796296296302</v>
      </c>
      <c r="AC343" t="s">
        <v>795</v>
      </c>
      <c r="AD343" s="31">
        <v>45959</v>
      </c>
      <c r="AE343" s="61">
        <v>0.44339120370370372</v>
      </c>
      <c r="AF343" t="s">
        <v>867</v>
      </c>
      <c r="AH343" t="s">
        <v>4175</v>
      </c>
      <c r="AQ343">
        <v>1</v>
      </c>
    </row>
    <row r="344" spans="1:43" hidden="1" x14ac:dyDescent="0.3">
      <c r="A344" t="s">
        <v>31</v>
      </c>
      <c r="B344">
        <v>646</v>
      </c>
      <c r="C344">
        <v>0</v>
      </c>
      <c r="D344">
        <v>2658</v>
      </c>
      <c r="G344" t="s">
        <v>4179</v>
      </c>
      <c r="H344">
        <v>55585815000171</v>
      </c>
      <c r="J344" t="s">
        <v>4180</v>
      </c>
      <c r="K344" t="s">
        <v>4181</v>
      </c>
      <c r="M344" t="s">
        <v>4182</v>
      </c>
      <c r="T344" t="s">
        <v>319</v>
      </c>
      <c r="U344" t="s">
        <v>816</v>
      </c>
      <c r="W344">
        <v>378</v>
      </c>
      <c r="X344">
        <v>3564</v>
      </c>
      <c r="Z344">
        <v>25</v>
      </c>
      <c r="AA344" s="31">
        <v>45947</v>
      </c>
      <c r="AB344" s="61">
        <v>0.45363425925925932</v>
      </c>
      <c r="AC344" t="s">
        <v>818</v>
      </c>
      <c r="AD344" s="31">
        <v>45972</v>
      </c>
      <c r="AE344" s="61">
        <v>0.50258101851851855</v>
      </c>
      <c r="AH344" t="s">
        <v>2008</v>
      </c>
      <c r="AI344" t="s">
        <v>4183</v>
      </c>
      <c r="AQ344">
        <v>1</v>
      </c>
    </row>
    <row r="345" spans="1:43" hidden="1" x14ac:dyDescent="0.3">
      <c r="A345" t="s">
        <v>31</v>
      </c>
      <c r="B345">
        <v>647</v>
      </c>
      <c r="C345">
        <v>206</v>
      </c>
      <c r="D345">
        <v>2662</v>
      </c>
      <c r="G345" t="s">
        <v>4184</v>
      </c>
      <c r="H345">
        <v>37075503000136</v>
      </c>
      <c r="I345" t="s">
        <v>3826</v>
      </c>
      <c r="J345" t="s">
        <v>1474</v>
      </c>
      <c r="K345" t="s">
        <v>1475</v>
      </c>
      <c r="M345" t="s">
        <v>1476</v>
      </c>
      <c r="O345" t="s">
        <v>6487</v>
      </c>
      <c r="P345" t="s">
        <v>1477</v>
      </c>
      <c r="Q345" t="s">
        <v>932</v>
      </c>
      <c r="T345" t="s">
        <v>319</v>
      </c>
      <c r="U345" t="s">
        <v>3417</v>
      </c>
      <c r="W345">
        <v>0</v>
      </c>
      <c r="X345">
        <v>210</v>
      </c>
      <c r="Z345">
        <v>21</v>
      </c>
      <c r="AA345" s="31">
        <v>45950</v>
      </c>
      <c r="AB345" s="61">
        <v>0.42215277777777782</v>
      </c>
      <c r="AC345" t="s">
        <v>795</v>
      </c>
      <c r="AD345" s="31">
        <v>45971</v>
      </c>
      <c r="AE345" s="61">
        <v>0.67648148148148146</v>
      </c>
      <c r="AF345" t="s">
        <v>934</v>
      </c>
      <c r="AH345" t="s">
        <v>4185</v>
      </c>
      <c r="AI345" t="s">
        <v>4185</v>
      </c>
      <c r="AQ345">
        <v>1</v>
      </c>
    </row>
    <row r="346" spans="1:43" hidden="1" x14ac:dyDescent="0.3">
      <c r="A346" t="s">
        <v>31</v>
      </c>
      <c r="B346">
        <v>648</v>
      </c>
      <c r="C346">
        <v>206</v>
      </c>
      <c r="D346">
        <v>2663</v>
      </c>
      <c r="G346" t="s">
        <v>4186</v>
      </c>
      <c r="H346">
        <v>37075503000136</v>
      </c>
      <c r="I346" t="s">
        <v>3826</v>
      </c>
      <c r="J346" t="s">
        <v>1474</v>
      </c>
      <c r="K346" t="s">
        <v>1475</v>
      </c>
      <c r="M346" t="s">
        <v>1476</v>
      </c>
      <c r="O346" t="s">
        <v>6487</v>
      </c>
      <c r="P346" t="s">
        <v>1477</v>
      </c>
      <c r="Q346" t="s">
        <v>932</v>
      </c>
      <c r="T346" t="s">
        <v>319</v>
      </c>
      <c r="U346" t="s">
        <v>3417</v>
      </c>
      <c r="W346">
        <v>26200</v>
      </c>
      <c r="X346">
        <v>3400</v>
      </c>
      <c r="Z346">
        <v>21</v>
      </c>
      <c r="AA346" s="31">
        <v>45950</v>
      </c>
      <c r="AB346" s="61">
        <v>0.42942129629629627</v>
      </c>
      <c r="AC346" t="s">
        <v>795</v>
      </c>
      <c r="AD346" s="31">
        <v>45971</v>
      </c>
      <c r="AE346" s="61">
        <v>0.67660879629629633</v>
      </c>
      <c r="AF346" t="s">
        <v>934</v>
      </c>
      <c r="AH346" t="s">
        <v>4185</v>
      </c>
      <c r="AI346" t="s">
        <v>4185</v>
      </c>
      <c r="AQ346">
        <v>1</v>
      </c>
    </row>
    <row r="347" spans="1:43" hidden="1" x14ac:dyDescent="0.3">
      <c r="A347" t="s">
        <v>31</v>
      </c>
      <c r="B347">
        <v>649</v>
      </c>
      <c r="C347">
        <v>124</v>
      </c>
      <c r="D347">
        <v>2664</v>
      </c>
      <c r="G347" t="s">
        <v>4187</v>
      </c>
      <c r="H347">
        <v>12121089000123</v>
      </c>
      <c r="I347" t="s">
        <v>3354</v>
      </c>
      <c r="J347" t="s">
        <v>4188</v>
      </c>
      <c r="M347" t="s">
        <v>3355</v>
      </c>
      <c r="T347" t="s">
        <v>319</v>
      </c>
      <c r="U347" t="s">
        <v>3417</v>
      </c>
      <c r="W347">
        <v>8400</v>
      </c>
      <c r="X347">
        <v>0</v>
      </c>
      <c r="Z347">
        <v>37</v>
      </c>
      <c r="AA347" s="31">
        <v>45950</v>
      </c>
      <c r="AB347" s="61">
        <v>0.47859953703703711</v>
      </c>
      <c r="AC347" t="s">
        <v>795</v>
      </c>
      <c r="AD347" s="31">
        <v>45987</v>
      </c>
      <c r="AE347" s="61">
        <v>0.505</v>
      </c>
      <c r="AF347" t="s">
        <v>796</v>
      </c>
      <c r="AH347" t="s">
        <v>4185</v>
      </c>
      <c r="AI347" t="s">
        <v>2223</v>
      </c>
      <c r="AQ347">
        <v>1</v>
      </c>
    </row>
    <row r="348" spans="1:43" hidden="1" x14ac:dyDescent="0.3">
      <c r="A348" t="s">
        <v>31</v>
      </c>
      <c r="B348">
        <v>650</v>
      </c>
      <c r="C348">
        <v>128</v>
      </c>
      <c r="D348">
        <v>2665</v>
      </c>
      <c r="G348" t="s">
        <v>4189</v>
      </c>
      <c r="H348">
        <v>8530284000130</v>
      </c>
      <c r="I348" t="s">
        <v>3363</v>
      </c>
      <c r="J348" t="s">
        <v>4190</v>
      </c>
      <c r="M348" t="s">
        <v>3364</v>
      </c>
      <c r="T348" t="s">
        <v>319</v>
      </c>
      <c r="U348" t="s">
        <v>3417</v>
      </c>
      <c r="W348">
        <v>3360</v>
      </c>
      <c r="X348">
        <v>7128</v>
      </c>
      <c r="Z348">
        <v>18</v>
      </c>
      <c r="AA348" s="31">
        <v>45950</v>
      </c>
      <c r="AB348" s="61">
        <v>0.52028935185185188</v>
      </c>
      <c r="AC348" t="s">
        <v>795</v>
      </c>
      <c r="AD348" s="31">
        <v>45968</v>
      </c>
      <c r="AE348" s="61">
        <v>0.41829861111111111</v>
      </c>
      <c r="AF348" t="s">
        <v>867</v>
      </c>
      <c r="AH348" t="s">
        <v>4185</v>
      </c>
      <c r="AI348" t="s">
        <v>4185</v>
      </c>
      <c r="AQ348">
        <v>1</v>
      </c>
    </row>
    <row r="349" spans="1:43" hidden="1" x14ac:dyDescent="0.3">
      <c r="A349" t="s">
        <v>31</v>
      </c>
      <c r="B349">
        <v>651</v>
      </c>
      <c r="D349">
        <v>2666</v>
      </c>
      <c r="G349" t="s">
        <v>4191</v>
      </c>
      <c r="H349">
        <v>49119936000125</v>
      </c>
      <c r="J349" t="s">
        <v>4565</v>
      </c>
      <c r="K349" t="s">
        <v>4193</v>
      </c>
      <c r="M349" t="s">
        <v>4096</v>
      </c>
      <c r="T349" t="s">
        <v>319</v>
      </c>
      <c r="U349" t="s">
        <v>3417</v>
      </c>
      <c r="W349">
        <v>0</v>
      </c>
      <c r="X349">
        <v>2574</v>
      </c>
      <c r="Z349">
        <v>37</v>
      </c>
      <c r="AA349" s="31">
        <v>45950</v>
      </c>
      <c r="AB349" s="61">
        <v>0.73157407407407404</v>
      </c>
      <c r="AC349" t="s">
        <v>795</v>
      </c>
      <c r="AD349" s="31">
        <v>45987</v>
      </c>
      <c r="AE349" s="61">
        <v>0.49932870370370369</v>
      </c>
      <c r="AF349" t="s">
        <v>796</v>
      </c>
      <c r="AH349" t="s">
        <v>4185</v>
      </c>
      <c r="AI349" t="s">
        <v>4185</v>
      </c>
      <c r="AQ349">
        <v>1</v>
      </c>
    </row>
    <row r="350" spans="1:43" hidden="1" x14ac:dyDescent="0.3">
      <c r="A350" t="s">
        <v>31</v>
      </c>
      <c r="B350">
        <v>652</v>
      </c>
      <c r="C350">
        <v>203</v>
      </c>
      <c r="D350">
        <v>2667</v>
      </c>
      <c r="G350" t="s">
        <v>4194</v>
      </c>
      <c r="H350">
        <v>11806036000183</v>
      </c>
      <c r="I350" t="s">
        <v>3791</v>
      </c>
      <c r="J350" t="s">
        <v>2600</v>
      </c>
      <c r="K350" t="s">
        <v>3792</v>
      </c>
      <c r="M350" t="s">
        <v>3793</v>
      </c>
      <c r="O350" t="s">
        <v>6480</v>
      </c>
      <c r="P350" t="s">
        <v>3636</v>
      </c>
      <c r="Q350" t="s">
        <v>1699</v>
      </c>
      <c r="T350" t="s">
        <v>319</v>
      </c>
      <c r="U350" t="s">
        <v>3417</v>
      </c>
      <c r="W350">
        <v>2160</v>
      </c>
      <c r="X350">
        <v>0</v>
      </c>
      <c r="Z350">
        <v>14</v>
      </c>
      <c r="AA350" s="31">
        <v>45951</v>
      </c>
      <c r="AB350" s="61">
        <v>0.48002314814814823</v>
      </c>
      <c r="AC350" t="s">
        <v>795</v>
      </c>
      <c r="AD350" s="31">
        <v>45965</v>
      </c>
      <c r="AE350" s="61">
        <v>0.50258101851851855</v>
      </c>
      <c r="AF350" t="s">
        <v>934</v>
      </c>
      <c r="AH350" t="s">
        <v>2297</v>
      </c>
      <c r="AI350" t="s">
        <v>4195</v>
      </c>
      <c r="AQ350">
        <v>1</v>
      </c>
    </row>
    <row r="351" spans="1:43" hidden="1" x14ac:dyDescent="0.3">
      <c r="A351" t="s">
        <v>31</v>
      </c>
      <c r="B351">
        <v>653</v>
      </c>
      <c r="D351">
        <v>2668</v>
      </c>
      <c r="E351" t="s">
        <v>4196</v>
      </c>
      <c r="G351" t="s">
        <v>4197</v>
      </c>
      <c r="H351">
        <v>38160619000136</v>
      </c>
      <c r="J351" t="s">
        <v>4198</v>
      </c>
      <c r="K351" t="s">
        <v>4199</v>
      </c>
      <c r="M351" t="s">
        <v>4200</v>
      </c>
      <c r="S351" t="s">
        <v>1419</v>
      </c>
      <c r="T351" t="s">
        <v>319</v>
      </c>
      <c r="U351" t="s">
        <v>3417</v>
      </c>
      <c r="W351">
        <v>16200</v>
      </c>
      <c r="X351">
        <v>7128</v>
      </c>
      <c r="Z351">
        <v>211</v>
      </c>
      <c r="AA351" s="31">
        <v>45951</v>
      </c>
      <c r="AB351" s="61">
        <v>0.4896759259259259</v>
      </c>
      <c r="AC351" t="s">
        <v>782</v>
      </c>
      <c r="AD351" s="31"/>
      <c r="AE351" s="61"/>
      <c r="AH351" t="s">
        <v>4195</v>
      </c>
      <c r="AI351" t="s">
        <v>4195</v>
      </c>
      <c r="AK351" t="s">
        <v>423</v>
      </c>
      <c r="AL351" t="s">
        <v>1423</v>
      </c>
      <c r="AQ351">
        <v>1</v>
      </c>
    </row>
    <row r="352" spans="1:43" hidden="1" x14ac:dyDescent="0.3">
      <c r="A352" t="s">
        <v>31</v>
      </c>
      <c r="B352">
        <v>654</v>
      </c>
      <c r="C352">
        <v>73</v>
      </c>
      <c r="D352">
        <v>2670</v>
      </c>
      <c r="G352" t="s">
        <v>4201</v>
      </c>
      <c r="I352" t="s">
        <v>3218</v>
      </c>
      <c r="J352" t="s">
        <v>1474</v>
      </c>
      <c r="K352" t="s">
        <v>3939</v>
      </c>
      <c r="M352" t="s">
        <v>3220</v>
      </c>
      <c r="T352" t="s">
        <v>319</v>
      </c>
      <c r="U352" t="s">
        <v>3417</v>
      </c>
      <c r="W352">
        <v>1600</v>
      </c>
      <c r="X352">
        <v>322193</v>
      </c>
      <c r="Z352">
        <v>19</v>
      </c>
      <c r="AA352" s="31">
        <v>45952</v>
      </c>
      <c r="AB352" s="61">
        <v>0.38269675925925928</v>
      </c>
      <c r="AC352" t="s">
        <v>795</v>
      </c>
      <c r="AD352" s="31">
        <v>45971</v>
      </c>
      <c r="AE352" s="61">
        <v>0.62304398148148143</v>
      </c>
      <c r="AF352" t="s">
        <v>867</v>
      </c>
      <c r="AH352" t="s">
        <v>4195</v>
      </c>
      <c r="AI352" t="s">
        <v>4202</v>
      </c>
      <c r="AQ352">
        <v>1</v>
      </c>
    </row>
    <row r="353" spans="1:43" hidden="1" x14ac:dyDescent="0.3">
      <c r="A353" t="s">
        <v>31</v>
      </c>
      <c r="B353">
        <v>655</v>
      </c>
      <c r="C353">
        <v>107</v>
      </c>
      <c r="D353">
        <v>2671</v>
      </c>
      <c r="G353" t="s">
        <v>4203</v>
      </c>
      <c r="H353">
        <v>7527737000297</v>
      </c>
      <c r="I353" t="s">
        <v>427</v>
      </c>
      <c r="J353" t="s">
        <v>6513</v>
      </c>
      <c r="M353" t="s">
        <v>3320</v>
      </c>
      <c r="T353" t="s">
        <v>319</v>
      </c>
      <c r="U353" t="s">
        <v>3417</v>
      </c>
      <c r="W353">
        <v>420</v>
      </c>
      <c r="X353">
        <v>3564</v>
      </c>
      <c r="Z353">
        <v>26</v>
      </c>
      <c r="AA353" s="31">
        <v>45952</v>
      </c>
      <c r="AB353" s="61">
        <v>0.48693287037037042</v>
      </c>
      <c r="AC353" t="s">
        <v>795</v>
      </c>
      <c r="AD353" s="31">
        <v>45978</v>
      </c>
      <c r="AE353" s="61">
        <v>0.41158564814814808</v>
      </c>
      <c r="AF353" t="s">
        <v>934</v>
      </c>
      <c r="AH353" t="s">
        <v>4202</v>
      </c>
      <c r="AI353" t="s">
        <v>4202</v>
      </c>
      <c r="AQ353">
        <v>1</v>
      </c>
    </row>
    <row r="354" spans="1:43" hidden="1" x14ac:dyDescent="0.3">
      <c r="A354" t="s">
        <v>31</v>
      </c>
      <c r="B354">
        <v>658</v>
      </c>
      <c r="C354">
        <v>191</v>
      </c>
      <c r="D354">
        <v>2681</v>
      </c>
      <c r="G354" t="s">
        <v>4205</v>
      </c>
      <c r="H354">
        <v>18628799000120</v>
      </c>
      <c r="I354" t="s">
        <v>3734</v>
      </c>
      <c r="J354" t="s">
        <v>3735</v>
      </c>
      <c r="K354" t="s">
        <v>2216</v>
      </c>
      <c r="M354" t="s">
        <v>2217</v>
      </c>
      <c r="O354" t="s">
        <v>6473</v>
      </c>
      <c r="P354" t="s">
        <v>1094</v>
      </c>
      <c r="Q354" t="s">
        <v>790</v>
      </c>
      <c r="T354" t="s">
        <v>319</v>
      </c>
      <c r="U354" t="s">
        <v>816</v>
      </c>
      <c r="W354">
        <v>0</v>
      </c>
      <c r="X354">
        <v>64159</v>
      </c>
      <c r="Z354">
        <v>2</v>
      </c>
      <c r="AA354" s="31">
        <v>45957</v>
      </c>
      <c r="AB354" s="61">
        <v>0.64555555555555555</v>
      </c>
      <c r="AC354" t="s">
        <v>818</v>
      </c>
      <c r="AD354" s="31">
        <v>45959</v>
      </c>
      <c r="AE354" s="61">
        <v>0.38715277777777779</v>
      </c>
      <c r="AH354" t="s">
        <v>4206</v>
      </c>
      <c r="AQ354">
        <v>1</v>
      </c>
    </row>
    <row r="355" spans="1:43" hidden="1" x14ac:dyDescent="0.3">
      <c r="A355" t="s">
        <v>31</v>
      </c>
      <c r="B355">
        <v>660</v>
      </c>
      <c r="C355">
        <v>174</v>
      </c>
      <c r="D355">
        <v>2682</v>
      </c>
      <c r="G355" t="s">
        <v>4207</v>
      </c>
      <c r="H355">
        <v>45238441000164</v>
      </c>
      <c r="I355" t="s">
        <v>3507</v>
      </c>
      <c r="J355" t="s">
        <v>3995</v>
      </c>
      <c r="K355" t="s">
        <v>3509</v>
      </c>
      <c r="L355">
        <v>11973359869</v>
      </c>
      <c r="M355" t="s">
        <v>3510</v>
      </c>
      <c r="O355" t="s">
        <v>6448</v>
      </c>
      <c r="P355" t="s">
        <v>1094</v>
      </c>
      <c r="Q355" t="s">
        <v>790</v>
      </c>
      <c r="T355" t="s">
        <v>319</v>
      </c>
      <c r="U355" t="s">
        <v>816</v>
      </c>
      <c r="W355">
        <v>0</v>
      </c>
      <c r="X355">
        <v>14256</v>
      </c>
      <c r="Z355">
        <v>0</v>
      </c>
      <c r="AA355" s="31">
        <v>45957</v>
      </c>
      <c r="AB355" s="61">
        <v>0.65339120370370374</v>
      </c>
      <c r="AC355" t="s">
        <v>818</v>
      </c>
      <c r="AD355" s="31">
        <v>45957</v>
      </c>
      <c r="AE355" s="61">
        <v>0.65457175925925926</v>
      </c>
      <c r="AH355" t="s">
        <v>4185</v>
      </c>
      <c r="AI355" t="s">
        <v>4165</v>
      </c>
      <c r="AQ355">
        <v>1</v>
      </c>
    </row>
    <row r="356" spans="1:43" hidden="1" x14ac:dyDescent="0.3">
      <c r="A356" t="s">
        <v>31</v>
      </c>
      <c r="B356">
        <v>661</v>
      </c>
      <c r="D356">
        <v>2683</v>
      </c>
      <c r="G356" t="s">
        <v>4208</v>
      </c>
      <c r="H356">
        <v>38160619000136</v>
      </c>
      <c r="J356" t="s">
        <v>4198</v>
      </c>
      <c r="K356" t="s">
        <v>4199</v>
      </c>
      <c r="M356" t="s">
        <v>4200</v>
      </c>
      <c r="T356" t="s">
        <v>319</v>
      </c>
      <c r="U356" t="s">
        <v>816</v>
      </c>
      <c r="W356">
        <v>0</v>
      </c>
      <c r="X356">
        <v>2586</v>
      </c>
      <c r="Z356">
        <v>1</v>
      </c>
      <c r="AA356" s="31">
        <v>45957</v>
      </c>
      <c r="AB356" s="61">
        <v>0.65902777777777777</v>
      </c>
      <c r="AC356" t="s">
        <v>818</v>
      </c>
      <c r="AD356" s="31">
        <v>45958</v>
      </c>
      <c r="AE356" s="61">
        <v>0.42133101851851851</v>
      </c>
      <c r="AH356" t="s">
        <v>4206</v>
      </c>
      <c r="AQ356">
        <v>1</v>
      </c>
    </row>
    <row r="357" spans="1:43" hidden="1" x14ac:dyDescent="0.3">
      <c r="A357" t="s">
        <v>31</v>
      </c>
      <c r="B357">
        <v>663</v>
      </c>
      <c r="C357">
        <v>190</v>
      </c>
      <c r="D357">
        <v>2689</v>
      </c>
      <c r="G357" t="s">
        <v>4209</v>
      </c>
      <c r="H357">
        <v>18203215000175</v>
      </c>
      <c r="I357" t="s">
        <v>3690</v>
      </c>
      <c r="J357" t="s">
        <v>4210</v>
      </c>
      <c r="K357" t="s">
        <v>3692</v>
      </c>
      <c r="M357" t="s">
        <v>3693</v>
      </c>
      <c r="O357" t="s">
        <v>6470</v>
      </c>
      <c r="P357" t="s">
        <v>3695</v>
      </c>
      <c r="Q357" t="s">
        <v>790</v>
      </c>
      <c r="T357" t="s">
        <v>319</v>
      </c>
      <c r="U357" t="s">
        <v>816</v>
      </c>
      <c r="W357">
        <v>8400</v>
      </c>
      <c r="X357">
        <v>0</v>
      </c>
      <c r="Z357">
        <v>0</v>
      </c>
      <c r="AA357" s="31">
        <v>45959</v>
      </c>
      <c r="AB357" s="61">
        <v>0.41988425925925932</v>
      </c>
      <c r="AC357" t="s">
        <v>818</v>
      </c>
      <c r="AD357" s="31">
        <v>45959</v>
      </c>
      <c r="AE357" s="61">
        <v>0.42054398148148148</v>
      </c>
      <c r="AH357" t="s">
        <v>4211</v>
      </c>
      <c r="AI357" t="s">
        <v>4211</v>
      </c>
      <c r="AQ357">
        <v>1</v>
      </c>
    </row>
    <row r="358" spans="1:43" hidden="1" x14ac:dyDescent="0.3">
      <c r="A358" t="s">
        <v>31</v>
      </c>
      <c r="B358">
        <v>664</v>
      </c>
      <c r="C358">
        <v>191</v>
      </c>
      <c r="D358">
        <v>2691</v>
      </c>
      <c r="G358" t="s">
        <v>4212</v>
      </c>
      <c r="H358">
        <v>18628799000120</v>
      </c>
      <c r="I358" t="s">
        <v>3734</v>
      </c>
      <c r="J358" t="s">
        <v>3735</v>
      </c>
      <c r="K358" t="s">
        <v>2216</v>
      </c>
      <c r="M358" t="s">
        <v>2217</v>
      </c>
      <c r="O358" t="s">
        <v>6473</v>
      </c>
      <c r="P358" t="s">
        <v>1094</v>
      </c>
      <c r="Q358" t="s">
        <v>790</v>
      </c>
      <c r="T358" t="s">
        <v>319</v>
      </c>
      <c r="U358" t="s">
        <v>3417</v>
      </c>
      <c r="W358">
        <v>26200</v>
      </c>
      <c r="X358">
        <v>3400</v>
      </c>
      <c r="Z358">
        <v>36</v>
      </c>
      <c r="AA358" s="31">
        <v>45959</v>
      </c>
      <c r="AB358" s="61">
        <v>0.69269675925925922</v>
      </c>
      <c r="AC358" t="s">
        <v>795</v>
      </c>
      <c r="AD358" s="31">
        <v>45995</v>
      </c>
      <c r="AE358" s="61">
        <v>0.40078703703703711</v>
      </c>
      <c r="AF358" t="s">
        <v>796</v>
      </c>
      <c r="AH358" t="s">
        <v>4211</v>
      </c>
      <c r="AI358" t="s">
        <v>4211</v>
      </c>
      <c r="AQ358">
        <v>1</v>
      </c>
    </row>
    <row r="359" spans="1:43" hidden="1" x14ac:dyDescent="0.3">
      <c r="A359" t="s">
        <v>31</v>
      </c>
      <c r="B359">
        <v>668</v>
      </c>
      <c r="C359">
        <v>103</v>
      </c>
      <c r="D359">
        <v>2717</v>
      </c>
      <c r="G359" t="s">
        <v>4213</v>
      </c>
      <c r="H359">
        <v>12549273000179</v>
      </c>
      <c r="I359" t="s">
        <v>3309</v>
      </c>
      <c r="J359" t="s">
        <v>4067</v>
      </c>
      <c r="K359" t="s">
        <v>4214</v>
      </c>
      <c r="M359" t="s">
        <v>3312</v>
      </c>
      <c r="O359" t="s">
        <v>6441</v>
      </c>
      <c r="P359" t="s">
        <v>1596</v>
      </c>
      <c r="Q359" t="s">
        <v>790</v>
      </c>
      <c r="S359" t="s">
        <v>1581</v>
      </c>
      <c r="T359" t="s">
        <v>319</v>
      </c>
      <c r="U359" t="s">
        <v>3417</v>
      </c>
      <c r="W359">
        <v>1600</v>
      </c>
      <c r="X359">
        <v>47183</v>
      </c>
      <c r="Z359">
        <v>82</v>
      </c>
      <c r="AA359" s="31">
        <v>45961</v>
      </c>
      <c r="AB359" s="61">
        <v>0.45398148148148149</v>
      </c>
      <c r="AC359" t="s">
        <v>795</v>
      </c>
      <c r="AD359" s="31">
        <v>46043</v>
      </c>
      <c r="AE359" s="61">
        <v>0.40621527777777777</v>
      </c>
      <c r="AF359" t="s">
        <v>867</v>
      </c>
      <c r="AH359" t="s">
        <v>4215</v>
      </c>
      <c r="AI359" t="s">
        <v>4206</v>
      </c>
      <c r="AK359" t="s">
        <v>2576</v>
      </c>
      <c r="AQ359">
        <v>1</v>
      </c>
    </row>
    <row r="360" spans="1:43" hidden="1" x14ac:dyDescent="0.3">
      <c r="A360" t="s">
        <v>31</v>
      </c>
      <c r="B360">
        <v>670</v>
      </c>
      <c r="D360">
        <v>2719</v>
      </c>
      <c r="G360" t="s">
        <v>4216</v>
      </c>
      <c r="H360">
        <v>6946105000114</v>
      </c>
      <c r="J360" t="s">
        <v>4217</v>
      </c>
      <c r="K360" t="s">
        <v>4218</v>
      </c>
      <c r="M360" t="s">
        <v>4219</v>
      </c>
      <c r="T360" t="s">
        <v>319</v>
      </c>
      <c r="U360" t="s">
        <v>816</v>
      </c>
      <c r="W360">
        <v>0</v>
      </c>
      <c r="X360">
        <v>28512</v>
      </c>
      <c r="Z360">
        <v>19</v>
      </c>
      <c r="AA360" s="31">
        <v>45961</v>
      </c>
      <c r="AB360" s="61">
        <v>0.68109953703703707</v>
      </c>
      <c r="AC360" t="s">
        <v>818</v>
      </c>
      <c r="AD360" s="31">
        <v>45980</v>
      </c>
      <c r="AE360" s="61">
        <v>0.71309027777777778</v>
      </c>
      <c r="AH360" t="s">
        <v>4220</v>
      </c>
      <c r="AI360" t="s">
        <v>4220</v>
      </c>
      <c r="AQ360">
        <v>1</v>
      </c>
    </row>
    <row r="361" spans="1:43" hidden="1" x14ac:dyDescent="0.3">
      <c r="A361" t="s">
        <v>31</v>
      </c>
      <c r="B361">
        <v>671</v>
      </c>
      <c r="C361">
        <v>189</v>
      </c>
      <c r="D361">
        <v>2728</v>
      </c>
      <c r="G361" t="s">
        <v>4221</v>
      </c>
      <c r="H361">
        <v>10698565000148</v>
      </c>
      <c r="I361" t="s">
        <v>4145</v>
      </c>
      <c r="J361" t="s">
        <v>4146</v>
      </c>
      <c r="K361" t="s">
        <v>4147</v>
      </c>
      <c r="O361" t="s">
        <v>6512</v>
      </c>
      <c r="P361" t="s">
        <v>4149</v>
      </c>
      <c r="Q361" t="s">
        <v>4150</v>
      </c>
      <c r="T361" t="s">
        <v>319</v>
      </c>
      <c r="U361" t="s">
        <v>3417</v>
      </c>
      <c r="W361">
        <v>2040708</v>
      </c>
      <c r="X361">
        <v>7128</v>
      </c>
      <c r="Z361">
        <v>30</v>
      </c>
      <c r="AA361" s="31">
        <v>45964</v>
      </c>
      <c r="AB361" s="61">
        <v>0.44855324074074082</v>
      </c>
      <c r="AC361" t="s">
        <v>795</v>
      </c>
      <c r="AD361" s="31">
        <v>45994</v>
      </c>
      <c r="AE361" s="61">
        <v>0.4256597222222222</v>
      </c>
      <c r="AF361" t="s">
        <v>867</v>
      </c>
      <c r="AH361" t="s">
        <v>2324</v>
      </c>
      <c r="AI361" t="s">
        <v>2324</v>
      </c>
      <c r="AQ361">
        <v>1</v>
      </c>
    </row>
    <row r="362" spans="1:43" hidden="1" x14ac:dyDescent="0.3">
      <c r="A362" t="s">
        <v>31</v>
      </c>
      <c r="B362">
        <v>675</v>
      </c>
      <c r="C362">
        <v>159</v>
      </c>
      <c r="D362">
        <v>2742</v>
      </c>
      <c r="G362" t="s">
        <v>4222</v>
      </c>
      <c r="H362">
        <v>43526090000161</v>
      </c>
      <c r="I362" t="s">
        <v>913</v>
      </c>
      <c r="J362" t="s">
        <v>4067</v>
      </c>
      <c r="K362" t="s">
        <v>4155</v>
      </c>
      <c r="M362" t="s">
        <v>916</v>
      </c>
      <c r="P362" t="s">
        <v>909</v>
      </c>
      <c r="Q362" t="s">
        <v>790</v>
      </c>
      <c r="T362" t="s">
        <v>319</v>
      </c>
      <c r="U362" t="s">
        <v>3417</v>
      </c>
      <c r="Z362">
        <v>25</v>
      </c>
      <c r="AA362" s="31">
        <v>45968</v>
      </c>
      <c r="AB362" s="61">
        <v>0.67895833333333333</v>
      </c>
      <c r="AC362" t="s">
        <v>795</v>
      </c>
      <c r="AD362" s="31">
        <v>45993</v>
      </c>
      <c r="AE362" s="61">
        <v>0.39473379629629629</v>
      </c>
      <c r="AF362" t="s">
        <v>796</v>
      </c>
      <c r="AH362" t="s">
        <v>4223</v>
      </c>
      <c r="AI362" t="s">
        <v>4223</v>
      </c>
      <c r="AQ362">
        <v>1</v>
      </c>
    </row>
    <row r="363" spans="1:43" hidden="1" x14ac:dyDescent="0.3">
      <c r="A363" t="s">
        <v>31</v>
      </c>
      <c r="B363">
        <v>676</v>
      </c>
      <c r="C363">
        <v>208</v>
      </c>
      <c r="D363">
        <v>2746</v>
      </c>
      <c r="G363" t="s">
        <v>4224</v>
      </c>
      <c r="H363">
        <v>42830750000130</v>
      </c>
      <c r="I363" t="s">
        <v>3903</v>
      </c>
      <c r="J363" t="s">
        <v>1804</v>
      </c>
      <c r="K363" t="s">
        <v>3905</v>
      </c>
      <c r="M363" t="s">
        <v>4594</v>
      </c>
      <c r="O363" t="s">
        <v>6494</v>
      </c>
      <c r="P363" t="s">
        <v>1094</v>
      </c>
      <c r="Q363" t="s">
        <v>790</v>
      </c>
      <c r="T363" t="s">
        <v>319</v>
      </c>
      <c r="U363" t="s">
        <v>3417</v>
      </c>
      <c r="W363">
        <v>0</v>
      </c>
      <c r="X363">
        <v>308</v>
      </c>
      <c r="Z363">
        <v>30</v>
      </c>
      <c r="AA363" s="31">
        <v>45971</v>
      </c>
      <c r="AB363" s="61">
        <v>0.39951388888888889</v>
      </c>
      <c r="AC363" t="s">
        <v>795</v>
      </c>
      <c r="AD363" s="31">
        <v>46001</v>
      </c>
      <c r="AE363" s="61">
        <v>0.44709490740740743</v>
      </c>
      <c r="AF363" t="s">
        <v>796</v>
      </c>
      <c r="AH363" t="s">
        <v>2437</v>
      </c>
      <c r="AI363" t="s">
        <v>2437</v>
      </c>
      <c r="AQ363">
        <v>1</v>
      </c>
    </row>
    <row r="364" spans="1:43" hidden="1" x14ac:dyDescent="0.3">
      <c r="A364" t="s">
        <v>31</v>
      </c>
      <c r="B364">
        <v>677</v>
      </c>
      <c r="C364">
        <v>182</v>
      </c>
      <c r="D364">
        <v>2752</v>
      </c>
      <c r="G364" t="s">
        <v>4225</v>
      </c>
      <c r="H364">
        <v>23873456000161</v>
      </c>
      <c r="I364" t="s">
        <v>3573</v>
      </c>
      <c r="J364" t="s">
        <v>3574</v>
      </c>
      <c r="K364" t="s">
        <v>3575</v>
      </c>
      <c r="M364" t="s">
        <v>3576</v>
      </c>
      <c r="O364" t="s">
        <v>6457</v>
      </c>
      <c r="P364" t="s">
        <v>1837</v>
      </c>
      <c r="Q364" t="s">
        <v>790</v>
      </c>
      <c r="S364" t="s">
        <v>1718</v>
      </c>
      <c r="T364" t="s">
        <v>319</v>
      </c>
      <c r="U364" t="s">
        <v>781</v>
      </c>
      <c r="Z364">
        <v>63</v>
      </c>
      <c r="AA364" s="31">
        <v>45972</v>
      </c>
      <c r="AB364" s="61">
        <v>0.64833333333333332</v>
      </c>
      <c r="AC364" t="s">
        <v>795</v>
      </c>
      <c r="AD364" s="31">
        <v>46035</v>
      </c>
      <c r="AE364" s="61">
        <v>0.70446759259259262</v>
      </c>
      <c r="AF364" t="s">
        <v>796</v>
      </c>
      <c r="AQ364">
        <v>1</v>
      </c>
    </row>
    <row r="365" spans="1:43" hidden="1" x14ac:dyDescent="0.3">
      <c r="A365" t="s">
        <v>31</v>
      </c>
      <c r="B365">
        <v>678</v>
      </c>
      <c r="C365">
        <v>182</v>
      </c>
      <c r="D365">
        <v>2753</v>
      </c>
      <c r="G365" t="s">
        <v>4226</v>
      </c>
      <c r="H365">
        <v>23873456000161</v>
      </c>
      <c r="I365" t="s">
        <v>3573</v>
      </c>
      <c r="J365" t="s">
        <v>3574</v>
      </c>
      <c r="K365" t="s">
        <v>3575</v>
      </c>
      <c r="M365" t="s">
        <v>3576</v>
      </c>
      <c r="O365" t="s">
        <v>6457</v>
      </c>
      <c r="P365" t="s">
        <v>1837</v>
      </c>
      <c r="Q365" t="s">
        <v>790</v>
      </c>
      <c r="S365" t="s">
        <v>1718</v>
      </c>
      <c r="T365" t="s">
        <v>319</v>
      </c>
      <c r="U365" t="s">
        <v>3417</v>
      </c>
      <c r="W365">
        <v>3360</v>
      </c>
      <c r="X365">
        <v>3564</v>
      </c>
      <c r="Z365">
        <v>106</v>
      </c>
      <c r="AA365" s="31">
        <v>45972</v>
      </c>
      <c r="AB365" s="61">
        <v>0.64900462962962968</v>
      </c>
      <c r="AC365" t="s">
        <v>795</v>
      </c>
      <c r="AD365" s="31">
        <v>46078</v>
      </c>
      <c r="AE365" s="61">
        <v>0.46172453703703698</v>
      </c>
      <c r="AF365" t="s">
        <v>796</v>
      </c>
      <c r="AH365" t="s">
        <v>4227</v>
      </c>
      <c r="AI365" t="s">
        <v>4227</v>
      </c>
      <c r="AK365" t="s">
        <v>2326</v>
      </c>
      <c r="AL365" t="s">
        <v>2119</v>
      </c>
      <c r="AQ365">
        <v>1</v>
      </c>
    </row>
    <row r="366" spans="1:43" hidden="1" x14ac:dyDescent="0.3">
      <c r="A366" t="s">
        <v>31</v>
      </c>
      <c r="B366">
        <v>679</v>
      </c>
      <c r="C366">
        <v>182</v>
      </c>
      <c r="D366">
        <v>2754</v>
      </c>
      <c r="G366" t="s">
        <v>4228</v>
      </c>
      <c r="H366">
        <v>23873456000161</v>
      </c>
      <c r="I366" t="s">
        <v>3573</v>
      </c>
      <c r="J366" t="s">
        <v>3574</v>
      </c>
      <c r="K366" t="s">
        <v>3575</v>
      </c>
      <c r="M366" t="s">
        <v>3576</v>
      </c>
      <c r="O366" t="s">
        <v>6457</v>
      </c>
      <c r="P366" t="s">
        <v>1837</v>
      </c>
      <c r="Q366" t="s">
        <v>790</v>
      </c>
      <c r="S366" t="s">
        <v>1718</v>
      </c>
      <c r="T366" t="s">
        <v>319</v>
      </c>
      <c r="U366" t="s">
        <v>3417</v>
      </c>
      <c r="W366">
        <v>25200</v>
      </c>
      <c r="X366">
        <v>104544</v>
      </c>
      <c r="Z366">
        <v>79</v>
      </c>
      <c r="AA366" s="31">
        <v>45972</v>
      </c>
      <c r="AB366" s="61">
        <v>0.66282407407407407</v>
      </c>
      <c r="AC366" t="s">
        <v>795</v>
      </c>
      <c r="AD366" s="31">
        <v>46051</v>
      </c>
      <c r="AE366" s="61">
        <v>0.39392361111111113</v>
      </c>
      <c r="AF366" t="s">
        <v>796</v>
      </c>
      <c r="AH366" t="s">
        <v>2529</v>
      </c>
      <c r="AI366" t="s">
        <v>2529</v>
      </c>
      <c r="AK366" t="s">
        <v>2891</v>
      </c>
      <c r="AQ366">
        <v>1</v>
      </c>
    </row>
    <row r="367" spans="1:43" hidden="1" x14ac:dyDescent="0.3">
      <c r="A367" t="s">
        <v>31</v>
      </c>
      <c r="B367">
        <v>682</v>
      </c>
      <c r="C367">
        <v>206</v>
      </c>
      <c r="D367">
        <v>2758</v>
      </c>
      <c r="G367" t="s">
        <v>4229</v>
      </c>
      <c r="H367">
        <v>37075503000136</v>
      </c>
      <c r="I367" t="s">
        <v>3826</v>
      </c>
      <c r="J367" t="s">
        <v>1474</v>
      </c>
      <c r="K367" t="s">
        <v>1475</v>
      </c>
      <c r="M367" t="s">
        <v>1476</v>
      </c>
      <c r="O367" t="s">
        <v>6487</v>
      </c>
      <c r="P367" t="s">
        <v>1477</v>
      </c>
      <c r="Q367" t="s">
        <v>932</v>
      </c>
      <c r="T367" t="s">
        <v>319</v>
      </c>
      <c r="U367" t="s">
        <v>3417</v>
      </c>
      <c r="W367">
        <v>70875</v>
      </c>
      <c r="X367">
        <v>0</v>
      </c>
      <c r="Z367">
        <v>19</v>
      </c>
      <c r="AA367" s="31">
        <v>45974</v>
      </c>
      <c r="AB367" s="61">
        <v>0.40334490740740742</v>
      </c>
      <c r="AC367" t="s">
        <v>795</v>
      </c>
      <c r="AD367" s="31">
        <v>45993</v>
      </c>
      <c r="AE367" s="61">
        <v>0.39771990740740742</v>
      </c>
      <c r="AF367" t="s">
        <v>796</v>
      </c>
      <c r="AH367" t="s">
        <v>4230</v>
      </c>
      <c r="AQ367">
        <v>1</v>
      </c>
    </row>
    <row r="368" spans="1:43" hidden="1" x14ac:dyDescent="0.3">
      <c r="A368" t="s">
        <v>31</v>
      </c>
      <c r="B368">
        <v>683</v>
      </c>
      <c r="C368">
        <v>186</v>
      </c>
      <c r="D368">
        <v>2759</v>
      </c>
      <c r="G368" t="s">
        <v>4231</v>
      </c>
      <c r="H368">
        <v>10899939000193</v>
      </c>
      <c r="I368" t="s">
        <v>3625</v>
      </c>
      <c r="J368" t="s">
        <v>704</v>
      </c>
      <c r="K368" t="s">
        <v>3626</v>
      </c>
      <c r="M368" t="s">
        <v>3627</v>
      </c>
      <c r="O368" t="s">
        <v>6463</v>
      </c>
      <c r="P368" t="s">
        <v>3629</v>
      </c>
      <c r="Q368" t="s">
        <v>932</v>
      </c>
      <c r="S368" t="s">
        <v>1704</v>
      </c>
      <c r="T368" t="s">
        <v>319</v>
      </c>
      <c r="U368" t="s">
        <v>816</v>
      </c>
      <c r="W368">
        <v>2856</v>
      </c>
      <c r="X368">
        <v>60588</v>
      </c>
      <c r="Z368">
        <v>60</v>
      </c>
      <c r="AA368" s="31">
        <v>45974</v>
      </c>
      <c r="AB368" s="61">
        <v>0.44814814814814807</v>
      </c>
      <c r="AC368" t="s">
        <v>795</v>
      </c>
      <c r="AD368" s="31">
        <v>46034</v>
      </c>
      <c r="AE368" s="61">
        <v>0.46733796296296298</v>
      </c>
      <c r="AF368" t="s">
        <v>934</v>
      </c>
      <c r="AH368" t="s">
        <v>4230</v>
      </c>
      <c r="AK368" t="s">
        <v>2519</v>
      </c>
      <c r="AQ368">
        <v>1</v>
      </c>
    </row>
    <row r="369" spans="1:43" hidden="1" x14ac:dyDescent="0.3">
      <c r="A369" t="s">
        <v>31</v>
      </c>
      <c r="B369">
        <v>687</v>
      </c>
      <c r="C369">
        <v>152</v>
      </c>
      <c r="D369">
        <v>2817</v>
      </c>
      <c r="G369" t="s">
        <v>4018</v>
      </c>
      <c r="I369" t="s">
        <v>3445</v>
      </c>
      <c r="J369" t="s">
        <v>4146</v>
      </c>
      <c r="K369" t="s">
        <v>3621</v>
      </c>
      <c r="M369" t="s">
        <v>3448</v>
      </c>
      <c r="S369" t="s">
        <v>1718</v>
      </c>
      <c r="T369" t="s">
        <v>319</v>
      </c>
      <c r="U369" t="s">
        <v>816</v>
      </c>
      <c r="W369">
        <v>3360</v>
      </c>
      <c r="X369">
        <v>7128</v>
      </c>
      <c r="Z369">
        <v>67</v>
      </c>
      <c r="AA369" s="31">
        <v>45978</v>
      </c>
      <c r="AB369" s="61">
        <v>0.72304398148148152</v>
      </c>
      <c r="AC369" t="s">
        <v>818</v>
      </c>
      <c r="AD369" s="31">
        <v>46045</v>
      </c>
      <c r="AE369" s="61">
        <v>0.71009259259259261</v>
      </c>
      <c r="AH369" t="s">
        <v>2273</v>
      </c>
      <c r="AI369" t="s">
        <v>2273</v>
      </c>
      <c r="AK369" t="s">
        <v>2590</v>
      </c>
      <c r="AQ369">
        <v>1</v>
      </c>
    </row>
    <row r="370" spans="1:43" hidden="1" x14ac:dyDescent="0.3">
      <c r="A370" t="s">
        <v>31</v>
      </c>
      <c r="B370">
        <v>688</v>
      </c>
      <c r="C370">
        <v>170</v>
      </c>
      <c r="D370">
        <v>2818</v>
      </c>
      <c r="G370" t="s">
        <v>460</v>
      </c>
      <c r="H370">
        <v>4150555001304</v>
      </c>
      <c r="I370" t="s">
        <v>3477</v>
      </c>
      <c r="J370" t="s">
        <v>3478</v>
      </c>
      <c r="K370" t="s">
        <v>3569</v>
      </c>
      <c r="M370" t="s">
        <v>3480</v>
      </c>
      <c r="O370" t="s">
        <v>6444</v>
      </c>
      <c r="P370" t="s">
        <v>3482</v>
      </c>
      <c r="Q370" t="s">
        <v>1699</v>
      </c>
      <c r="T370" t="s">
        <v>319</v>
      </c>
      <c r="U370" t="s">
        <v>816</v>
      </c>
      <c r="W370">
        <v>838823</v>
      </c>
      <c r="X370">
        <v>0</v>
      </c>
      <c r="Z370">
        <v>8</v>
      </c>
      <c r="AA370" s="31">
        <v>45979</v>
      </c>
      <c r="AB370" s="61">
        <v>0.6174884259259259</v>
      </c>
      <c r="AC370" t="s">
        <v>818</v>
      </c>
      <c r="AD370" s="31">
        <v>45987</v>
      </c>
      <c r="AE370" s="61">
        <v>0.49862268518518521</v>
      </c>
      <c r="AH370" t="s">
        <v>4232</v>
      </c>
      <c r="AQ370">
        <v>1</v>
      </c>
    </row>
    <row r="371" spans="1:43" hidden="1" x14ac:dyDescent="0.3">
      <c r="A371" t="s">
        <v>31</v>
      </c>
      <c r="B371">
        <v>689</v>
      </c>
      <c r="C371">
        <v>0</v>
      </c>
      <c r="D371">
        <v>2851</v>
      </c>
      <c r="G371" t="s">
        <v>4233</v>
      </c>
      <c r="J371" t="s">
        <v>6514</v>
      </c>
      <c r="K371" t="s">
        <v>4235</v>
      </c>
      <c r="M371" t="s">
        <v>4236</v>
      </c>
      <c r="S371" t="s">
        <v>1718</v>
      </c>
      <c r="T371" t="s">
        <v>319</v>
      </c>
      <c r="U371" t="s">
        <v>3606</v>
      </c>
      <c r="Z371">
        <v>45</v>
      </c>
      <c r="AA371" s="31">
        <v>45985</v>
      </c>
      <c r="AB371" s="61">
        <v>0.38097222222222221</v>
      </c>
      <c r="AC371" t="s">
        <v>795</v>
      </c>
      <c r="AD371" s="31">
        <v>46030</v>
      </c>
      <c r="AE371" s="61">
        <v>0.49526620370370372</v>
      </c>
      <c r="AF371" t="s">
        <v>1358</v>
      </c>
      <c r="AI371" t="s">
        <v>2433</v>
      </c>
      <c r="AK371" t="s">
        <v>2326</v>
      </c>
      <c r="AQ371">
        <v>1</v>
      </c>
    </row>
    <row r="372" spans="1:43" hidden="1" x14ac:dyDescent="0.3">
      <c r="A372" t="s">
        <v>31</v>
      </c>
      <c r="B372">
        <v>691</v>
      </c>
      <c r="C372">
        <v>197</v>
      </c>
      <c r="D372">
        <v>2873</v>
      </c>
      <c r="G372" t="s">
        <v>4237</v>
      </c>
      <c r="H372">
        <v>8616236000169</v>
      </c>
      <c r="I372" t="s">
        <v>3726</v>
      </c>
      <c r="J372" t="s">
        <v>704</v>
      </c>
      <c r="K372" t="s">
        <v>3727</v>
      </c>
      <c r="M372" t="s">
        <v>3728</v>
      </c>
      <c r="O372" t="s">
        <v>6472</v>
      </c>
      <c r="P372" t="s">
        <v>3687</v>
      </c>
      <c r="Q372" t="s">
        <v>790</v>
      </c>
      <c r="S372" t="s">
        <v>1419</v>
      </c>
      <c r="T372" t="s">
        <v>319</v>
      </c>
      <c r="U372" t="s">
        <v>3417</v>
      </c>
      <c r="W372">
        <v>3360</v>
      </c>
      <c r="X372">
        <v>19642</v>
      </c>
      <c r="Z372">
        <v>176</v>
      </c>
      <c r="AA372" s="31">
        <v>45986</v>
      </c>
      <c r="AB372" s="61">
        <v>0.42895833333333327</v>
      </c>
      <c r="AC372" t="s">
        <v>782</v>
      </c>
      <c r="AD372" s="31"/>
      <c r="AE372" s="61"/>
      <c r="AH372" t="s">
        <v>4238</v>
      </c>
      <c r="AI372" t="s">
        <v>4238</v>
      </c>
      <c r="AK372" t="s">
        <v>2519</v>
      </c>
      <c r="AL372" t="s">
        <v>1423</v>
      </c>
      <c r="AQ372">
        <v>1</v>
      </c>
    </row>
    <row r="373" spans="1:43" hidden="1" x14ac:dyDescent="0.3">
      <c r="A373" t="s">
        <v>31</v>
      </c>
      <c r="B373">
        <v>698</v>
      </c>
      <c r="C373">
        <v>148</v>
      </c>
      <c r="D373">
        <v>2888</v>
      </c>
      <c r="G373" t="s">
        <v>3554</v>
      </c>
      <c r="H373">
        <v>8530284000130</v>
      </c>
      <c r="I373" t="s">
        <v>3555</v>
      </c>
      <c r="J373" t="s">
        <v>4190</v>
      </c>
      <c r="K373" t="s">
        <v>3556</v>
      </c>
      <c r="M373" t="s">
        <v>3557</v>
      </c>
      <c r="T373" t="s">
        <v>319</v>
      </c>
      <c r="U373" t="s">
        <v>3417</v>
      </c>
      <c r="W373">
        <v>1600</v>
      </c>
      <c r="X373">
        <v>40193</v>
      </c>
      <c r="Z373">
        <v>16</v>
      </c>
      <c r="AA373" s="31">
        <v>45986</v>
      </c>
      <c r="AB373" s="61">
        <v>0.71763888888888894</v>
      </c>
      <c r="AC373" t="s">
        <v>795</v>
      </c>
      <c r="AD373" s="31">
        <v>46002</v>
      </c>
      <c r="AE373" s="61">
        <v>0.63847222222222222</v>
      </c>
      <c r="AF373" t="s">
        <v>867</v>
      </c>
      <c r="AH373" t="s">
        <v>4238</v>
      </c>
      <c r="AI373" t="s">
        <v>4238</v>
      </c>
      <c r="AQ373">
        <v>1</v>
      </c>
    </row>
    <row r="374" spans="1:43" hidden="1" x14ac:dyDescent="0.3">
      <c r="A374" t="s">
        <v>31</v>
      </c>
      <c r="B374">
        <v>699</v>
      </c>
      <c r="C374">
        <v>172</v>
      </c>
      <c r="D374">
        <v>2889</v>
      </c>
      <c r="G374" t="s">
        <v>3500</v>
      </c>
      <c r="H374">
        <v>33561753000125</v>
      </c>
      <c r="I374" t="s">
        <v>3501</v>
      </c>
      <c r="J374" t="s">
        <v>4180</v>
      </c>
      <c r="K374" t="s">
        <v>3502</v>
      </c>
      <c r="M374" t="s">
        <v>3503</v>
      </c>
      <c r="O374" t="s">
        <v>6447</v>
      </c>
      <c r="P374" t="s">
        <v>3505</v>
      </c>
      <c r="Q374" t="s">
        <v>790</v>
      </c>
      <c r="T374" t="s">
        <v>319</v>
      </c>
      <c r="U374" t="s">
        <v>3417</v>
      </c>
      <c r="W374">
        <v>1680</v>
      </c>
      <c r="X374">
        <v>3564</v>
      </c>
      <c r="Z374">
        <v>0</v>
      </c>
      <c r="AA374" s="31">
        <v>45986</v>
      </c>
      <c r="AB374" s="61">
        <v>0.71848379629629633</v>
      </c>
      <c r="AC374" t="s">
        <v>795</v>
      </c>
      <c r="AD374" s="31">
        <v>45986</v>
      </c>
      <c r="AE374" s="61">
        <v>0.72062499999999996</v>
      </c>
      <c r="AF374" t="s">
        <v>796</v>
      </c>
      <c r="AH374" t="s">
        <v>4238</v>
      </c>
      <c r="AI374" t="s">
        <v>4238</v>
      </c>
      <c r="AQ374">
        <v>1</v>
      </c>
    </row>
    <row r="375" spans="1:43" hidden="1" x14ac:dyDescent="0.3">
      <c r="A375" t="s">
        <v>31</v>
      </c>
      <c r="B375">
        <v>710</v>
      </c>
      <c r="C375">
        <v>149</v>
      </c>
      <c r="D375">
        <v>2901</v>
      </c>
      <c r="G375" t="s">
        <v>4020</v>
      </c>
      <c r="H375">
        <v>12418196000118</v>
      </c>
      <c r="I375" t="s">
        <v>3645</v>
      </c>
      <c r="J375" t="s">
        <v>1115</v>
      </c>
      <c r="K375" t="s">
        <v>3647</v>
      </c>
      <c r="M375" t="s">
        <v>3648</v>
      </c>
      <c r="T375" t="s">
        <v>319</v>
      </c>
      <c r="U375" t="s">
        <v>816</v>
      </c>
      <c r="W375">
        <v>2856</v>
      </c>
      <c r="X375">
        <v>60588</v>
      </c>
      <c r="Z375">
        <v>8</v>
      </c>
      <c r="AA375" s="31">
        <v>45987</v>
      </c>
      <c r="AB375" s="61">
        <v>0.50680555555555551</v>
      </c>
      <c r="AC375" t="s">
        <v>818</v>
      </c>
      <c r="AD375" s="31">
        <v>45995</v>
      </c>
      <c r="AE375" s="61">
        <v>0.38068287037037041</v>
      </c>
      <c r="AH375" t="s">
        <v>2392</v>
      </c>
      <c r="AI375" t="s">
        <v>2392</v>
      </c>
      <c r="AQ375">
        <v>1</v>
      </c>
    </row>
    <row r="376" spans="1:43" hidden="1" x14ac:dyDescent="0.3">
      <c r="A376" t="s">
        <v>31</v>
      </c>
      <c r="B376">
        <v>712</v>
      </c>
      <c r="D376">
        <v>2903</v>
      </c>
      <c r="G376" t="s">
        <v>4239</v>
      </c>
      <c r="H376">
        <v>6847915000113</v>
      </c>
      <c r="J376" t="s">
        <v>4240</v>
      </c>
      <c r="K376" t="s">
        <v>4241</v>
      </c>
      <c r="M376" t="s">
        <v>4242</v>
      </c>
      <c r="S376" t="s">
        <v>1419</v>
      </c>
      <c r="T376" t="s">
        <v>319</v>
      </c>
      <c r="U376" t="s">
        <v>3417</v>
      </c>
      <c r="W376">
        <v>16200</v>
      </c>
      <c r="X376">
        <v>2160</v>
      </c>
      <c r="Z376">
        <v>47</v>
      </c>
      <c r="AA376" s="31">
        <v>45987</v>
      </c>
      <c r="AB376" s="61">
        <v>0.67927083333333338</v>
      </c>
      <c r="AC376" t="s">
        <v>795</v>
      </c>
      <c r="AD376" s="31">
        <v>46034</v>
      </c>
      <c r="AE376" s="61">
        <v>0.47002314814814822</v>
      </c>
      <c r="AF376" t="s">
        <v>867</v>
      </c>
      <c r="AH376" t="s">
        <v>4243</v>
      </c>
      <c r="AI376" t="s">
        <v>4243</v>
      </c>
      <c r="AK376" t="s">
        <v>4244</v>
      </c>
      <c r="AQ376">
        <v>1</v>
      </c>
    </row>
    <row r="377" spans="1:43" hidden="1" x14ac:dyDescent="0.3">
      <c r="A377" t="s">
        <v>31</v>
      </c>
      <c r="B377">
        <v>713</v>
      </c>
      <c r="C377">
        <v>208</v>
      </c>
      <c r="D377">
        <v>2905</v>
      </c>
      <c r="G377" t="s">
        <v>3902</v>
      </c>
      <c r="H377">
        <v>42830750000130</v>
      </c>
      <c r="I377" t="s">
        <v>3903</v>
      </c>
      <c r="J377" t="s">
        <v>4091</v>
      </c>
      <c r="K377" t="s">
        <v>3905</v>
      </c>
      <c r="M377" t="s">
        <v>4594</v>
      </c>
      <c r="O377" t="s">
        <v>6494</v>
      </c>
      <c r="P377" t="s">
        <v>1094</v>
      </c>
      <c r="Q377" t="s">
        <v>790</v>
      </c>
      <c r="S377" t="s">
        <v>1704</v>
      </c>
      <c r="T377" t="s">
        <v>319</v>
      </c>
      <c r="U377" t="s">
        <v>3409</v>
      </c>
      <c r="W377">
        <v>2100</v>
      </c>
      <c r="X377">
        <v>0</v>
      </c>
      <c r="Z377">
        <v>43</v>
      </c>
      <c r="AA377" s="31">
        <v>45988</v>
      </c>
      <c r="AB377" s="61">
        <v>0.71693287037037035</v>
      </c>
      <c r="AC377" t="s">
        <v>795</v>
      </c>
      <c r="AD377" s="31">
        <v>46031</v>
      </c>
      <c r="AE377" s="61">
        <v>0.50325231481481481</v>
      </c>
      <c r="AF377" t="s">
        <v>796</v>
      </c>
      <c r="AH377" t="s">
        <v>4243</v>
      </c>
      <c r="AK377" t="s">
        <v>2326</v>
      </c>
      <c r="AQ377">
        <v>1</v>
      </c>
    </row>
    <row r="378" spans="1:43" hidden="1" x14ac:dyDescent="0.3">
      <c r="A378" t="s">
        <v>31</v>
      </c>
      <c r="B378">
        <v>715</v>
      </c>
      <c r="C378">
        <v>191</v>
      </c>
      <c r="D378">
        <v>2911</v>
      </c>
      <c r="G378" t="s">
        <v>4245</v>
      </c>
      <c r="H378">
        <v>18628799000120</v>
      </c>
      <c r="I378" t="s">
        <v>3734</v>
      </c>
      <c r="J378" t="s">
        <v>3735</v>
      </c>
      <c r="K378" t="s">
        <v>2216</v>
      </c>
      <c r="M378" t="s">
        <v>2217</v>
      </c>
      <c r="O378" t="s">
        <v>6473</v>
      </c>
      <c r="P378" t="s">
        <v>1094</v>
      </c>
      <c r="Q378" t="s">
        <v>790</v>
      </c>
      <c r="T378" t="s">
        <v>319</v>
      </c>
      <c r="U378" t="s">
        <v>3417</v>
      </c>
      <c r="W378">
        <v>62091</v>
      </c>
      <c r="X378">
        <v>0</v>
      </c>
      <c r="Z378">
        <v>5</v>
      </c>
      <c r="AA378" s="31">
        <v>45989</v>
      </c>
      <c r="AB378" s="61">
        <v>0.67053240740740738</v>
      </c>
      <c r="AC378" t="s">
        <v>795</v>
      </c>
      <c r="AD378" s="31">
        <v>45994</v>
      </c>
      <c r="AE378" s="61">
        <v>0.42509259259259258</v>
      </c>
      <c r="AF378" t="s">
        <v>796</v>
      </c>
      <c r="AQ378">
        <v>1</v>
      </c>
    </row>
    <row r="379" spans="1:43" hidden="1" x14ac:dyDescent="0.3">
      <c r="A379" t="s">
        <v>31</v>
      </c>
      <c r="B379">
        <v>716</v>
      </c>
      <c r="D379">
        <v>2912</v>
      </c>
      <c r="G379" t="s">
        <v>4246</v>
      </c>
      <c r="H379">
        <v>38160619000136</v>
      </c>
      <c r="J379" t="s">
        <v>4198</v>
      </c>
      <c r="K379" t="s">
        <v>4199</v>
      </c>
      <c r="M379" t="s">
        <v>4200</v>
      </c>
      <c r="T379" t="s">
        <v>319</v>
      </c>
      <c r="U379" t="s">
        <v>816</v>
      </c>
      <c r="W379">
        <v>714</v>
      </c>
      <c r="X379">
        <v>0</v>
      </c>
      <c r="Z379">
        <v>0</v>
      </c>
      <c r="AA379" s="31">
        <v>45989</v>
      </c>
      <c r="AB379" s="61">
        <v>0.6887268518518519</v>
      </c>
      <c r="AC379" t="s">
        <v>818</v>
      </c>
      <c r="AD379" s="31">
        <v>45989</v>
      </c>
      <c r="AE379" s="61">
        <v>0.70133101851851853</v>
      </c>
      <c r="AH379" t="s">
        <v>4247</v>
      </c>
      <c r="AQ379">
        <v>1</v>
      </c>
    </row>
    <row r="380" spans="1:43" hidden="1" x14ac:dyDescent="0.3">
      <c r="A380" t="s">
        <v>31</v>
      </c>
      <c r="B380">
        <v>720</v>
      </c>
      <c r="C380">
        <v>147</v>
      </c>
      <c r="D380">
        <v>2956</v>
      </c>
      <c r="G380" t="s">
        <v>4248</v>
      </c>
      <c r="H380">
        <v>7964558000136</v>
      </c>
      <c r="I380" t="s">
        <v>3430</v>
      </c>
      <c r="J380" t="s">
        <v>1317</v>
      </c>
      <c r="K380" t="s">
        <v>3515</v>
      </c>
      <c r="M380" t="s">
        <v>3433</v>
      </c>
      <c r="S380" t="s">
        <v>1704</v>
      </c>
      <c r="T380" t="s">
        <v>319</v>
      </c>
      <c r="U380" t="s">
        <v>816</v>
      </c>
      <c r="W380">
        <v>5040</v>
      </c>
      <c r="X380">
        <v>114048</v>
      </c>
      <c r="Z380">
        <v>169</v>
      </c>
      <c r="AA380" s="31">
        <v>45993</v>
      </c>
      <c r="AB380" s="61">
        <v>0.49560185185185179</v>
      </c>
      <c r="AC380" t="s">
        <v>782</v>
      </c>
      <c r="AD380" s="31"/>
      <c r="AE380" s="61"/>
      <c r="AH380" t="s">
        <v>5847</v>
      </c>
      <c r="AI380" t="s">
        <v>6515</v>
      </c>
      <c r="AK380" t="s">
        <v>5847</v>
      </c>
      <c r="AL380" t="s">
        <v>1970</v>
      </c>
      <c r="AQ380">
        <v>1</v>
      </c>
    </row>
    <row r="381" spans="1:43" hidden="1" x14ac:dyDescent="0.3">
      <c r="A381" t="s">
        <v>31</v>
      </c>
      <c r="B381">
        <v>721</v>
      </c>
      <c r="C381">
        <v>190</v>
      </c>
      <c r="D381">
        <v>2957</v>
      </c>
      <c r="G381" t="s">
        <v>4249</v>
      </c>
      <c r="H381">
        <v>18203215000175</v>
      </c>
      <c r="I381" t="s">
        <v>3690</v>
      </c>
      <c r="J381" t="s">
        <v>4210</v>
      </c>
      <c r="K381" t="s">
        <v>3692</v>
      </c>
      <c r="M381" t="s">
        <v>3693</v>
      </c>
      <c r="O381" t="s">
        <v>6470</v>
      </c>
      <c r="P381" t="s">
        <v>3695</v>
      </c>
      <c r="Q381" t="s">
        <v>790</v>
      </c>
      <c r="S381" t="s">
        <v>1704</v>
      </c>
      <c r="T381" t="s">
        <v>319</v>
      </c>
      <c r="U381" t="s">
        <v>816</v>
      </c>
      <c r="W381">
        <v>7000</v>
      </c>
      <c r="X381">
        <v>0</v>
      </c>
      <c r="Z381">
        <v>8</v>
      </c>
      <c r="AA381" s="31">
        <v>45994</v>
      </c>
      <c r="AB381" s="61">
        <v>0.48918981481481483</v>
      </c>
      <c r="AC381" t="s">
        <v>818</v>
      </c>
      <c r="AD381" s="31">
        <v>46002</v>
      </c>
      <c r="AE381" s="61">
        <v>0.68612268518518515</v>
      </c>
      <c r="AH381" t="s">
        <v>2465</v>
      </c>
      <c r="AI381" t="s">
        <v>2465</v>
      </c>
      <c r="AQ381">
        <v>1</v>
      </c>
    </row>
    <row r="382" spans="1:43" hidden="1" x14ac:dyDescent="0.3">
      <c r="A382" t="s">
        <v>31</v>
      </c>
      <c r="B382">
        <v>722</v>
      </c>
      <c r="C382">
        <v>195</v>
      </c>
      <c r="D382">
        <v>2964</v>
      </c>
      <c r="G382" t="s">
        <v>4250</v>
      </c>
      <c r="H382">
        <v>49682710000138</v>
      </c>
      <c r="I382" t="s">
        <v>4059</v>
      </c>
      <c r="J382" t="s">
        <v>4060</v>
      </c>
      <c r="K382" t="s">
        <v>4061</v>
      </c>
      <c r="M382" t="s">
        <v>4062</v>
      </c>
      <c r="O382" t="s">
        <v>6508</v>
      </c>
      <c r="P382" t="s">
        <v>1633</v>
      </c>
      <c r="Q382" t="s">
        <v>848</v>
      </c>
      <c r="T382" t="s">
        <v>319</v>
      </c>
      <c r="U382" t="s">
        <v>816</v>
      </c>
      <c r="W382">
        <v>7200</v>
      </c>
      <c r="X382">
        <v>0</v>
      </c>
      <c r="Z382">
        <v>0</v>
      </c>
      <c r="AA382" s="31">
        <v>45996</v>
      </c>
      <c r="AB382" s="61">
        <v>0.39057870370370368</v>
      </c>
      <c r="AC382" t="s">
        <v>818</v>
      </c>
      <c r="AD382" s="31">
        <v>45996</v>
      </c>
      <c r="AE382" s="61">
        <v>0.41447916666666668</v>
      </c>
      <c r="AH382" t="s">
        <v>2459</v>
      </c>
      <c r="AQ382">
        <v>1</v>
      </c>
    </row>
    <row r="383" spans="1:43" hidden="1" x14ac:dyDescent="0.3">
      <c r="A383" t="s">
        <v>31</v>
      </c>
      <c r="B383">
        <v>723</v>
      </c>
      <c r="C383">
        <v>197</v>
      </c>
      <c r="D383">
        <v>2965</v>
      </c>
      <c r="G383" t="s">
        <v>4251</v>
      </c>
      <c r="H383">
        <v>8616236000169</v>
      </c>
      <c r="I383" t="s">
        <v>3726</v>
      </c>
      <c r="J383" t="s">
        <v>704</v>
      </c>
      <c r="K383" t="s">
        <v>3727</v>
      </c>
      <c r="M383" t="s">
        <v>3728</v>
      </c>
      <c r="O383" t="s">
        <v>6472</v>
      </c>
      <c r="P383" t="s">
        <v>3687</v>
      </c>
      <c r="Q383" t="s">
        <v>790</v>
      </c>
      <c r="S383" t="s">
        <v>1581</v>
      </c>
      <c r="T383" t="s">
        <v>319</v>
      </c>
      <c r="U383" t="s">
        <v>816</v>
      </c>
      <c r="W383">
        <v>2856</v>
      </c>
      <c r="X383">
        <v>60588</v>
      </c>
      <c r="Z383">
        <v>38</v>
      </c>
      <c r="AA383" s="31">
        <v>45996</v>
      </c>
      <c r="AB383" s="61">
        <v>0.70861111111111108</v>
      </c>
      <c r="AC383" t="s">
        <v>795</v>
      </c>
      <c r="AD383" s="31">
        <v>46034</v>
      </c>
      <c r="AE383" s="61">
        <v>0.46759259259259262</v>
      </c>
      <c r="AF383" t="s">
        <v>934</v>
      </c>
      <c r="AH383" t="s">
        <v>2459</v>
      </c>
      <c r="AI383" t="s">
        <v>2459</v>
      </c>
      <c r="AK383" t="s">
        <v>2519</v>
      </c>
      <c r="AQ383">
        <v>1</v>
      </c>
    </row>
    <row r="384" spans="1:43" hidden="1" x14ac:dyDescent="0.3">
      <c r="A384" t="s">
        <v>31</v>
      </c>
      <c r="B384">
        <v>724</v>
      </c>
      <c r="C384">
        <v>180</v>
      </c>
      <c r="D384">
        <v>2968</v>
      </c>
      <c r="G384" t="s">
        <v>4252</v>
      </c>
      <c r="H384">
        <v>7287290000226</v>
      </c>
      <c r="I384" t="s">
        <v>3561</v>
      </c>
      <c r="J384" t="s">
        <v>3922</v>
      </c>
      <c r="K384" t="s">
        <v>3563</v>
      </c>
      <c r="M384" t="s">
        <v>3564</v>
      </c>
      <c r="O384" t="s">
        <v>6455</v>
      </c>
      <c r="P384" t="s">
        <v>3566</v>
      </c>
      <c r="Q384" t="s">
        <v>790</v>
      </c>
      <c r="S384" t="s">
        <v>1419</v>
      </c>
      <c r="T384" t="s">
        <v>319</v>
      </c>
      <c r="U384" t="s">
        <v>3417</v>
      </c>
      <c r="W384">
        <v>669483</v>
      </c>
      <c r="X384">
        <v>0</v>
      </c>
      <c r="Z384">
        <v>28</v>
      </c>
      <c r="AA384" s="31">
        <v>45999</v>
      </c>
      <c r="AB384" s="61">
        <v>0.47325231481481478</v>
      </c>
      <c r="AC384" t="s">
        <v>795</v>
      </c>
      <c r="AD384" s="31">
        <v>46027</v>
      </c>
      <c r="AE384" s="61">
        <v>0.60864583333333333</v>
      </c>
      <c r="AF384" t="s">
        <v>934</v>
      </c>
      <c r="AH384" t="s">
        <v>4253</v>
      </c>
      <c r="AK384" t="s">
        <v>2520</v>
      </c>
      <c r="AQ384">
        <v>1</v>
      </c>
    </row>
    <row r="385" spans="1:43" hidden="1" x14ac:dyDescent="0.3">
      <c r="A385" t="s">
        <v>31</v>
      </c>
      <c r="B385">
        <v>738</v>
      </c>
      <c r="C385">
        <v>133</v>
      </c>
      <c r="D385">
        <v>2990</v>
      </c>
      <c r="G385" t="s">
        <v>4254</v>
      </c>
      <c r="H385">
        <v>9517464000144</v>
      </c>
      <c r="I385" t="s">
        <v>625</v>
      </c>
      <c r="J385" t="s">
        <v>4255</v>
      </c>
      <c r="K385" t="s">
        <v>3584</v>
      </c>
      <c r="M385" t="s">
        <v>2207</v>
      </c>
      <c r="S385" t="s">
        <v>1704</v>
      </c>
      <c r="T385" t="s">
        <v>319</v>
      </c>
      <c r="U385" t="s">
        <v>816</v>
      </c>
      <c r="W385">
        <v>3570</v>
      </c>
      <c r="X385">
        <v>0</v>
      </c>
      <c r="Z385">
        <v>1</v>
      </c>
      <c r="AA385" s="31">
        <v>46002</v>
      </c>
      <c r="AB385" s="61">
        <v>0.69379629629629624</v>
      </c>
      <c r="AC385" t="s">
        <v>818</v>
      </c>
      <c r="AD385" s="31">
        <v>46003</v>
      </c>
      <c r="AE385" s="61">
        <v>0.74067129629629624</v>
      </c>
      <c r="AH385" t="s">
        <v>4256</v>
      </c>
      <c r="AI385" t="s">
        <v>4256</v>
      </c>
      <c r="AK385" t="s">
        <v>2326</v>
      </c>
      <c r="AQ385">
        <v>1</v>
      </c>
    </row>
    <row r="386" spans="1:43" hidden="1" x14ac:dyDescent="0.3">
      <c r="A386" t="s">
        <v>31</v>
      </c>
      <c r="B386">
        <v>743</v>
      </c>
      <c r="D386">
        <v>2998</v>
      </c>
      <c r="G386" t="s">
        <v>4191</v>
      </c>
      <c r="H386">
        <v>49119936000125</v>
      </c>
      <c r="J386" t="s">
        <v>1288</v>
      </c>
      <c r="K386" t="s">
        <v>4193</v>
      </c>
      <c r="M386" t="s">
        <v>4096</v>
      </c>
      <c r="S386" t="s">
        <v>1718</v>
      </c>
      <c r="T386" t="s">
        <v>319</v>
      </c>
      <c r="U386" t="s">
        <v>3417</v>
      </c>
      <c r="W386">
        <v>0</v>
      </c>
      <c r="X386">
        <v>26136</v>
      </c>
      <c r="Z386">
        <v>33</v>
      </c>
      <c r="AA386" s="31">
        <v>46008</v>
      </c>
      <c r="AB386" s="61">
        <v>0.69160879629629635</v>
      </c>
      <c r="AC386" t="s">
        <v>795</v>
      </c>
      <c r="AD386" s="31">
        <v>46041</v>
      </c>
      <c r="AE386" s="61">
        <v>0.43174768518518519</v>
      </c>
      <c r="AF386" t="s">
        <v>934</v>
      </c>
      <c r="AH386" t="s">
        <v>4257</v>
      </c>
      <c r="AI386" t="s">
        <v>4257</v>
      </c>
      <c r="AK386" t="s">
        <v>4257</v>
      </c>
      <c r="AQ386">
        <v>1</v>
      </c>
    </row>
    <row r="387" spans="1:43" hidden="1" x14ac:dyDescent="0.3">
      <c r="A387" t="s">
        <v>31</v>
      </c>
      <c r="B387">
        <v>744</v>
      </c>
      <c r="C387">
        <v>134</v>
      </c>
      <c r="D387">
        <v>2999</v>
      </c>
      <c r="G387" t="s">
        <v>3863</v>
      </c>
      <c r="I387" t="s">
        <v>3377</v>
      </c>
      <c r="J387" t="s">
        <v>3985</v>
      </c>
      <c r="K387" t="s">
        <v>3830</v>
      </c>
      <c r="M387" t="s">
        <v>3379</v>
      </c>
      <c r="T387" t="s">
        <v>319</v>
      </c>
      <c r="U387" t="s">
        <v>816</v>
      </c>
      <c r="W387">
        <v>9867</v>
      </c>
      <c r="X387">
        <v>8000</v>
      </c>
      <c r="Z387">
        <v>21</v>
      </c>
      <c r="AA387" s="31">
        <v>46008</v>
      </c>
      <c r="AB387" s="61">
        <v>0.702662037037037</v>
      </c>
      <c r="AC387" t="s">
        <v>818</v>
      </c>
      <c r="AD387" s="31">
        <v>46029</v>
      </c>
      <c r="AE387" s="61">
        <v>0.45002314814814809</v>
      </c>
      <c r="AH387" t="s">
        <v>4257</v>
      </c>
      <c r="AI387" t="s">
        <v>4258</v>
      </c>
      <c r="AK387" t="s">
        <v>4259</v>
      </c>
      <c r="AQ387">
        <v>1</v>
      </c>
    </row>
    <row r="388" spans="1:43" hidden="1" x14ac:dyDescent="0.3">
      <c r="A388" t="s">
        <v>31</v>
      </c>
      <c r="B388">
        <v>745</v>
      </c>
      <c r="C388">
        <v>122</v>
      </c>
      <c r="D388">
        <v>137</v>
      </c>
      <c r="G388" t="s">
        <v>4260</v>
      </c>
      <c r="I388" t="s">
        <v>680</v>
      </c>
      <c r="J388" t="s">
        <v>680</v>
      </c>
      <c r="K388" t="s">
        <v>3350</v>
      </c>
      <c r="M388" t="s">
        <v>3351</v>
      </c>
      <c r="S388" t="s">
        <v>1718</v>
      </c>
      <c r="T388" t="s">
        <v>319</v>
      </c>
      <c r="U388" t="s">
        <v>3417</v>
      </c>
      <c r="W388">
        <v>3360</v>
      </c>
      <c r="X388">
        <v>0</v>
      </c>
      <c r="Z388">
        <v>31</v>
      </c>
      <c r="AA388" s="31">
        <v>46010</v>
      </c>
      <c r="AB388" s="61">
        <v>0.45038194444444452</v>
      </c>
      <c r="AC388" t="s">
        <v>795</v>
      </c>
      <c r="AD388" s="31">
        <v>46041</v>
      </c>
      <c r="AE388" s="61">
        <v>0.37591435185185179</v>
      </c>
      <c r="AF388" t="s">
        <v>796</v>
      </c>
      <c r="AH388" t="s">
        <v>4261</v>
      </c>
      <c r="AI388" t="s">
        <v>4262</v>
      </c>
      <c r="AK388" t="s">
        <v>4261</v>
      </c>
      <c r="AQ388">
        <v>1</v>
      </c>
    </row>
    <row r="389" spans="1:43" hidden="1" x14ac:dyDescent="0.3">
      <c r="A389" t="s">
        <v>31</v>
      </c>
      <c r="B389">
        <v>751</v>
      </c>
      <c r="D389">
        <v>3019</v>
      </c>
      <c r="G389" t="s">
        <v>4263</v>
      </c>
      <c r="H389">
        <v>38160619000136</v>
      </c>
      <c r="J389" t="s">
        <v>4198</v>
      </c>
      <c r="K389" t="s">
        <v>4199</v>
      </c>
      <c r="M389" t="s">
        <v>4200</v>
      </c>
      <c r="S389" t="s">
        <v>1718</v>
      </c>
      <c r="T389" t="s">
        <v>319</v>
      </c>
      <c r="U389" t="s">
        <v>3417</v>
      </c>
      <c r="W389">
        <v>13100</v>
      </c>
      <c r="X389">
        <v>1700</v>
      </c>
      <c r="Z389">
        <v>62</v>
      </c>
      <c r="AA389" s="31">
        <v>46028</v>
      </c>
      <c r="AB389" s="61">
        <v>0.47716435185185191</v>
      </c>
      <c r="AC389" t="s">
        <v>795</v>
      </c>
      <c r="AD389" s="31">
        <v>46090</v>
      </c>
      <c r="AE389" s="61">
        <v>0.73898148148148146</v>
      </c>
      <c r="AF389" t="s">
        <v>796</v>
      </c>
      <c r="AH389" t="s">
        <v>4264</v>
      </c>
      <c r="AK389" t="s">
        <v>4264</v>
      </c>
      <c r="AL389" t="s">
        <v>2119</v>
      </c>
      <c r="AQ389">
        <v>1</v>
      </c>
    </row>
    <row r="390" spans="1:43" hidden="1" x14ac:dyDescent="0.3">
      <c r="A390" t="s">
        <v>31</v>
      </c>
      <c r="B390">
        <v>752</v>
      </c>
      <c r="C390">
        <v>0</v>
      </c>
      <c r="D390">
        <v>3020</v>
      </c>
      <c r="G390" t="s">
        <v>4265</v>
      </c>
      <c r="H390">
        <v>38160619000136</v>
      </c>
      <c r="J390" t="s">
        <v>4198</v>
      </c>
      <c r="K390" t="s">
        <v>4199</v>
      </c>
      <c r="M390" t="s">
        <v>4200</v>
      </c>
      <c r="S390" t="s">
        <v>1718</v>
      </c>
      <c r="T390" t="s">
        <v>319</v>
      </c>
      <c r="U390" t="s">
        <v>781</v>
      </c>
      <c r="Z390">
        <v>37</v>
      </c>
      <c r="AA390" s="31">
        <v>46028</v>
      </c>
      <c r="AB390" s="61">
        <v>0.49056712962962962</v>
      </c>
      <c r="AC390" t="s">
        <v>795</v>
      </c>
      <c r="AD390" s="31">
        <v>46065</v>
      </c>
      <c r="AE390" s="61">
        <v>0.7333912037037037</v>
      </c>
      <c r="AF390" t="s">
        <v>796</v>
      </c>
      <c r="AK390" t="s">
        <v>4264</v>
      </c>
      <c r="AL390" t="s">
        <v>2119</v>
      </c>
      <c r="AQ390">
        <v>1</v>
      </c>
    </row>
    <row r="391" spans="1:43" hidden="1" x14ac:dyDescent="0.3">
      <c r="A391" t="s">
        <v>31</v>
      </c>
      <c r="B391">
        <v>753</v>
      </c>
      <c r="C391">
        <v>152</v>
      </c>
      <c r="D391">
        <v>3021</v>
      </c>
      <c r="E391" t="s">
        <v>4598</v>
      </c>
      <c r="G391" t="s">
        <v>3661</v>
      </c>
      <c r="I391" t="s">
        <v>3445</v>
      </c>
      <c r="J391" t="s">
        <v>4273</v>
      </c>
      <c r="K391" t="s">
        <v>3621</v>
      </c>
      <c r="M391" t="s">
        <v>3448</v>
      </c>
      <c r="S391" t="s">
        <v>1718</v>
      </c>
      <c r="T391" t="s">
        <v>319</v>
      </c>
      <c r="U391" t="s">
        <v>3417</v>
      </c>
      <c r="W391">
        <v>12351</v>
      </c>
      <c r="X391">
        <v>0</v>
      </c>
      <c r="Z391">
        <v>30</v>
      </c>
      <c r="AA391" s="31">
        <v>46028</v>
      </c>
      <c r="AB391" s="61">
        <v>0.50945601851851852</v>
      </c>
      <c r="AC391" t="s">
        <v>795</v>
      </c>
      <c r="AD391" s="31">
        <v>46058</v>
      </c>
      <c r="AE391" s="61">
        <v>0.60276620370370371</v>
      </c>
      <c r="AF391" t="s">
        <v>867</v>
      </c>
      <c r="AH391" t="s">
        <v>4264</v>
      </c>
      <c r="AK391" t="s">
        <v>2990</v>
      </c>
      <c r="AQ391">
        <v>1</v>
      </c>
    </row>
    <row r="392" spans="1:43" hidden="1" x14ac:dyDescent="0.3">
      <c r="A392" t="s">
        <v>31</v>
      </c>
      <c r="B392">
        <v>755</v>
      </c>
      <c r="C392">
        <v>194</v>
      </c>
      <c r="D392">
        <v>3043</v>
      </c>
      <c r="G392" t="s">
        <v>4277</v>
      </c>
      <c r="H392">
        <v>44580314000186</v>
      </c>
      <c r="I392" t="s">
        <v>3682</v>
      </c>
      <c r="J392" t="s">
        <v>704</v>
      </c>
      <c r="K392" t="s">
        <v>3684</v>
      </c>
      <c r="M392" t="s">
        <v>3685</v>
      </c>
      <c r="O392" t="s">
        <v>6469</v>
      </c>
      <c r="P392" t="s">
        <v>3687</v>
      </c>
      <c r="Q392" t="s">
        <v>790</v>
      </c>
      <c r="S392" t="s">
        <v>1704</v>
      </c>
      <c r="T392" t="s">
        <v>319</v>
      </c>
      <c r="U392" t="s">
        <v>816</v>
      </c>
      <c r="W392">
        <v>8100</v>
      </c>
      <c r="X392">
        <v>1080</v>
      </c>
      <c r="Z392">
        <v>37</v>
      </c>
      <c r="AA392" s="31">
        <v>46029</v>
      </c>
      <c r="AB392" s="61">
        <v>0.7151967592592593</v>
      </c>
      <c r="AC392" t="s">
        <v>818</v>
      </c>
      <c r="AD392" s="31">
        <v>46066</v>
      </c>
      <c r="AE392" s="61">
        <v>0.39057870370370368</v>
      </c>
      <c r="AH392" t="s">
        <v>4278</v>
      </c>
      <c r="AI392" t="s">
        <v>4278</v>
      </c>
      <c r="AK392" t="s">
        <v>4278</v>
      </c>
      <c r="AL392" t="s">
        <v>1970</v>
      </c>
      <c r="AQ392">
        <v>1</v>
      </c>
    </row>
    <row r="393" spans="1:43" hidden="1" x14ac:dyDescent="0.3">
      <c r="A393" t="s">
        <v>31</v>
      </c>
      <c r="B393">
        <v>756</v>
      </c>
      <c r="C393">
        <v>194</v>
      </c>
      <c r="D393">
        <v>3044</v>
      </c>
      <c r="G393" t="s">
        <v>233</v>
      </c>
      <c r="H393">
        <v>44580314000186</v>
      </c>
      <c r="I393" t="s">
        <v>3682</v>
      </c>
      <c r="J393" t="s">
        <v>704</v>
      </c>
      <c r="K393" t="s">
        <v>3684</v>
      </c>
      <c r="M393" t="s">
        <v>3685</v>
      </c>
      <c r="O393" t="s">
        <v>6469</v>
      </c>
      <c r="P393" t="s">
        <v>3687</v>
      </c>
      <c r="Q393" t="s">
        <v>790</v>
      </c>
      <c r="S393" t="s">
        <v>1718</v>
      </c>
      <c r="T393" t="s">
        <v>319</v>
      </c>
      <c r="U393" t="s">
        <v>816</v>
      </c>
      <c r="W393">
        <v>29400</v>
      </c>
      <c r="X393">
        <v>0</v>
      </c>
      <c r="Z393">
        <v>98</v>
      </c>
      <c r="AA393" s="31">
        <v>46029</v>
      </c>
      <c r="AB393" s="61">
        <v>0.72042824074074074</v>
      </c>
      <c r="AC393" t="s">
        <v>795</v>
      </c>
      <c r="AD393" s="31">
        <v>46127</v>
      </c>
      <c r="AE393" s="61">
        <v>0.6214467592592593</v>
      </c>
      <c r="AF393" t="s">
        <v>796</v>
      </c>
      <c r="AH393" t="s">
        <v>4279</v>
      </c>
      <c r="AK393" t="s">
        <v>2591</v>
      </c>
      <c r="AL393" t="s">
        <v>2119</v>
      </c>
      <c r="AQ393">
        <v>1</v>
      </c>
    </row>
    <row r="394" spans="1:43" hidden="1" x14ac:dyDescent="0.3">
      <c r="A394" t="s">
        <v>31</v>
      </c>
      <c r="B394">
        <v>791</v>
      </c>
      <c r="C394">
        <v>182</v>
      </c>
      <c r="D394">
        <v>3085</v>
      </c>
      <c r="E394" t="s">
        <v>4599</v>
      </c>
      <c r="G394" t="s">
        <v>4600</v>
      </c>
      <c r="H394">
        <v>23873456000161</v>
      </c>
      <c r="I394" t="s">
        <v>3573</v>
      </c>
      <c r="J394" t="s">
        <v>928</v>
      </c>
      <c r="K394" t="s">
        <v>3575</v>
      </c>
      <c r="M394" t="s">
        <v>3576</v>
      </c>
      <c r="O394" t="s">
        <v>6457</v>
      </c>
      <c r="P394" t="s">
        <v>1837</v>
      </c>
      <c r="Q394" t="s">
        <v>790</v>
      </c>
      <c r="T394" t="s">
        <v>319</v>
      </c>
      <c r="U394" t="s">
        <v>3417</v>
      </c>
      <c r="W394">
        <v>16200</v>
      </c>
      <c r="X394">
        <v>7128</v>
      </c>
      <c r="Z394">
        <v>8</v>
      </c>
      <c r="AA394" s="31">
        <v>46035</v>
      </c>
      <c r="AB394" s="61">
        <v>0.70474537037037033</v>
      </c>
      <c r="AC394" t="s">
        <v>795</v>
      </c>
      <c r="AD394" s="31">
        <v>46043</v>
      </c>
      <c r="AE394" s="61">
        <v>0.3976736111111111</v>
      </c>
      <c r="AF394" t="s">
        <v>867</v>
      </c>
      <c r="AH394" t="s">
        <v>2770</v>
      </c>
      <c r="AI394" t="s">
        <v>2770</v>
      </c>
      <c r="AK394" t="s">
        <v>2770</v>
      </c>
      <c r="AQ394">
        <v>1</v>
      </c>
    </row>
    <row r="395" spans="1:43" hidden="1" x14ac:dyDescent="0.3">
      <c r="A395" t="s">
        <v>31</v>
      </c>
      <c r="B395">
        <v>797</v>
      </c>
      <c r="C395">
        <v>103</v>
      </c>
      <c r="D395">
        <v>3089</v>
      </c>
      <c r="E395" t="s">
        <v>4601</v>
      </c>
      <c r="G395" t="s">
        <v>4602</v>
      </c>
      <c r="H395">
        <v>12549273000179</v>
      </c>
      <c r="I395" t="s">
        <v>3309</v>
      </c>
      <c r="J395" t="s">
        <v>4297</v>
      </c>
      <c r="M395" t="s">
        <v>3312</v>
      </c>
      <c r="O395" t="s">
        <v>6441</v>
      </c>
      <c r="P395" t="s">
        <v>1596</v>
      </c>
      <c r="Q395" t="s">
        <v>790</v>
      </c>
      <c r="S395" t="s">
        <v>1718</v>
      </c>
      <c r="T395" t="s">
        <v>319</v>
      </c>
      <c r="U395" t="s">
        <v>816</v>
      </c>
      <c r="W395">
        <v>3000</v>
      </c>
      <c r="X395">
        <v>0</v>
      </c>
      <c r="Z395">
        <v>29</v>
      </c>
      <c r="AA395" s="31">
        <v>46036</v>
      </c>
      <c r="AB395" s="61">
        <v>0.4802777777777778</v>
      </c>
      <c r="AC395" t="s">
        <v>818</v>
      </c>
      <c r="AD395" s="31">
        <v>46065</v>
      </c>
      <c r="AE395" s="61">
        <v>0.67753472222222222</v>
      </c>
      <c r="AH395" t="s">
        <v>2808</v>
      </c>
      <c r="AI395" t="s">
        <v>2770</v>
      </c>
      <c r="AK395" t="s">
        <v>4603</v>
      </c>
      <c r="AL395" t="s">
        <v>2119</v>
      </c>
      <c r="AQ395">
        <v>1</v>
      </c>
    </row>
    <row r="396" spans="1:43" hidden="1" x14ac:dyDescent="0.3">
      <c r="A396" t="s">
        <v>31</v>
      </c>
      <c r="B396">
        <v>798</v>
      </c>
      <c r="C396">
        <v>149</v>
      </c>
      <c r="D396">
        <v>3090</v>
      </c>
      <c r="E396" t="s">
        <v>4300</v>
      </c>
      <c r="G396" t="s">
        <v>4301</v>
      </c>
      <c r="H396">
        <v>12418196000118</v>
      </c>
      <c r="I396" t="s">
        <v>3645</v>
      </c>
      <c r="J396" t="s">
        <v>3878</v>
      </c>
      <c r="K396" t="s">
        <v>3647</v>
      </c>
      <c r="M396" t="s">
        <v>3648</v>
      </c>
      <c r="T396" t="s">
        <v>319</v>
      </c>
      <c r="U396" t="s">
        <v>3606</v>
      </c>
      <c r="Z396">
        <v>0</v>
      </c>
      <c r="AA396" s="31">
        <v>46036</v>
      </c>
      <c r="AB396" s="61">
        <v>0.52998842592592588</v>
      </c>
      <c r="AC396" t="s">
        <v>795</v>
      </c>
      <c r="AD396" s="31">
        <v>46036</v>
      </c>
      <c r="AE396" s="61">
        <v>0.53285879629629629</v>
      </c>
      <c r="AF396" t="s">
        <v>1358</v>
      </c>
      <c r="AI396" t="s">
        <v>2770</v>
      </c>
      <c r="AK396" t="s">
        <v>2808</v>
      </c>
      <c r="AQ396">
        <v>1</v>
      </c>
    </row>
    <row r="397" spans="1:43" hidden="1" x14ac:dyDescent="0.3">
      <c r="A397" t="s">
        <v>31</v>
      </c>
      <c r="B397">
        <v>801</v>
      </c>
      <c r="C397">
        <v>211</v>
      </c>
      <c r="D397">
        <v>3097</v>
      </c>
      <c r="E397" t="s">
        <v>4302</v>
      </c>
      <c r="G397" t="s">
        <v>4303</v>
      </c>
      <c r="H397">
        <v>5691820000190</v>
      </c>
      <c r="I397" t="s">
        <v>3912</v>
      </c>
      <c r="J397" t="s">
        <v>3431</v>
      </c>
      <c r="K397" t="s">
        <v>3913</v>
      </c>
      <c r="M397" t="s">
        <v>3914</v>
      </c>
      <c r="O397" t="s">
        <v>6495</v>
      </c>
      <c r="P397" t="s">
        <v>1026</v>
      </c>
      <c r="Q397" t="s">
        <v>1027</v>
      </c>
      <c r="T397" t="s">
        <v>319</v>
      </c>
      <c r="U397" t="s">
        <v>816</v>
      </c>
      <c r="W397">
        <v>2310</v>
      </c>
      <c r="X397">
        <v>0</v>
      </c>
      <c r="Z397">
        <v>4</v>
      </c>
      <c r="AA397" s="31">
        <v>46038</v>
      </c>
      <c r="AB397" s="61">
        <v>0.64081018518518518</v>
      </c>
      <c r="AC397" t="s">
        <v>818</v>
      </c>
      <c r="AD397" s="31">
        <v>46042</v>
      </c>
      <c r="AE397" s="61">
        <v>0.42754629629629631</v>
      </c>
      <c r="AH397" t="s">
        <v>4304</v>
      </c>
      <c r="AK397" t="s">
        <v>2829</v>
      </c>
      <c r="AQ397">
        <v>1</v>
      </c>
    </row>
    <row r="398" spans="1:43" hidden="1" x14ac:dyDescent="0.3">
      <c r="A398" t="s">
        <v>31</v>
      </c>
      <c r="B398">
        <v>802</v>
      </c>
      <c r="C398">
        <v>208</v>
      </c>
      <c r="D398">
        <v>3098</v>
      </c>
      <c r="G398" t="s">
        <v>4305</v>
      </c>
      <c r="H398">
        <v>42830750000130</v>
      </c>
      <c r="I398" t="s">
        <v>3903</v>
      </c>
      <c r="J398" t="s">
        <v>1804</v>
      </c>
      <c r="K398" t="s">
        <v>3905</v>
      </c>
      <c r="M398" t="s">
        <v>4594</v>
      </c>
      <c r="O398" t="s">
        <v>6494</v>
      </c>
      <c r="P398" t="s">
        <v>1094</v>
      </c>
      <c r="Q398" t="s">
        <v>790</v>
      </c>
      <c r="T398" t="s">
        <v>319</v>
      </c>
      <c r="U398" t="s">
        <v>816</v>
      </c>
      <c r="W398">
        <v>2100</v>
      </c>
      <c r="X398">
        <v>0</v>
      </c>
      <c r="Z398">
        <v>0</v>
      </c>
      <c r="AA398" s="31">
        <v>46038</v>
      </c>
      <c r="AB398" s="61">
        <v>0.64391203703703703</v>
      </c>
      <c r="AC398" t="s">
        <v>818</v>
      </c>
      <c r="AD398" s="31">
        <v>46038</v>
      </c>
      <c r="AE398" s="61">
        <v>0.67453703703703705</v>
      </c>
      <c r="AH398" t="s">
        <v>4304</v>
      </c>
      <c r="AK398" t="s">
        <v>4304</v>
      </c>
      <c r="AQ398">
        <v>1</v>
      </c>
    </row>
    <row r="399" spans="1:43" hidden="1" x14ac:dyDescent="0.3">
      <c r="A399" t="s">
        <v>31</v>
      </c>
      <c r="B399">
        <v>806</v>
      </c>
      <c r="C399">
        <v>185</v>
      </c>
      <c r="D399">
        <v>3100</v>
      </c>
      <c r="G399" t="s">
        <v>4306</v>
      </c>
      <c r="H399">
        <v>51496785000176</v>
      </c>
      <c r="I399" t="s">
        <v>3599</v>
      </c>
      <c r="J399" t="s">
        <v>3600</v>
      </c>
      <c r="K399" t="s">
        <v>3601</v>
      </c>
      <c r="M399" t="s">
        <v>3602</v>
      </c>
      <c r="O399" t="s">
        <v>6460</v>
      </c>
      <c r="P399" t="s">
        <v>847</v>
      </c>
      <c r="Q399" t="s">
        <v>848</v>
      </c>
      <c r="S399" t="s">
        <v>1718</v>
      </c>
      <c r="T399" t="s">
        <v>319</v>
      </c>
      <c r="U399" t="s">
        <v>3417</v>
      </c>
      <c r="W399">
        <v>3360</v>
      </c>
      <c r="X399">
        <v>7128</v>
      </c>
      <c r="Z399">
        <v>54</v>
      </c>
      <c r="AA399" s="31">
        <v>46038</v>
      </c>
      <c r="AB399" s="61">
        <v>0.69921296296296298</v>
      </c>
      <c r="AC399" t="s">
        <v>795</v>
      </c>
      <c r="AD399" s="31">
        <v>46092</v>
      </c>
      <c r="AE399" s="61">
        <v>0.48524305555555558</v>
      </c>
      <c r="AF399" t="s">
        <v>867</v>
      </c>
      <c r="AH399" t="s">
        <v>4304</v>
      </c>
      <c r="AI399" t="s">
        <v>4304</v>
      </c>
      <c r="AK399" t="s">
        <v>380</v>
      </c>
      <c r="AL399" t="s">
        <v>2119</v>
      </c>
      <c r="AQ399">
        <v>1</v>
      </c>
    </row>
    <row r="400" spans="1:43" hidden="1" x14ac:dyDescent="0.3">
      <c r="A400" t="s">
        <v>31</v>
      </c>
      <c r="B400">
        <v>807</v>
      </c>
      <c r="C400">
        <v>0</v>
      </c>
      <c r="D400">
        <v>3104</v>
      </c>
      <c r="E400" t="s">
        <v>6516</v>
      </c>
      <c r="G400" t="s">
        <v>4605</v>
      </c>
      <c r="H400">
        <v>82128935000201</v>
      </c>
      <c r="J400" t="s">
        <v>4314</v>
      </c>
      <c r="K400" t="s">
        <v>4315</v>
      </c>
      <c r="M400" t="s">
        <v>4316</v>
      </c>
      <c r="R400" t="s">
        <v>2919</v>
      </c>
      <c r="T400" t="s">
        <v>4317</v>
      </c>
      <c r="U400" t="s">
        <v>4318</v>
      </c>
      <c r="Z400">
        <v>121</v>
      </c>
      <c r="AA400" s="31">
        <v>46041</v>
      </c>
      <c r="AB400" s="61">
        <v>0.36096064814814821</v>
      </c>
      <c r="AC400" t="s">
        <v>782</v>
      </c>
      <c r="AD400" s="31"/>
      <c r="AE400" s="61"/>
      <c r="AK400" t="s">
        <v>2829</v>
      </c>
      <c r="AQ400">
        <v>1</v>
      </c>
    </row>
    <row r="401" spans="1:43" hidden="1" x14ac:dyDescent="0.3">
      <c r="A401" t="s">
        <v>31</v>
      </c>
      <c r="B401">
        <v>808</v>
      </c>
      <c r="C401">
        <v>0</v>
      </c>
      <c r="D401">
        <v>3105</v>
      </c>
      <c r="E401" t="s">
        <v>4606</v>
      </c>
      <c r="G401" t="s">
        <v>4607</v>
      </c>
      <c r="H401">
        <v>11247450000108</v>
      </c>
      <c r="J401" t="s">
        <v>1474</v>
      </c>
      <c r="K401" t="s">
        <v>4321</v>
      </c>
      <c r="M401" t="s">
        <v>4322</v>
      </c>
      <c r="T401" t="s">
        <v>4317</v>
      </c>
      <c r="U401" t="s">
        <v>4318</v>
      </c>
      <c r="Z401">
        <v>121</v>
      </c>
      <c r="AA401" s="31">
        <v>46041</v>
      </c>
      <c r="AB401" s="61">
        <v>0.36554398148148148</v>
      </c>
      <c r="AC401" t="s">
        <v>782</v>
      </c>
      <c r="AD401" s="31"/>
      <c r="AE401" s="61"/>
      <c r="AK401" t="s">
        <v>2891</v>
      </c>
      <c r="AQ401">
        <v>1</v>
      </c>
    </row>
    <row r="402" spans="1:43" hidden="1" x14ac:dyDescent="0.3">
      <c r="A402" t="s">
        <v>31</v>
      </c>
      <c r="B402">
        <v>809</v>
      </c>
      <c r="C402">
        <v>0</v>
      </c>
      <c r="D402">
        <v>3106</v>
      </c>
      <c r="E402" t="s">
        <v>4608</v>
      </c>
      <c r="G402" t="s">
        <v>4609</v>
      </c>
      <c r="H402">
        <v>32258848000101</v>
      </c>
      <c r="J402" t="s">
        <v>1540</v>
      </c>
      <c r="K402" t="s">
        <v>3493</v>
      </c>
      <c r="M402" t="s">
        <v>3437</v>
      </c>
      <c r="T402" t="s">
        <v>4317</v>
      </c>
      <c r="U402" t="s">
        <v>4318</v>
      </c>
      <c r="Z402">
        <v>121</v>
      </c>
      <c r="AA402" s="31">
        <v>46041</v>
      </c>
      <c r="AB402" s="61">
        <v>0.36634259259259261</v>
      </c>
      <c r="AC402" t="s">
        <v>782</v>
      </c>
      <c r="AD402" s="31"/>
      <c r="AE402" s="61"/>
      <c r="AK402" t="s">
        <v>2890</v>
      </c>
      <c r="AQ402">
        <v>1</v>
      </c>
    </row>
    <row r="403" spans="1:43" hidden="1" x14ac:dyDescent="0.3">
      <c r="A403" t="s">
        <v>44</v>
      </c>
      <c r="B403">
        <v>810</v>
      </c>
      <c r="C403">
        <v>0</v>
      </c>
      <c r="D403">
        <v>3107</v>
      </c>
      <c r="G403" t="s">
        <v>4325</v>
      </c>
      <c r="H403">
        <v>4150555000170</v>
      </c>
      <c r="J403" t="s">
        <v>4326</v>
      </c>
      <c r="K403" t="s">
        <v>4327</v>
      </c>
      <c r="M403" t="s">
        <v>4328</v>
      </c>
      <c r="T403" t="s">
        <v>4317</v>
      </c>
      <c r="U403" t="s">
        <v>4329</v>
      </c>
      <c r="Z403">
        <v>121</v>
      </c>
      <c r="AA403" s="31">
        <v>46041</v>
      </c>
      <c r="AB403" s="61">
        <v>0.36829861111111112</v>
      </c>
      <c r="AC403" t="s">
        <v>782</v>
      </c>
      <c r="AD403" s="31"/>
      <c r="AE403" s="61"/>
      <c r="AK403" t="s">
        <v>4330</v>
      </c>
      <c r="AQ403">
        <v>1</v>
      </c>
    </row>
    <row r="404" spans="1:43" hidden="1" x14ac:dyDescent="0.3">
      <c r="A404" t="s">
        <v>44</v>
      </c>
      <c r="B404">
        <v>811</v>
      </c>
      <c r="C404">
        <v>0</v>
      </c>
      <c r="D404">
        <v>3108</v>
      </c>
      <c r="G404" t="s">
        <v>4331</v>
      </c>
      <c r="H404">
        <v>16710794000117</v>
      </c>
      <c r="J404" t="s">
        <v>1540</v>
      </c>
      <c r="K404" t="s">
        <v>4332</v>
      </c>
      <c r="M404" t="s">
        <v>4333</v>
      </c>
      <c r="T404" t="s">
        <v>4317</v>
      </c>
      <c r="U404" t="s">
        <v>4329</v>
      </c>
      <c r="Z404">
        <v>121</v>
      </c>
      <c r="AA404" s="31">
        <v>46041</v>
      </c>
      <c r="AB404" s="61">
        <v>0.37181712962962971</v>
      </c>
      <c r="AC404" t="s">
        <v>782</v>
      </c>
      <c r="AD404" s="31"/>
      <c r="AE404" s="61"/>
      <c r="AK404" t="s">
        <v>4330</v>
      </c>
      <c r="AQ404">
        <v>1</v>
      </c>
    </row>
    <row r="405" spans="1:43" hidden="1" x14ac:dyDescent="0.3">
      <c r="A405" t="s">
        <v>44</v>
      </c>
      <c r="B405">
        <v>812</v>
      </c>
      <c r="C405">
        <v>0</v>
      </c>
      <c r="D405">
        <v>3109</v>
      </c>
      <c r="G405" t="s">
        <v>4334</v>
      </c>
      <c r="H405">
        <v>59262535000183</v>
      </c>
      <c r="J405" t="s">
        <v>4335</v>
      </c>
      <c r="K405" t="s">
        <v>4336</v>
      </c>
      <c r="M405" t="s">
        <v>4337</v>
      </c>
      <c r="T405" t="s">
        <v>4317</v>
      </c>
      <c r="U405" t="s">
        <v>4329</v>
      </c>
      <c r="Z405">
        <v>121</v>
      </c>
      <c r="AA405" s="31">
        <v>46041</v>
      </c>
      <c r="AB405" s="61">
        <v>0.37361111111111112</v>
      </c>
      <c r="AC405" t="s">
        <v>782</v>
      </c>
      <c r="AD405" s="31"/>
      <c r="AE405" s="61"/>
      <c r="AK405" t="s">
        <v>4330</v>
      </c>
      <c r="AQ405">
        <v>1</v>
      </c>
    </row>
    <row r="406" spans="1:43" hidden="1" x14ac:dyDescent="0.3">
      <c r="A406" t="s">
        <v>22</v>
      </c>
      <c r="B406">
        <v>813</v>
      </c>
      <c r="C406">
        <v>0</v>
      </c>
      <c r="D406">
        <v>3110</v>
      </c>
      <c r="G406" t="s">
        <v>4338</v>
      </c>
      <c r="H406">
        <v>8616236000169</v>
      </c>
      <c r="J406" t="s">
        <v>1499</v>
      </c>
      <c r="K406" t="s">
        <v>4339</v>
      </c>
      <c r="M406" t="s">
        <v>3728</v>
      </c>
      <c r="T406" t="s">
        <v>4317</v>
      </c>
      <c r="U406" t="s">
        <v>4329</v>
      </c>
      <c r="Z406">
        <v>121</v>
      </c>
      <c r="AA406" s="31">
        <v>46041</v>
      </c>
      <c r="AB406" s="61">
        <v>0.37436342592592592</v>
      </c>
      <c r="AC406" t="s">
        <v>782</v>
      </c>
      <c r="AD406" s="31"/>
      <c r="AE406" s="61"/>
      <c r="AK406" t="s">
        <v>4330</v>
      </c>
      <c r="AQ406">
        <v>1</v>
      </c>
    </row>
    <row r="407" spans="1:43" hidden="1" x14ac:dyDescent="0.3">
      <c r="A407" t="s">
        <v>22</v>
      </c>
      <c r="B407">
        <v>814</v>
      </c>
      <c r="C407">
        <v>0</v>
      </c>
      <c r="D407">
        <v>3114</v>
      </c>
      <c r="G407" t="s">
        <v>4340</v>
      </c>
      <c r="H407">
        <v>7527737000297</v>
      </c>
      <c r="J407" t="s">
        <v>4067</v>
      </c>
      <c r="K407" t="s">
        <v>4341</v>
      </c>
      <c r="M407" t="s">
        <v>4342</v>
      </c>
      <c r="T407" t="s">
        <v>4317</v>
      </c>
      <c r="U407" t="s">
        <v>4329</v>
      </c>
      <c r="Z407">
        <v>121</v>
      </c>
      <c r="AA407" s="31">
        <v>46041</v>
      </c>
      <c r="AB407" s="61">
        <v>0.38780092592592591</v>
      </c>
      <c r="AC407" t="s">
        <v>782</v>
      </c>
      <c r="AD407" s="31"/>
      <c r="AE407" s="61"/>
      <c r="AK407" t="s">
        <v>4330</v>
      </c>
      <c r="AQ407">
        <v>1</v>
      </c>
    </row>
    <row r="408" spans="1:43" hidden="1" x14ac:dyDescent="0.3">
      <c r="A408" t="s">
        <v>31</v>
      </c>
      <c r="B408">
        <v>815</v>
      </c>
      <c r="C408">
        <v>191</v>
      </c>
      <c r="D408">
        <v>3115</v>
      </c>
      <c r="E408" t="s">
        <v>4610</v>
      </c>
      <c r="G408" t="s">
        <v>4245</v>
      </c>
      <c r="H408">
        <v>18628799000120</v>
      </c>
      <c r="I408" t="s">
        <v>3734</v>
      </c>
      <c r="J408" t="s">
        <v>4346</v>
      </c>
      <c r="K408" t="s">
        <v>2216</v>
      </c>
      <c r="M408" t="s">
        <v>2217</v>
      </c>
      <c r="O408" t="s">
        <v>6473</v>
      </c>
      <c r="P408" t="s">
        <v>1094</v>
      </c>
      <c r="Q408" t="s">
        <v>790</v>
      </c>
      <c r="T408" t="s">
        <v>319</v>
      </c>
      <c r="U408" t="s">
        <v>816</v>
      </c>
      <c r="W408">
        <v>527518</v>
      </c>
      <c r="X408">
        <v>0</v>
      </c>
      <c r="Z408">
        <v>9</v>
      </c>
      <c r="AA408" s="31">
        <v>46041</v>
      </c>
      <c r="AB408" s="61">
        <v>0.38818287037037041</v>
      </c>
      <c r="AC408" t="s">
        <v>818</v>
      </c>
      <c r="AD408" s="31">
        <v>46050</v>
      </c>
      <c r="AE408" s="61">
        <v>0.60274305555555552</v>
      </c>
      <c r="AH408" t="s">
        <v>4330</v>
      </c>
      <c r="AK408" t="s">
        <v>4349</v>
      </c>
      <c r="AQ408">
        <v>1</v>
      </c>
    </row>
    <row r="409" spans="1:43" hidden="1" x14ac:dyDescent="0.3">
      <c r="A409" t="s">
        <v>31</v>
      </c>
      <c r="B409">
        <v>816</v>
      </c>
      <c r="C409">
        <v>184</v>
      </c>
      <c r="D409">
        <v>3116</v>
      </c>
      <c r="E409" t="s">
        <v>4611</v>
      </c>
      <c r="G409" t="s">
        <v>419</v>
      </c>
      <c r="H409">
        <v>11861121000144</v>
      </c>
      <c r="I409" t="s">
        <v>3877</v>
      </c>
      <c r="J409" t="s">
        <v>1401</v>
      </c>
      <c r="K409" t="s">
        <v>3879</v>
      </c>
      <c r="M409" t="s">
        <v>3880</v>
      </c>
      <c r="O409" t="s">
        <v>6491</v>
      </c>
      <c r="P409" t="s">
        <v>1094</v>
      </c>
      <c r="Q409" t="s">
        <v>790</v>
      </c>
      <c r="S409" t="s">
        <v>1718</v>
      </c>
      <c r="T409" t="s">
        <v>319</v>
      </c>
      <c r="U409" t="s">
        <v>3417</v>
      </c>
      <c r="W409">
        <v>6000</v>
      </c>
      <c r="X409">
        <v>2000</v>
      </c>
      <c r="Z409">
        <v>86</v>
      </c>
      <c r="AA409" s="31">
        <v>46041</v>
      </c>
      <c r="AB409" s="61">
        <v>0.39466435185185178</v>
      </c>
      <c r="AC409" t="s">
        <v>795</v>
      </c>
      <c r="AD409" s="31">
        <v>46127</v>
      </c>
      <c r="AE409" s="61">
        <v>0.71504629629629635</v>
      </c>
      <c r="AF409" t="s">
        <v>796</v>
      </c>
      <c r="AH409" t="s">
        <v>420</v>
      </c>
      <c r="AI409" t="s">
        <v>420</v>
      </c>
      <c r="AK409" t="s">
        <v>5866</v>
      </c>
      <c r="AL409" t="s">
        <v>2119</v>
      </c>
      <c r="AP409" t="s">
        <v>2922</v>
      </c>
      <c r="AQ409">
        <v>1</v>
      </c>
    </row>
    <row r="410" spans="1:43" hidden="1" x14ac:dyDescent="0.3">
      <c r="A410" t="s">
        <v>31</v>
      </c>
      <c r="B410">
        <v>817</v>
      </c>
      <c r="C410">
        <v>208</v>
      </c>
      <c r="D410">
        <v>3117</v>
      </c>
      <c r="G410" t="s">
        <v>4351</v>
      </c>
      <c r="H410">
        <v>42830750000130</v>
      </c>
      <c r="I410" t="s">
        <v>3903</v>
      </c>
      <c r="J410" t="s">
        <v>4091</v>
      </c>
      <c r="K410" t="s">
        <v>3905</v>
      </c>
      <c r="M410" t="s">
        <v>4594</v>
      </c>
      <c r="O410" t="s">
        <v>6494</v>
      </c>
      <c r="P410" t="s">
        <v>1094</v>
      </c>
      <c r="Q410" t="s">
        <v>790</v>
      </c>
      <c r="S410" t="s">
        <v>1718</v>
      </c>
      <c r="T410" t="s">
        <v>319</v>
      </c>
      <c r="U410" t="s">
        <v>3606</v>
      </c>
      <c r="Z410">
        <v>121</v>
      </c>
      <c r="AA410" s="31">
        <v>46041</v>
      </c>
      <c r="AB410" s="61">
        <v>0.39607638888888891</v>
      </c>
      <c r="AC410" t="s">
        <v>782</v>
      </c>
      <c r="AD410" s="31"/>
      <c r="AE410" s="61"/>
      <c r="AI410" t="s">
        <v>4613</v>
      </c>
      <c r="AK410" t="s">
        <v>4352</v>
      </c>
      <c r="AL410" t="s">
        <v>2119</v>
      </c>
      <c r="AP410" t="s">
        <v>2922</v>
      </c>
      <c r="AQ410">
        <v>1</v>
      </c>
    </row>
    <row r="411" spans="1:43" hidden="1" x14ac:dyDescent="0.3">
      <c r="A411" t="s">
        <v>31</v>
      </c>
      <c r="B411">
        <v>822</v>
      </c>
      <c r="D411">
        <v>3121</v>
      </c>
      <c r="E411" t="s">
        <v>4614</v>
      </c>
      <c r="G411" t="s">
        <v>4354</v>
      </c>
      <c r="H411">
        <v>55585815000171</v>
      </c>
      <c r="J411" t="s">
        <v>914</v>
      </c>
      <c r="K411" t="s">
        <v>4181</v>
      </c>
      <c r="M411" t="s">
        <v>4182</v>
      </c>
      <c r="S411" t="s">
        <v>1419</v>
      </c>
      <c r="T411" t="s">
        <v>319</v>
      </c>
      <c r="U411" t="s">
        <v>3417</v>
      </c>
      <c r="W411">
        <v>4760</v>
      </c>
      <c r="X411">
        <v>712</v>
      </c>
      <c r="Z411">
        <v>98</v>
      </c>
      <c r="AA411" s="31">
        <v>46042</v>
      </c>
      <c r="AB411" s="61">
        <v>0.36277777777777781</v>
      </c>
      <c r="AC411" t="s">
        <v>795</v>
      </c>
      <c r="AD411" s="31">
        <v>46140</v>
      </c>
      <c r="AE411" s="61">
        <v>0.51946759259259256</v>
      </c>
      <c r="AF411" t="s">
        <v>796</v>
      </c>
      <c r="AH411" t="s">
        <v>2891</v>
      </c>
      <c r="AI411" t="s">
        <v>2829</v>
      </c>
      <c r="AK411" t="s">
        <v>5847</v>
      </c>
      <c r="AL411" t="s">
        <v>1423</v>
      </c>
      <c r="AQ411">
        <v>1</v>
      </c>
    </row>
    <row r="412" spans="1:43" hidden="1" x14ac:dyDescent="0.3">
      <c r="A412" t="s">
        <v>31</v>
      </c>
      <c r="B412">
        <v>824</v>
      </c>
      <c r="C412">
        <v>153</v>
      </c>
      <c r="D412">
        <v>3124</v>
      </c>
      <c r="G412" t="s">
        <v>4356</v>
      </c>
      <c r="I412" t="s">
        <v>3451</v>
      </c>
      <c r="J412" t="s">
        <v>6501</v>
      </c>
      <c r="K412" t="s">
        <v>3983</v>
      </c>
      <c r="M412" t="s">
        <v>3454</v>
      </c>
      <c r="T412" t="s">
        <v>319</v>
      </c>
      <c r="U412" t="s">
        <v>816</v>
      </c>
      <c r="W412">
        <v>16779</v>
      </c>
      <c r="X412">
        <v>0</v>
      </c>
      <c r="Z412">
        <v>1</v>
      </c>
      <c r="AA412" s="31">
        <v>46042</v>
      </c>
      <c r="AB412" s="61">
        <v>0.38716435185185177</v>
      </c>
      <c r="AC412" t="s">
        <v>818</v>
      </c>
      <c r="AD412" s="31">
        <v>46043</v>
      </c>
      <c r="AE412" s="61">
        <v>0.39550925925925928</v>
      </c>
      <c r="AH412" t="s">
        <v>4330</v>
      </c>
      <c r="AK412" t="s">
        <v>2576</v>
      </c>
      <c r="AQ412">
        <v>1</v>
      </c>
    </row>
    <row r="413" spans="1:43" hidden="1" x14ac:dyDescent="0.3">
      <c r="A413" t="s">
        <v>31</v>
      </c>
      <c r="B413">
        <v>825</v>
      </c>
      <c r="C413">
        <v>0</v>
      </c>
      <c r="D413">
        <v>3125</v>
      </c>
      <c r="E413" t="s">
        <v>4615</v>
      </c>
      <c r="G413" t="s">
        <v>466</v>
      </c>
      <c r="H413">
        <v>9023754000131</v>
      </c>
      <c r="J413" t="s">
        <v>4360</v>
      </c>
      <c r="K413" t="s">
        <v>4361</v>
      </c>
      <c r="M413" t="s">
        <v>4362</v>
      </c>
      <c r="R413" t="s">
        <v>2919</v>
      </c>
      <c r="T413" t="s">
        <v>4317</v>
      </c>
      <c r="U413" t="s">
        <v>4318</v>
      </c>
      <c r="Z413">
        <v>120</v>
      </c>
      <c r="AA413" s="31">
        <v>46042</v>
      </c>
      <c r="AB413" s="61">
        <v>0.419375</v>
      </c>
      <c r="AC413" t="s">
        <v>782</v>
      </c>
      <c r="AD413" s="31"/>
      <c r="AE413" s="61"/>
      <c r="AK413" t="s">
        <v>4407</v>
      </c>
      <c r="AQ413">
        <v>1</v>
      </c>
    </row>
    <row r="414" spans="1:43" hidden="1" x14ac:dyDescent="0.3">
      <c r="A414" t="s">
        <v>31</v>
      </c>
      <c r="B414">
        <v>826</v>
      </c>
      <c r="C414">
        <v>0</v>
      </c>
      <c r="D414">
        <v>3126</v>
      </c>
      <c r="E414" t="s">
        <v>4616</v>
      </c>
      <c r="G414" t="s">
        <v>4372</v>
      </c>
      <c r="H414">
        <v>20353768000156</v>
      </c>
      <c r="J414" t="s">
        <v>4617</v>
      </c>
      <c r="K414" t="s">
        <v>4374</v>
      </c>
      <c r="M414" t="s">
        <v>4375</v>
      </c>
      <c r="T414" t="s">
        <v>4317</v>
      </c>
      <c r="U414" t="s">
        <v>4318</v>
      </c>
      <c r="Z414">
        <v>120</v>
      </c>
      <c r="AA414" s="31">
        <v>46042</v>
      </c>
      <c r="AB414" s="61">
        <v>0.42237268518518523</v>
      </c>
      <c r="AC414" t="s">
        <v>782</v>
      </c>
      <c r="AD414" s="31"/>
      <c r="AE414" s="61"/>
      <c r="AK414" t="s">
        <v>2890</v>
      </c>
      <c r="AQ414">
        <v>1</v>
      </c>
    </row>
    <row r="415" spans="1:43" hidden="1" x14ac:dyDescent="0.3">
      <c r="A415" t="s">
        <v>31</v>
      </c>
      <c r="B415">
        <v>827</v>
      </c>
      <c r="C415">
        <v>0</v>
      </c>
      <c r="D415">
        <v>3127</v>
      </c>
      <c r="E415" t="s">
        <v>4618</v>
      </c>
      <c r="G415" t="s">
        <v>4619</v>
      </c>
      <c r="H415">
        <v>5236564000141</v>
      </c>
      <c r="J415" t="s">
        <v>3922</v>
      </c>
      <c r="K415" t="s">
        <v>4379</v>
      </c>
      <c r="M415" t="s">
        <v>4380</v>
      </c>
      <c r="T415" t="s">
        <v>4317</v>
      </c>
      <c r="U415" t="s">
        <v>4318</v>
      </c>
      <c r="Z415">
        <v>120</v>
      </c>
      <c r="AA415" s="31">
        <v>46042</v>
      </c>
      <c r="AB415" s="61">
        <v>0.42685185185185193</v>
      </c>
      <c r="AC415" t="s">
        <v>782</v>
      </c>
      <c r="AD415" s="31"/>
      <c r="AE415" s="61"/>
      <c r="AK415" t="s">
        <v>4407</v>
      </c>
      <c r="AQ415">
        <v>1</v>
      </c>
    </row>
    <row r="416" spans="1:43" hidden="1" x14ac:dyDescent="0.3">
      <c r="A416" t="s">
        <v>31</v>
      </c>
      <c r="B416">
        <v>828</v>
      </c>
      <c r="C416">
        <v>0</v>
      </c>
      <c r="D416">
        <v>3128</v>
      </c>
      <c r="E416" t="s">
        <v>6517</v>
      </c>
      <c r="G416" t="s">
        <v>471</v>
      </c>
      <c r="H416">
        <v>10303813000104</v>
      </c>
      <c r="J416" t="s">
        <v>1243</v>
      </c>
      <c r="K416" t="s">
        <v>4621</v>
      </c>
      <c r="M416" t="s">
        <v>4384</v>
      </c>
      <c r="T416" t="s">
        <v>4317</v>
      </c>
      <c r="U416" t="s">
        <v>4318</v>
      </c>
      <c r="Z416">
        <v>120</v>
      </c>
      <c r="AA416" s="31">
        <v>46042</v>
      </c>
      <c r="AB416" s="61">
        <v>0.43459490740740742</v>
      </c>
      <c r="AC416" t="s">
        <v>782</v>
      </c>
      <c r="AD416" s="31"/>
      <c r="AE416" s="61"/>
      <c r="AK416" t="s">
        <v>2890</v>
      </c>
      <c r="AQ416">
        <v>1</v>
      </c>
    </row>
    <row r="417" spans="1:43" hidden="1" x14ac:dyDescent="0.3">
      <c r="A417" t="s">
        <v>31</v>
      </c>
      <c r="B417">
        <v>829</v>
      </c>
      <c r="C417">
        <v>0</v>
      </c>
      <c r="D417">
        <v>3130</v>
      </c>
      <c r="E417" t="s">
        <v>4622</v>
      </c>
      <c r="G417" t="s">
        <v>4623</v>
      </c>
      <c r="H417">
        <v>55585815000171</v>
      </c>
      <c r="J417" t="s">
        <v>914</v>
      </c>
      <c r="K417" t="s">
        <v>4181</v>
      </c>
      <c r="M417" t="s">
        <v>4182</v>
      </c>
      <c r="T417" t="s">
        <v>4317</v>
      </c>
      <c r="U417" t="s">
        <v>4318</v>
      </c>
      <c r="Z417">
        <v>120</v>
      </c>
      <c r="AA417" s="31">
        <v>46042</v>
      </c>
      <c r="AB417" s="61">
        <v>0.49190972222222218</v>
      </c>
      <c r="AC417" t="s">
        <v>782</v>
      </c>
      <c r="AD417" s="31"/>
      <c r="AE417" s="61"/>
      <c r="AK417" t="s">
        <v>4407</v>
      </c>
      <c r="AQ417">
        <v>1</v>
      </c>
    </row>
    <row r="418" spans="1:43" hidden="1" x14ac:dyDescent="0.3">
      <c r="A418" t="s">
        <v>31</v>
      </c>
      <c r="B418">
        <v>830</v>
      </c>
      <c r="C418">
        <v>0</v>
      </c>
      <c r="D418">
        <v>3131</v>
      </c>
      <c r="E418" t="s">
        <v>4624</v>
      </c>
      <c r="G418" t="s">
        <v>3529</v>
      </c>
      <c r="H418">
        <v>34728104000139</v>
      </c>
      <c r="J418" t="s">
        <v>1474</v>
      </c>
      <c r="K418" t="s">
        <v>3531</v>
      </c>
      <c r="M418" t="s">
        <v>4399</v>
      </c>
      <c r="T418" t="s">
        <v>4317</v>
      </c>
      <c r="U418" t="s">
        <v>4318</v>
      </c>
      <c r="Z418">
        <v>120</v>
      </c>
      <c r="AA418" s="31">
        <v>46042</v>
      </c>
      <c r="AB418" s="61">
        <v>0.49453703703703711</v>
      </c>
      <c r="AC418" t="s">
        <v>782</v>
      </c>
      <c r="AD418" s="31"/>
      <c r="AE418" s="61"/>
      <c r="AK418" t="s">
        <v>4625</v>
      </c>
      <c r="AQ418">
        <v>1</v>
      </c>
    </row>
    <row r="419" spans="1:43" hidden="1" x14ac:dyDescent="0.3">
      <c r="A419" t="s">
        <v>22</v>
      </c>
      <c r="B419">
        <v>831</v>
      </c>
      <c r="C419">
        <v>0</v>
      </c>
      <c r="D419">
        <v>3132</v>
      </c>
      <c r="E419" t="s">
        <v>4626</v>
      </c>
      <c r="G419" t="s">
        <v>4403</v>
      </c>
      <c r="H419">
        <v>23085291000163</v>
      </c>
      <c r="J419" t="s">
        <v>3848</v>
      </c>
      <c r="K419" t="s">
        <v>4405</v>
      </c>
      <c r="M419" t="s">
        <v>3237</v>
      </c>
      <c r="S419" t="s">
        <v>4406</v>
      </c>
      <c r="T419" t="s">
        <v>4317</v>
      </c>
      <c r="U419" t="s">
        <v>4318</v>
      </c>
      <c r="Z419">
        <v>120</v>
      </c>
      <c r="AA419" s="31">
        <v>46042</v>
      </c>
      <c r="AB419" s="61">
        <v>0.49695601851851851</v>
      </c>
      <c r="AC419" t="s">
        <v>782</v>
      </c>
      <c r="AD419" s="31"/>
      <c r="AE419" s="61"/>
      <c r="AK419" t="s">
        <v>4407</v>
      </c>
      <c r="AQ419">
        <v>1</v>
      </c>
    </row>
    <row r="420" spans="1:43" hidden="1" x14ac:dyDescent="0.3">
      <c r="A420" t="s">
        <v>31</v>
      </c>
      <c r="B420">
        <v>832</v>
      </c>
      <c r="C420">
        <v>0</v>
      </c>
      <c r="D420">
        <v>3133</v>
      </c>
      <c r="E420" t="s">
        <v>4627</v>
      </c>
      <c r="G420" t="s">
        <v>4628</v>
      </c>
      <c r="H420">
        <v>35548485000137</v>
      </c>
      <c r="J420" t="s">
        <v>4411</v>
      </c>
      <c r="K420" t="s">
        <v>4412</v>
      </c>
      <c r="M420" t="s">
        <v>4413</v>
      </c>
      <c r="T420" t="s">
        <v>4317</v>
      </c>
      <c r="U420" t="s">
        <v>4318</v>
      </c>
      <c r="Z420">
        <v>120</v>
      </c>
      <c r="AA420" s="31">
        <v>46042</v>
      </c>
      <c r="AB420" s="61">
        <v>0.49824074074074082</v>
      </c>
      <c r="AC420" t="s">
        <v>782</v>
      </c>
      <c r="AD420" s="31"/>
      <c r="AE420" s="61"/>
      <c r="AK420" t="s">
        <v>4407</v>
      </c>
      <c r="AQ420">
        <v>1</v>
      </c>
    </row>
    <row r="421" spans="1:43" hidden="1" x14ac:dyDescent="0.3">
      <c r="A421" t="s">
        <v>44</v>
      </c>
      <c r="B421">
        <v>833</v>
      </c>
      <c r="C421">
        <v>0</v>
      </c>
      <c r="D421">
        <v>3134</v>
      </c>
      <c r="G421" t="s">
        <v>4414</v>
      </c>
      <c r="H421">
        <v>26699965000108</v>
      </c>
      <c r="J421" t="s">
        <v>4415</v>
      </c>
      <c r="K421" t="s">
        <v>4416</v>
      </c>
      <c r="M421" t="s">
        <v>4417</v>
      </c>
      <c r="T421" t="s">
        <v>4317</v>
      </c>
      <c r="U421" t="s">
        <v>4329</v>
      </c>
      <c r="Z421">
        <v>120</v>
      </c>
      <c r="AA421" s="31">
        <v>46042</v>
      </c>
      <c r="AB421" s="61">
        <v>0.50177083333333339</v>
      </c>
      <c r="AC421" t="s">
        <v>782</v>
      </c>
      <c r="AD421" s="31"/>
      <c r="AE421" s="61"/>
      <c r="AK421" t="s">
        <v>4407</v>
      </c>
      <c r="AQ421">
        <v>1</v>
      </c>
    </row>
    <row r="422" spans="1:43" hidden="1" x14ac:dyDescent="0.3">
      <c r="A422" t="s">
        <v>44</v>
      </c>
      <c r="B422">
        <v>834</v>
      </c>
      <c r="C422">
        <v>0</v>
      </c>
      <c r="D422">
        <v>3135</v>
      </c>
      <c r="G422" t="s">
        <v>4418</v>
      </c>
      <c r="H422">
        <v>2462686000168</v>
      </c>
      <c r="J422" t="s">
        <v>3530</v>
      </c>
      <c r="K422" t="s">
        <v>4419</v>
      </c>
      <c r="M422" t="s">
        <v>4420</v>
      </c>
      <c r="T422" t="s">
        <v>4317</v>
      </c>
      <c r="U422" t="s">
        <v>4329</v>
      </c>
      <c r="Z422">
        <v>120</v>
      </c>
      <c r="AA422" s="31">
        <v>46042</v>
      </c>
      <c r="AB422" s="61">
        <v>0.50340277777777775</v>
      </c>
      <c r="AC422" t="s">
        <v>782</v>
      </c>
      <c r="AD422" s="31"/>
      <c r="AE422" s="61"/>
      <c r="AK422" t="s">
        <v>4407</v>
      </c>
      <c r="AQ422">
        <v>1</v>
      </c>
    </row>
    <row r="423" spans="1:43" hidden="1" x14ac:dyDescent="0.3">
      <c r="A423" t="s">
        <v>44</v>
      </c>
      <c r="B423">
        <v>835</v>
      </c>
      <c r="C423">
        <v>0</v>
      </c>
      <c r="D423">
        <v>3136</v>
      </c>
      <c r="G423" t="s">
        <v>4421</v>
      </c>
      <c r="H423">
        <v>6959313000158</v>
      </c>
      <c r="J423" t="s">
        <v>4422</v>
      </c>
      <c r="K423" t="s">
        <v>4423</v>
      </c>
      <c r="M423" t="s">
        <v>4424</v>
      </c>
      <c r="T423" t="s">
        <v>4317</v>
      </c>
      <c r="U423" t="s">
        <v>4329</v>
      </c>
      <c r="Z423">
        <v>120</v>
      </c>
      <c r="AA423" s="31">
        <v>46042</v>
      </c>
      <c r="AB423" s="61">
        <v>0.50469907407407411</v>
      </c>
      <c r="AC423" t="s">
        <v>782</v>
      </c>
      <c r="AD423" s="31"/>
      <c r="AE423" s="61"/>
      <c r="AK423" t="s">
        <v>4407</v>
      </c>
      <c r="AQ423">
        <v>1</v>
      </c>
    </row>
    <row r="424" spans="1:43" hidden="1" x14ac:dyDescent="0.3">
      <c r="A424" t="s">
        <v>44</v>
      </c>
      <c r="B424">
        <v>836</v>
      </c>
      <c r="C424">
        <v>0</v>
      </c>
      <c r="D424">
        <v>3137</v>
      </c>
      <c r="G424" t="s">
        <v>4425</v>
      </c>
      <c r="H424">
        <v>14172069000107</v>
      </c>
      <c r="J424" t="s">
        <v>4426</v>
      </c>
      <c r="K424" t="s">
        <v>4427</v>
      </c>
      <c r="M424" t="s">
        <v>4428</v>
      </c>
      <c r="T424" t="s">
        <v>4317</v>
      </c>
      <c r="U424" t="s">
        <v>4329</v>
      </c>
      <c r="Z424">
        <v>120</v>
      </c>
      <c r="AA424" s="31">
        <v>46042</v>
      </c>
      <c r="AB424" s="61">
        <v>0.50646990740740738</v>
      </c>
      <c r="AC424" t="s">
        <v>782</v>
      </c>
      <c r="AD424" s="31"/>
      <c r="AE424" s="61"/>
      <c r="AK424" t="s">
        <v>4407</v>
      </c>
      <c r="AQ424">
        <v>1</v>
      </c>
    </row>
    <row r="425" spans="1:43" hidden="1" x14ac:dyDescent="0.3">
      <c r="A425" t="s">
        <v>44</v>
      </c>
      <c r="B425">
        <v>837</v>
      </c>
      <c r="C425">
        <v>0</v>
      </c>
      <c r="D425">
        <v>3138</v>
      </c>
      <c r="E425" t="s">
        <v>6518</v>
      </c>
      <c r="G425" t="s">
        <v>3239</v>
      </c>
      <c r="H425">
        <v>11458315000101</v>
      </c>
      <c r="J425" t="s">
        <v>4436</v>
      </c>
      <c r="K425" t="s">
        <v>4630</v>
      </c>
      <c r="M425" t="s">
        <v>3468</v>
      </c>
      <c r="T425" t="s">
        <v>4317</v>
      </c>
      <c r="U425" t="s">
        <v>4437</v>
      </c>
      <c r="Z425">
        <v>120</v>
      </c>
      <c r="AA425" s="31">
        <v>46042</v>
      </c>
      <c r="AB425" s="61">
        <v>0.50835648148148149</v>
      </c>
      <c r="AC425" t="s">
        <v>782</v>
      </c>
      <c r="AD425" s="31"/>
      <c r="AE425" s="61"/>
      <c r="AK425" t="s">
        <v>4407</v>
      </c>
      <c r="AQ425">
        <v>1</v>
      </c>
    </row>
    <row r="426" spans="1:43" hidden="1" x14ac:dyDescent="0.3">
      <c r="A426" t="s">
        <v>44</v>
      </c>
      <c r="B426">
        <v>838</v>
      </c>
      <c r="C426">
        <v>0</v>
      </c>
      <c r="D426">
        <v>3139</v>
      </c>
      <c r="E426" t="s">
        <v>6519</v>
      </c>
      <c r="G426" t="s">
        <v>4632</v>
      </c>
      <c r="H426">
        <v>7554218000137</v>
      </c>
      <c r="J426" t="s">
        <v>4445</v>
      </c>
      <c r="K426" t="s">
        <v>4446</v>
      </c>
      <c r="M426" t="s">
        <v>4447</v>
      </c>
      <c r="T426" t="s">
        <v>4317</v>
      </c>
      <c r="U426" t="s">
        <v>4437</v>
      </c>
      <c r="Z426">
        <v>120</v>
      </c>
      <c r="AA426" s="31">
        <v>46042</v>
      </c>
      <c r="AB426" s="61">
        <v>0.50949074074074074</v>
      </c>
      <c r="AC426" t="s">
        <v>782</v>
      </c>
      <c r="AD426" s="31"/>
      <c r="AE426" s="61"/>
      <c r="AK426" t="s">
        <v>2576</v>
      </c>
      <c r="AQ426">
        <v>1</v>
      </c>
    </row>
    <row r="427" spans="1:43" hidden="1" x14ac:dyDescent="0.3">
      <c r="A427" t="s">
        <v>44</v>
      </c>
      <c r="B427">
        <v>839</v>
      </c>
      <c r="C427">
        <v>0</v>
      </c>
      <c r="D427">
        <v>3140</v>
      </c>
      <c r="G427" t="s">
        <v>4448</v>
      </c>
      <c r="H427">
        <v>7044171000161</v>
      </c>
      <c r="J427" t="s">
        <v>4449</v>
      </c>
      <c r="K427" t="s">
        <v>4450</v>
      </c>
      <c r="M427" t="s">
        <v>4451</v>
      </c>
      <c r="T427" t="s">
        <v>4317</v>
      </c>
      <c r="U427" t="s">
        <v>4329</v>
      </c>
      <c r="Z427">
        <v>120</v>
      </c>
      <c r="AA427" s="31">
        <v>46042</v>
      </c>
      <c r="AB427" s="61">
        <v>0.51048611111111108</v>
      </c>
      <c r="AC427" t="s">
        <v>782</v>
      </c>
      <c r="AD427" s="31"/>
      <c r="AE427" s="61"/>
      <c r="AK427" t="s">
        <v>4407</v>
      </c>
      <c r="AQ427">
        <v>1</v>
      </c>
    </row>
    <row r="428" spans="1:43" hidden="1" x14ac:dyDescent="0.3">
      <c r="A428" t="s">
        <v>22</v>
      </c>
      <c r="B428">
        <v>840</v>
      </c>
      <c r="C428">
        <v>0</v>
      </c>
      <c r="D428">
        <v>3141</v>
      </c>
      <c r="G428" t="s">
        <v>4452</v>
      </c>
      <c r="H428">
        <v>6847915000202</v>
      </c>
      <c r="J428" t="s">
        <v>1804</v>
      </c>
      <c r="K428" t="s">
        <v>4453</v>
      </c>
      <c r="M428" t="s">
        <v>4242</v>
      </c>
      <c r="T428" t="s">
        <v>4317</v>
      </c>
      <c r="U428" t="s">
        <v>4329</v>
      </c>
      <c r="Z428">
        <v>120</v>
      </c>
      <c r="AA428" s="31">
        <v>46042</v>
      </c>
      <c r="AB428" s="61">
        <v>0.58880787037037041</v>
      </c>
      <c r="AC428" t="s">
        <v>782</v>
      </c>
      <c r="AD428" s="31"/>
      <c r="AE428" s="61"/>
      <c r="AK428" t="s">
        <v>4407</v>
      </c>
      <c r="AQ428">
        <v>1</v>
      </c>
    </row>
    <row r="429" spans="1:43" hidden="1" x14ac:dyDescent="0.3">
      <c r="A429" t="s">
        <v>22</v>
      </c>
      <c r="B429">
        <v>841</v>
      </c>
      <c r="C429">
        <v>0</v>
      </c>
      <c r="D429">
        <v>3142</v>
      </c>
      <c r="G429" t="s">
        <v>4454</v>
      </c>
      <c r="H429">
        <v>8636039000101</v>
      </c>
      <c r="J429" t="s">
        <v>4455</v>
      </c>
      <c r="K429" t="s">
        <v>4456</v>
      </c>
      <c r="M429" t="s">
        <v>4163</v>
      </c>
      <c r="T429" t="s">
        <v>4317</v>
      </c>
      <c r="U429" t="s">
        <v>4329</v>
      </c>
      <c r="Z429">
        <v>120</v>
      </c>
      <c r="AA429" s="31">
        <v>46042</v>
      </c>
      <c r="AB429" s="61">
        <v>0.58991898148148147</v>
      </c>
      <c r="AC429" t="s">
        <v>782</v>
      </c>
      <c r="AD429" s="31"/>
      <c r="AE429" s="61"/>
      <c r="AK429" t="s">
        <v>4407</v>
      </c>
      <c r="AQ429">
        <v>1</v>
      </c>
    </row>
    <row r="430" spans="1:43" hidden="1" x14ac:dyDescent="0.3">
      <c r="A430" t="s">
        <v>22</v>
      </c>
      <c r="B430">
        <v>842</v>
      </c>
      <c r="C430">
        <v>0</v>
      </c>
      <c r="D430">
        <v>3143</v>
      </c>
      <c r="G430" t="s">
        <v>4457</v>
      </c>
      <c r="H430">
        <v>7729393000118</v>
      </c>
      <c r="J430" t="s">
        <v>4458</v>
      </c>
      <c r="K430" t="s">
        <v>4459</v>
      </c>
      <c r="M430" t="s">
        <v>4460</v>
      </c>
      <c r="T430" t="s">
        <v>4317</v>
      </c>
      <c r="U430" t="s">
        <v>4329</v>
      </c>
      <c r="Z430">
        <v>120</v>
      </c>
      <c r="AA430" s="31">
        <v>46042</v>
      </c>
      <c r="AB430" s="61">
        <v>0.59046296296296297</v>
      </c>
      <c r="AC430" t="s">
        <v>782</v>
      </c>
      <c r="AD430" s="31"/>
      <c r="AE430" s="61"/>
      <c r="AK430" t="s">
        <v>4407</v>
      </c>
      <c r="AQ430">
        <v>1</v>
      </c>
    </row>
    <row r="431" spans="1:43" hidden="1" x14ac:dyDescent="0.3">
      <c r="A431" t="s">
        <v>22</v>
      </c>
      <c r="B431">
        <v>844</v>
      </c>
      <c r="C431">
        <v>0</v>
      </c>
      <c r="D431">
        <v>3145</v>
      </c>
      <c r="G431" t="s">
        <v>4461</v>
      </c>
      <c r="H431">
        <v>27914031000104</v>
      </c>
      <c r="J431" t="s">
        <v>3496</v>
      </c>
      <c r="K431" t="s">
        <v>3497</v>
      </c>
      <c r="M431" t="s">
        <v>3498</v>
      </c>
      <c r="T431" t="s">
        <v>4317</v>
      </c>
      <c r="U431" t="s">
        <v>4329</v>
      </c>
      <c r="Z431">
        <v>120</v>
      </c>
      <c r="AA431" s="31">
        <v>46042</v>
      </c>
      <c r="AB431" s="61">
        <v>0.59171296296296294</v>
      </c>
      <c r="AC431" t="s">
        <v>782</v>
      </c>
      <c r="AD431" s="31"/>
      <c r="AE431" s="61"/>
      <c r="AK431" t="s">
        <v>4407</v>
      </c>
      <c r="AQ431">
        <v>1</v>
      </c>
    </row>
    <row r="432" spans="1:43" hidden="1" x14ac:dyDescent="0.3">
      <c r="A432" t="s">
        <v>22</v>
      </c>
      <c r="B432">
        <v>845</v>
      </c>
      <c r="C432">
        <v>0</v>
      </c>
      <c r="D432">
        <v>3146</v>
      </c>
      <c r="E432" t="s">
        <v>4633</v>
      </c>
      <c r="G432" t="s">
        <v>4634</v>
      </c>
      <c r="H432">
        <v>43204189000147</v>
      </c>
      <c r="J432" t="s">
        <v>990</v>
      </c>
      <c r="K432" t="s">
        <v>4635</v>
      </c>
      <c r="M432" t="s">
        <v>3614</v>
      </c>
      <c r="T432" t="s">
        <v>4317</v>
      </c>
      <c r="U432" t="s">
        <v>4437</v>
      </c>
      <c r="Z432">
        <v>120</v>
      </c>
      <c r="AA432" s="31">
        <v>46042</v>
      </c>
      <c r="AB432" s="61">
        <v>0.59254629629629629</v>
      </c>
      <c r="AC432" t="s">
        <v>782</v>
      </c>
      <c r="AD432" s="31"/>
      <c r="AE432" s="61"/>
      <c r="AK432" t="s">
        <v>4407</v>
      </c>
      <c r="AQ432">
        <v>1</v>
      </c>
    </row>
    <row r="433" spans="1:43" hidden="1" x14ac:dyDescent="0.3">
      <c r="A433" t="s">
        <v>22</v>
      </c>
      <c r="B433">
        <v>846</v>
      </c>
      <c r="C433">
        <v>0</v>
      </c>
      <c r="D433">
        <v>3147</v>
      </c>
      <c r="G433" t="s">
        <v>4464</v>
      </c>
      <c r="H433">
        <v>24435880000197</v>
      </c>
      <c r="J433" t="s">
        <v>4465</v>
      </c>
      <c r="K433" t="s">
        <v>4466</v>
      </c>
      <c r="M433" t="s">
        <v>4467</v>
      </c>
      <c r="T433" t="s">
        <v>4317</v>
      </c>
      <c r="U433" t="s">
        <v>4329</v>
      </c>
      <c r="Z433">
        <v>120</v>
      </c>
      <c r="AA433" s="31">
        <v>46042</v>
      </c>
      <c r="AB433" s="61">
        <v>0.59587962962962959</v>
      </c>
      <c r="AC433" t="s">
        <v>782</v>
      </c>
      <c r="AD433" s="31"/>
      <c r="AE433" s="61"/>
      <c r="AK433" t="s">
        <v>4407</v>
      </c>
      <c r="AQ433">
        <v>1</v>
      </c>
    </row>
    <row r="434" spans="1:43" hidden="1" x14ac:dyDescent="0.3">
      <c r="A434" t="s">
        <v>44</v>
      </c>
      <c r="B434">
        <v>852</v>
      </c>
      <c r="C434">
        <v>0</v>
      </c>
      <c r="D434">
        <v>3152</v>
      </c>
      <c r="G434" t="s">
        <v>508</v>
      </c>
      <c r="H434">
        <v>11119066000111</v>
      </c>
      <c r="J434" t="s">
        <v>4468</v>
      </c>
      <c r="K434" t="s">
        <v>4469</v>
      </c>
      <c r="M434" t="s">
        <v>4470</v>
      </c>
      <c r="T434" t="s">
        <v>4317</v>
      </c>
      <c r="U434" t="s">
        <v>4437</v>
      </c>
      <c r="Z434">
        <v>119</v>
      </c>
      <c r="AA434" s="31">
        <v>46043</v>
      </c>
      <c r="AB434" s="61">
        <v>0.60939814814814819</v>
      </c>
      <c r="AC434" t="s">
        <v>782</v>
      </c>
      <c r="AD434" s="31"/>
      <c r="AE434" s="61"/>
      <c r="AK434" t="s">
        <v>4471</v>
      </c>
      <c r="AQ434">
        <v>1</v>
      </c>
    </row>
    <row r="435" spans="1:43" hidden="1" x14ac:dyDescent="0.3">
      <c r="A435" t="s">
        <v>31</v>
      </c>
      <c r="B435">
        <v>855</v>
      </c>
      <c r="C435">
        <v>0</v>
      </c>
      <c r="D435">
        <v>3159</v>
      </c>
      <c r="G435" t="s">
        <v>4472</v>
      </c>
      <c r="H435">
        <v>56450877000309</v>
      </c>
      <c r="J435" t="s">
        <v>4473</v>
      </c>
      <c r="K435" t="s">
        <v>4474</v>
      </c>
      <c r="M435" t="s">
        <v>4475</v>
      </c>
      <c r="T435" t="s">
        <v>4317</v>
      </c>
      <c r="U435" t="s">
        <v>4329</v>
      </c>
      <c r="Z435">
        <v>118</v>
      </c>
      <c r="AA435" s="31">
        <v>46044</v>
      </c>
      <c r="AB435" s="61">
        <v>0.68799768518518523</v>
      </c>
      <c r="AC435" t="s">
        <v>782</v>
      </c>
      <c r="AD435" s="31"/>
      <c r="AE435" s="61"/>
      <c r="AK435" t="s">
        <v>4476</v>
      </c>
      <c r="AQ435">
        <v>1</v>
      </c>
    </row>
    <row r="436" spans="1:43" hidden="1" x14ac:dyDescent="0.3">
      <c r="A436" t="s">
        <v>31</v>
      </c>
      <c r="B436">
        <v>856</v>
      </c>
      <c r="C436">
        <v>0</v>
      </c>
      <c r="D436">
        <v>3160</v>
      </c>
      <c r="E436" t="s">
        <v>4477</v>
      </c>
      <c r="G436" t="s">
        <v>4478</v>
      </c>
      <c r="H436">
        <v>10294630000170</v>
      </c>
      <c r="J436" t="s">
        <v>4479</v>
      </c>
      <c r="K436" t="s">
        <v>4480</v>
      </c>
      <c r="M436" t="s">
        <v>4481</v>
      </c>
      <c r="T436" t="s">
        <v>4317</v>
      </c>
      <c r="U436" t="s">
        <v>4437</v>
      </c>
      <c r="Z436">
        <v>118</v>
      </c>
      <c r="AA436" s="31">
        <v>46044</v>
      </c>
      <c r="AB436" s="61">
        <v>0.68909722222222225</v>
      </c>
      <c r="AC436" t="s">
        <v>782</v>
      </c>
      <c r="AD436" s="31"/>
      <c r="AE436" s="61"/>
      <c r="AK436" t="s">
        <v>2890</v>
      </c>
      <c r="AQ436">
        <v>1</v>
      </c>
    </row>
    <row r="437" spans="1:43" hidden="1" x14ac:dyDescent="0.3">
      <c r="A437" t="s">
        <v>31</v>
      </c>
      <c r="B437">
        <v>857</v>
      </c>
      <c r="C437">
        <v>0</v>
      </c>
      <c r="D437">
        <v>3161</v>
      </c>
      <c r="E437" t="s">
        <v>4636</v>
      </c>
      <c r="G437" t="s">
        <v>4489</v>
      </c>
      <c r="H437">
        <v>56712607000159</v>
      </c>
      <c r="J437" t="s">
        <v>4637</v>
      </c>
      <c r="K437" t="s">
        <v>4491</v>
      </c>
      <c r="M437" t="s">
        <v>4492</v>
      </c>
      <c r="T437" t="s">
        <v>4317</v>
      </c>
      <c r="U437" t="s">
        <v>4318</v>
      </c>
      <c r="Z437">
        <v>118</v>
      </c>
      <c r="AA437" s="31">
        <v>46044</v>
      </c>
      <c r="AB437" s="61">
        <v>0.68972222222222224</v>
      </c>
      <c r="AC437" t="s">
        <v>782</v>
      </c>
      <c r="AD437" s="31"/>
      <c r="AE437" s="61"/>
      <c r="AK437" t="s">
        <v>2890</v>
      </c>
      <c r="AQ437">
        <v>1</v>
      </c>
    </row>
    <row r="438" spans="1:43" hidden="1" x14ac:dyDescent="0.3">
      <c r="A438" t="s">
        <v>31</v>
      </c>
      <c r="B438">
        <v>858</v>
      </c>
      <c r="C438">
        <v>0</v>
      </c>
      <c r="D438">
        <v>3162</v>
      </c>
      <c r="E438" t="s">
        <v>6520</v>
      </c>
      <c r="G438" t="s">
        <v>4494</v>
      </c>
      <c r="H438">
        <v>12549273000179</v>
      </c>
      <c r="J438" t="s">
        <v>1804</v>
      </c>
      <c r="K438" t="s">
        <v>4495</v>
      </c>
      <c r="M438" t="s">
        <v>4496</v>
      </c>
      <c r="T438" t="s">
        <v>4317</v>
      </c>
      <c r="U438" t="s">
        <v>4318</v>
      </c>
      <c r="Z438">
        <v>118</v>
      </c>
      <c r="AA438" s="31">
        <v>46044</v>
      </c>
      <c r="AB438" s="61">
        <v>0.69061342592592589</v>
      </c>
      <c r="AC438" t="s">
        <v>782</v>
      </c>
      <c r="AD438" s="31"/>
      <c r="AE438" s="61"/>
      <c r="AK438" t="s">
        <v>2890</v>
      </c>
      <c r="AQ438">
        <v>1</v>
      </c>
    </row>
    <row r="439" spans="1:43" hidden="1" x14ac:dyDescent="0.3">
      <c r="A439" t="s">
        <v>31</v>
      </c>
      <c r="B439">
        <v>859</v>
      </c>
      <c r="C439">
        <v>0</v>
      </c>
      <c r="D439">
        <v>3163</v>
      </c>
      <c r="G439" t="s">
        <v>4497</v>
      </c>
      <c r="H439">
        <v>3431924000130</v>
      </c>
      <c r="J439" t="s">
        <v>3691</v>
      </c>
      <c r="K439" t="s">
        <v>4498</v>
      </c>
      <c r="M439" t="s">
        <v>4499</v>
      </c>
      <c r="T439" t="s">
        <v>4317</v>
      </c>
      <c r="U439" t="s">
        <v>4329</v>
      </c>
      <c r="Z439">
        <v>118</v>
      </c>
      <c r="AA439" s="31">
        <v>46044</v>
      </c>
      <c r="AB439" s="61">
        <v>0.69150462962962966</v>
      </c>
      <c r="AC439" t="s">
        <v>782</v>
      </c>
      <c r="AD439" s="31"/>
      <c r="AE439" s="61"/>
      <c r="AK439" t="s">
        <v>4476</v>
      </c>
      <c r="AQ439">
        <v>1</v>
      </c>
    </row>
    <row r="440" spans="1:43" hidden="1" x14ac:dyDescent="0.3">
      <c r="A440" t="s">
        <v>31</v>
      </c>
      <c r="B440">
        <v>863</v>
      </c>
      <c r="C440">
        <v>203</v>
      </c>
      <c r="D440">
        <v>3168</v>
      </c>
      <c r="E440" t="s">
        <v>6521</v>
      </c>
      <c r="G440" t="s">
        <v>4501</v>
      </c>
      <c r="H440">
        <v>11806036000183</v>
      </c>
      <c r="I440" t="s">
        <v>3791</v>
      </c>
      <c r="J440" t="s">
        <v>2600</v>
      </c>
      <c r="K440" t="s">
        <v>3792</v>
      </c>
      <c r="M440" t="s">
        <v>3793</v>
      </c>
      <c r="O440" t="s">
        <v>6480</v>
      </c>
      <c r="P440" t="s">
        <v>3636</v>
      </c>
      <c r="Q440" t="s">
        <v>1699</v>
      </c>
      <c r="T440" t="s">
        <v>319</v>
      </c>
      <c r="U440" t="s">
        <v>816</v>
      </c>
      <c r="W440">
        <v>8100</v>
      </c>
      <c r="X440">
        <v>1080</v>
      </c>
      <c r="Z440">
        <v>5</v>
      </c>
      <c r="AA440" s="31">
        <v>46045</v>
      </c>
      <c r="AB440" s="61">
        <v>0.67321759259259262</v>
      </c>
      <c r="AC440" t="s">
        <v>818</v>
      </c>
      <c r="AD440" s="31">
        <v>46050</v>
      </c>
      <c r="AE440" s="61">
        <v>0.60244212962962962</v>
      </c>
      <c r="AH440" t="s">
        <v>4278</v>
      </c>
      <c r="AI440" t="s">
        <v>2920</v>
      </c>
      <c r="AK440" t="s">
        <v>2920</v>
      </c>
      <c r="AQ440">
        <v>1</v>
      </c>
    </row>
    <row r="441" spans="1:43" hidden="1" x14ac:dyDescent="0.3">
      <c r="A441" t="s">
        <v>31</v>
      </c>
      <c r="B441">
        <v>875</v>
      </c>
      <c r="D441">
        <v>3181</v>
      </c>
      <c r="E441" t="s">
        <v>4638</v>
      </c>
      <c r="G441" t="s">
        <v>4619</v>
      </c>
      <c r="H441">
        <v>5236564000141</v>
      </c>
      <c r="J441" t="s">
        <v>4504</v>
      </c>
      <c r="K441" t="s">
        <v>4379</v>
      </c>
      <c r="M441" t="s">
        <v>4380</v>
      </c>
      <c r="T441" t="s">
        <v>319</v>
      </c>
      <c r="U441" t="s">
        <v>3417</v>
      </c>
      <c r="W441">
        <v>1600</v>
      </c>
      <c r="X441">
        <v>229519</v>
      </c>
      <c r="Z441">
        <v>9</v>
      </c>
      <c r="AA441" s="31">
        <v>46049</v>
      </c>
      <c r="AB441" s="61">
        <v>0.70740740740740737</v>
      </c>
      <c r="AC441" t="s">
        <v>795</v>
      </c>
      <c r="AD441" s="31">
        <v>46058</v>
      </c>
      <c r="AE441" s="61">
        <v>0.59599537037037043</v>
      </c>
      <c r="AF441" t="s">
        <v>867</v>
      </c>
      <c r="AH441" t="s">
        <v>4639</v>
      </c>
      <c r="AI441" t="s">
        <v>4639</v>
      </c>
      <c r="AK441" t="s">
        <v>382</v>
      </c>
      <c r="AQ441">
        <v>1</v>
      </c>
    </row>
    <row r="442" spans="1:43" hidden="1" x14ac:dyDescent="0.3">
      <c r="A442" t="s">
        <v>31</v>
      </c>
      <c r="B442">
        <v>878</v>
      </c>
      <c r="C442">
        <v>206</v>
      </c>
      <c r="D442">
        <v>3189</v>
      </c>
      <c r="G442" t="s">
        <v>4508</v>
      </c>
      <c r="H442">
        <v>37075503000136</v>
      </c>
      <c r="I442" t="s">
        <v>3826</v>
      </c>
      <c r="J442" t="s">
        <v>1474</v>
      </c>
      <c r="K442" t="s">
        <v>1475</v>
      </c>
      <c r="M442" t="s">
        <v>1476</v>
      </c>
      <c r="O442" t="s">
        <v>6487</v>
      </c>
      <c r="P442" t="s">
        <v>1477</v>
      </c>
      <c r="Q442" t="s">
        <v>932</v>
      </c>
      <c r="T442" t="s">
        <v>319</v>
      </c>
      <c r="U442" t="s">
        <v>816</v>
      </c>
      <c r="W442">
        <v>7110</v>
      </c>
      <c r="X442">
        <v>0</v>
      </c>
      <c r="Z442">
        <v>1</v>
      </c>
      <c r="AA442" s="31">
        <v>46050</v>
      </c>
      <c r="AB442" s="61">
        <v>0.72538194444444448</v>
      </c>
      <c r="AC442" t="s">
        <v>818</v>
      </c>
      <c r="AD442" s="31">
        <v>46051</v>
      </c>
      <c r="AE442" s="61">
        <v>0.38591435185185191</v>
      </c>
      <c r="AH442" t="s">
        <v>4509</v>
      </c>
      <c r="AK442" t="s">
        <v>4509</v>
      </c>
      <c r="AQ442">
        <v>1</v>
      </c>
    </row>
    <row r="443" spans="1:43" hidden="1" x14ac:dyDescent="0.3">
      <c r="A443" t="s">
        <v>31</v>
      </c>
      <c r="B443">
        <v>880</v>
      </c>
      <c r="D443">
        <v>3194</v>
      </c>
      <c r="E443" t="s">
        <v>4640</v>
      </c>
      <c r="G443" t="s">
        <v>4511</v>
      </c>
      <c r="H443">
        <v>55585815000171</v>
      </c>
      <c r="J443" t="s">
        <v>914</v>
      </c>
      <c r="K443" t="s">
        <v>4181</v>
      </c>
      <c r="M443" t="s">
        <v>4182</v>
      </c>
      <c r="S443" t="s">
        <v>1419</v>
      </c>
      <c r="T443" t="s">
        <v>319</v>
      </c>
      <c r="U443" t="s">
        <v>3417</v>
      </c>
      <c r="W443">
        <v>8100</v>
      </c>
      <c r="X443">
        <v>1080</v>
      </c>
      <c r="Z443">
        <v>89</v>
      </c>
      <c r="AA443" s="31">
        <v>46051</v>
      </c>
      <c r="AB443" s="61">
        <v>0.41949074074074072</v>
      </c>
      <c r="AC443" t="s">
        <v>795</v>
      </c>
      <c r="AD443" s="31">
        <v>46140</v>
      </c>
      <c r="AE443" s="61">
        <v>0.51998842592592598</v>
      </c>
      <c r="AF443" t="s">
        <v>796</v>
      </c>
      <c r="AH443" t="s">
        <v>4512</v>
      </c>
      <c r="AI443" t="s">
        <v>4407</v>
      </c>
      <c r="AK443" t="s">
        <v>5847</v>
      </c>
      <c r="AL443" t="s">
        <v>1423</v>
      </c>
      <c r="AQ443">
        <v>1</v>
      </c>
    </row>
    <row r="444" spans="1:43" hidden="1" x14ac:dyDescent="0.3">
      <c r="A444" t="s">
        <v>31</v>
      </c>
      <c r="B444">
        <v>881</v>
      </c>
      <c r="C444">
        <v>0</v>
      </c>
      <c r="D444">
        <v>3195</v>
      </c>
      <c r="E444" t="s">
        <v>6522</v>
      </c>
      <c r="G444" t="s">
        <v>428</v>
      </c>
      <c r="H444">
        <v>55585815000171</v>
      </c>
      <c r="J444" t="s">
        <v>914</v>
      </c>
      <c r="K444" t="s">
        <v>4181</v>
      </c>
      <c r="M444" t="s">
        <v>4182</v>
      </c>
      <c r="S444" t="s">
        <v>1718</v>
      </c>
      <c r="T444" t="s">
        <v>319</v>
      </c>
      <c r="U444" t="s">
        <v>3417</v>
      </c>
      <c r="W444">
        <v>8400</v>
      </c>
      <c r="X444">
        <v>0</v>
      </c>
      <c r="Z444">
        <v>89</v>
      </c>
      <c r="AA444" s="31">
        <v>46051</v>
      </c>
      <c r="AB444" s="61">
        <v>0.42379629629629628</v>
      </c>
      <c r="AC444" t="s">
        <v>795</v>
      </c>
      <c r="AD444" s="31">
        <v>46140</v>
      </c>
      <c r="AE444" s="61">
        <v>0.52084490740740741</v>
      </c>
      <c r="AF444" t="s">
        <v>796</v>
      </c>
      <c r="AH444" t="s">
        <v>403</v>
      </c>
      <c r="AI444" t="s">
        <v>4407</v>
      </c>
      <c r="AJ444" t="s">
        <v>4517</v>
      </c>
      <c r="AK444" t="s">
        <v>5847</v>
      </c>
      <c r="AL444" t="s">
        <v>2119</v>
      </c>
      <c r="AP444" t="s">
        <v>54</v>
      </c>
      <c r="AQ444">
        <v>1</v>
      </c>
    </row>
    <row r="445" spans="1:43" hidden="1" x14ac:dyDescent="0.3">
      <c r="A445" t="s">
        <v>31</v>
      </c>
      <c r="B445">
        <v>896</v>
      </c>
      <c r="C445">
        <v>181</v>
      </c>
      <c r="D445">
        <v>3212</v>
      </c>
      <c r="E445" t="s">
        <v>4642</v>
      </c>
      <c r="G445" t="s">
        <v>435</v>
      </c>
      <c r="H445">
        <v>43204189000147</v>
      </c>
      <c r="I445" t="s">
        <v>3612</v>
      </c>
      <c r="J445" t="s">
        <v>990</v>
      </c>
      <c r="K445" t="s">
        <v>3613</v>
      </c>
      <c r="M445" t="s">
        <v>3614</v>
      </c>
      <c r="O445" t="s">
        <v>6461</v>
      </c>
      <c r="P445" t="s">
        <v>3616</v>
      </c>
      <c r="Q445" t="s">
        <v>790</v>
      </c>
      <c r="T445" t="s">
        <v>319</v>
      </c>
      <c r="U445" t="s">
        <v>816</v>
      </c>
      <c r="W445">
        <v>1512</v>
      </c>
      <c r="X445">
        <v>0</v>
      </c>
      <c r="Z445">
        <v>0</v>
      </c>
      <c r="AA445" s="31">
        <v>46055</v>
      </c>
      <c r="AB445" s="61">
        <v>0.4690509259259259</v>
      </c>
      <c r="AC445" t="s">
        <v>818</v>
      </c>
      <c r="AD445" s="31">
        <v>46055</v>
      </c>
      <c r="AE445" s="61">
        <v>0.47340277777777778</v>
      </c>
      <c r="AH445" t="s">
        <v>436</v>
      </c>
      <c r="AI445" t="s">
        <v>436</v>
      </c>
      <c r="AK445" t="s">
        <v>436</v>
      </c>
      <c r="AQ445">
        <v>1</v>
      </c>
    </row>
    <row r="446" spans="1:43" hidden="1" x14ac:dyDescent="0.3">
      <c r="A446" t="s">
        <v>31</v>
      </c>
      <c r="B446">
        <v>897</v>
      </c>
      <c r="C446">
        <v>133</v>
      </c>
      <c r="D446">
        <v>3213</v>
      </c>
      <c r="E446" t="s">
        <v>6523</v>
      </c>
      <c r="G446" t="s">
        <v>443</v>
      </c>
      <c r="H446">
        <v>9517464000144</v>
      </c>
      <c r="I446" t="s">
        <v>625</v>
      </c>
      <c r="J446" t="s">
        <v>4541</v>
      </c>
      <c r="K446" t="s">
        <v>3584</v>
      </c>
      <c r="M446" t="s">
        <v>2207</v>
      </c>
      <c r="S446" t="s">
        <v>1419</v>
      </c>
      <c r="T446" t="s">
        <v>319</v>
      </c>
      <c r="U446" t="s">
        <v>3417</v>
      </c>
      <c r="W446">
        <v>13100</v>
      </c>
      <c r="X446">
        <v>1900</v>
      </c>
      <c r="Z446">
        <v>72</v>
      </c>
      <c r="AA446" s="31">
        <v>46055</v>
      </c>
      <c r="AB446" s="61">
        <v>0.48864583333333328</v>
      </c>
      <c r="AC446" t="s">
        <v>795</v>
      </c>
      <c r="AD446" s="31">
        <v>46127</v>
      </c>
      <c r="AE446" s="61">
        <v>0.71645833333333331</v>
      </c>
      <c r="AF446" t="s">
        <v>796</v>
      </c>
      <c r="AH446" t="s">
        <v>436</v>
      </c>
      <c r="AI446" t="s">
        <v>436</v>
      </c>
      <c r="AK446" t="s">
        <v>5866</v>
      </c>
      <c r="AL446" t="s">
        <v>1423</v>
      </c>
      <c r="AP446" t="s">
        <v>69</v>
      </c>
      <c r="AQ446">
        <v>1</v>
      </c>
    </row>
    <row r="447" spans="1:43" hidden="1" x14ac:dyDescent="0.3">
      <c r="A447" t="s">
        <v>31</v>
      </c>
      <c r="B447">
        <v>899</v>
      </c>
      <c r="C447">
        <v>210</v>
      </c>
      <c r="D447">
        <v>3215</v>
      </c>
      <c r="E447" t="s">
        <v>4645</v>
      </c>
      <c r="G447" t="s">
        <v>476</v>
      </c>
      <c r="H447">
        <v>51781567000183</v>
      </c>
      <c r="I447" t="s">
        <v>3886</v>
      </c>
      <c r="J447" t="s">
        <v>1804</v>
      </c>
      <c r="K447" t="s">
        <v>3887</v>
      </c>
      <c r="M447" t="s">
        <v>3888</v>
      </c>
      <c r="O447" t="s">
        <v>6492</v>
      </c>
      <c r="P447" t="s">
        <v>3890</v>
      </c>
      <c r="Q447" t="s">
        <v>932</v>
      </c>
      <c r="S447" t="s">
        <v>1718</v>
      </c>
      <c r="T447" t="s">
        <v>319</v>
      </c>
      <c r="U447" t="s">
        <v>816</v>
      </c>
      <c r="W447">
        <v>8100</v>
      </c>
      <c r="X447">
        <v>1080</v>
      </c>
      <c r="Z447">
        <v>29</v>
      </c>
      <c r="AA447" s="31">
        <v>46056</v>
      </c>
      <c r="AB447" s="61">
        <v>0.85563657407407412</v>
      </c>
      <c r="AC447" t="s">
        <v>795</v>
      </c>
      <c r="AD447" s="31">
        <v>46085</v>
      </c>
      <c r="AE447" s="61">
        <v>0.72565972222222219</v>
      </c>
      <c r="AF447" t="s">
        <v>867</v>
      </c>
      <c r="AI447" t="s">
        <v>382</v>
      </c>
      <c r="AK447" t="s">
        <v>4603</v>
      </c>
      <c r="AL447" t="s">
        <v>2119</v>
      </c>
      <c r="AP447" t="s">
        <v>52</v>
      </c>
      <c r="AQ447">
        <v>1</v>
      </c>
    </row>
    <row r="448" spans="1:43" hidden="1" x14ac:dyDescent="0.3">
      <c r="A448" t="s">
        <v>31</v>
      </c>
      <c r="B448">
        <v>904</v>
      </c>
      <c r="D448">
        <v>3221</v>
      </c>
      <c r="E448" t="s">
        <v>6524</v>
      </c>
      <c r="G448" t="s">
        <v>448</v>
      </c>
      <c r="H448">
        <v>10303813000104</v>
      </c>
      <c r="J448" t="s">
        <v>4555</v>
      </c>
      <c r="K448" t="s">
        <v>4556</v>
      </c>
      <c r="M448" t="s">
        <v>4384</v>
      </c>
      <c r="S448" t="s">
        <v>1704</v>
      </c>
      <c r="T448" t="s">
        <v>319</v>
      </c>
      <c r="U448" t="s">
        <v>816</v>
      </c>
      <c r="W448">
        <v>0</v>
      </c>
      <c r="X448">
        <v>575</v>
      </c>
      <c r="Z448">
        <v>6</v>
      </c>
      <c r="AA448" s="31">
        <v>46058</v>
      </c>
      <c r="AB448" s="61">
        <v>0.38868055555555547</v>
      </c>
      <c r="AC448" t="s">
        <v>818</v>
      </c>
      <c r="AD448" s="31">
        <v>46064</v>
      </c>
      <c r="AE448" s="61">
        <v>0.37197916666666669</v>
      </c>
      <c r="AH448" t="s">
        <v>449</v>
      </c>
      <c r="AI448" t="s">
        <v>4559</v>
      </c>
      <c r="AK448" t="s">
        <v>449</v>
      </c>
      <c r="AL448" t="s">
        <v>1970</v>
      </c>
      <c r="AQ448">
        <v>1</v>
      </c>
    </row>
    <row r="449" spans="1:43" hidden="1" x14ac:dyDescent="0.3">
      <c r="A449" t="s">
        <v>31</v>
      </c>
      <c r="B449">
        <v>905</v>
      </c>
      <c r="C449">
        <v>147</v>
      </c>
      <c r="D449">
        <v>3223</v>
      </c>
      <c r="G449" t="s">
        <v>456</v>
      </c>
      <c r="H449">
        <v>7964558000136</v>
      </c>
      <c r="I449" t="s">
        <v>3430</v>
      </c>
      <c r="J449" t="s">
        <v>3431</v>
      </c>
      <c r="K449" t="s">
        <v>3515</v>
      </c>
      <c r="M449" t="s">
        <v>3433</v>
      </c>
      <c r="S449" t="s">
        <v>1718</v>
      </c>
      <c r="T449" t="s">
        <v>319</v>
      </c>
      <c r="U449" t="s">
        <v>3417</v>
      </c>
      <c r="W449">
        <v>1680</v>
      </c>
      <c r="X449">
        <v>7128</v>
      </c>
      <c r="Z449">
        <v>18</v>
      </c>
      <c r="AA449" s="31">
        <v>46058</v>
      </c>
      <c r="AB449" s="61">
        <v>0.47660879629629632</v>
      </c>
      <c r="AC449" t="s">
        <v>795</v>
      </c>
      <c r="AD449" s="31">
        <v>46076</v>
      </c>
      <c r="AE449" s="61">
        <v>0.71887731481481476</v>
      </c>
      <c r="AF449" t="s">
        <v>796</v>
      </c>
      <c r="AH449" t="s">
        <v>449</v>
      </c>
      <c r="AI449" t="s">
        <v>4559</v>
      </c>
      <c r="AK449" t="s">
        <v>449</v>
      </c>
      <c r="AL449" t="s">
        <v>2119</v>
      </c>
      <c r="AQ449">
        <v>1</v>
      </c>
    </row>
    <row r="450" spans="1:43" hidden="1" x14ac:dyDescent="0.3">
      <c r="A450" t="s">
        <v>31</v>
      </c>
      <c r="B450">
        <v>910</v>
      </c>
      <c r="D450">
        <v>3246</v>
      </c>
      <c r="E450" t="s">
        <v>4560</v>
      </c>
      <c r="G450" t="s">
        <v>4561</v>
      </c>
      <c r="H450">
        <v>55585815000171</v>
      </c>
      <c r="J450" t="s">
        <v>914</v>
      </c>
      <c r="K450" t="s">
        <v>4181</v>
      </c>
      <c r="M450" t="s">
        <v>4182</v>
      </c>
      <c r="T450" t="s">
        <v>319</v>
      </c>
      <c r="U450" t="s">
        <v>3606</v>
      </c>
      <c r="Z450">
        <v>76</v>
      </c>
      <c r="AA450" s="31">
        <v>46064</v>
      </c>
      <c r="AB450" s="61">
        <v>0.4114814814814815</v>
      </c>
      <c r="AC450" t="s">
        <v>795</v>
      </c>
      <c r="AD450" s="31">
        <v>46140</v>
      </c>
      <c r="AE450" s="61">
        <v>0.52303240740740742</v>
      </c>
      <c r="AF450" t="s">
        <v>796</v>
      </c>
      <c r="AI450" t="s">
        <v>463</v>
      </c>
      <c r="AK450" t="s">
        <v>5847</v>
      </c>
      <c r="AL450" t="s">
        <v>2119</v>
      </c>
      <c r="AP450" t="s">
        <v>2922</v>
      </c>
      <c r="AQ450">
        <v>1</v>
      </c>
    </row>
    <row r="451" spans="1:43" hidden="1" x14ac:dyDescent="0.3">
      <c r="A451" t="s">
        <v>31</v>
      </c>
      <c r="B451">
        <v>911</v>
      </c>
      <c r="D451">
        <v>3247</v>
      </c>
      <c r="E451" t="s">
        <v>4647</v>
      </c>
      <c r="G451" t="s">
        <v>4191</v>
      </c>
      <c r="H451">
        <v>49119936000125</v>
      </c>
      <c r="J451" t="s">
        <v>4565</v>
      </c>
      <c r="K451" t="s">
        <v>4193</v>
      </c>
      <c r="M451" t="s">
        <v>4096</v>
      </c>
      <c r="T451" t="s">
        <v>319</v>
      </c>
      <c r="U451" t="s">
        <v>3417</v>
      </c>
      <c r="W451">
        <v>13100</v>
      </c>
      <c r="X451">
        <v>1700</v>
      </c>
      <c r="Z451">
        <v>98</v>
      </c>
      <c r="AA451" s="31">
        <v>46064</v>
      </c>
      <c r="AB451" s="61">
        <v>0.41498842592592589</v>
      </c>
      <c r="AC451" t="s">
        <v>782</v>
      </c>
      <c r="AD451" s="31"/>
      <c r="AE451" s="61"/>
      <c r="AH451" t="s">
        <v>463</v>
      </c>
      <c r="AI451" t="s">
        <v>403</v>
      </c>
      <c r="AJ451" t="s">
        <v>458</v>
      </c>
      <c r="AK451" t="s">
        <v>4612</v>
      </c>
      <c r="AL451" t="s">
        <v>2119</v>
      </c>
      <c r="AP451" t="s">
        <v>69</v>
      </c>
      <c r="AQ451">
        <v>1</v>
      </c>
    </row>
    <row r="452" spans="1:43" hidden="1" x14ac:dyDescent="0.3">
      <c r="A452" t="s">
        <v>31</v>
      </c>
      <c r="B452">
        <v>913</v>
      </c>
      <c r="C452">
        <v>173</v>
      </c>
      <c r="D452">
        <v>3251</v>
      </c>
      <c r="E452" t="s">
        <v>6525</v>
      </c>
      <c r="G452" t="s">
        <v>468</v>
      </c>
      <c r="H452">
        <v>27914031000104</v>
      </c>
      <c r="I452" t="s">
        <v>3495</v>
      </c>
      <c r="J452" t="s">
        <v>3496</v>
      </c>
      <c r="K452" t="s">
        <v>3497</v>
      </c>
      <c r="M452" t="s">
        <v>3498</v>
      </c>
      <c r="O452" t="s">
        <v>6446</v>
      </c>
      <c r="P452" t="s">
        <v>2489</v>
      </c>
      <c r="Q452" t="s">
        <v>790</v>
      </c>
      <c r="T452" t="s">
        <v>319</v>
      </c>
      <c r="U452" t="s">
        <v>3417</v>
      </c>
      <c r="W452">
        <v>1680</v>
      </c>
      <c r="X452">
        <v>7128</v>
      </c>
      <c r="Z452">
        <v>48</v>
      </c>
      <c r="AA452" s="31">
        <v>46064</v>
      </c>
      <c r="AB452" s="61">
        <v>0.42258101851851848</v>
      </c>
      <c r="AC452" t="s">
        <v>795</v>
      </c>
      <c r="AD452" s="31">
        <v>46112</v>
      </c>
      <c r="AE452" s="61">
        <v>0.66119212962962959</v>
      </c>
      <c r="AF452" t="s">
        <v>796</v>
      </c>
      <c r="AH452" t="s">
        <v>449</v>
      </c>
      <c r="AI452" t="s">
        <v>449</v>
      </c>
      <c r="AK452" t="s">
        <v>4649</v>
      </c>
      <c r="AL452" t="s">
        <v>2119</v>
      </c>
      <c r="AP452" t="s">
        <v>2605</v>
      </c>
      <c r="AQ452">
        <v>1</v>
      </c>
    </row>
    <row r="453" spans="1:43" hidden="1" x14ac:dyDescent="0.3">
      <c r="A453" t="s">
        <v>31</v>
      </c>
      <c r="B453">
        <v>914</v>
      </c>
      <c r="C453">
        <v>147</v>
      </c>
      <c r="D453">
        <v>3252</v>
      </c>
      <c r="E453" t="s">
        <v>4571</v>
      </c>
      <c r="G453" t="s">
        <v>473</v>
      </c>
      <c r="H453">
        <v>7964558000136</v>
      </c>
      <c r="I453" t="s">
        <v>3430</v>
      </c>
      <c r="J453" t="s">
        <v>3431</v>
      </c>
      <c r="K453" t="s">
        <v>3515</v>
      </c>
      <c r="M453" t="s">
        <v>3433</v>
      </c>
      <c r="T453" t="s">
        <v>319</v>
      </c>
      <c r="U453" t="s">
        <v>3417</v>
      </c>
      <c r="W453">
        <v>1680</v>
      </c>
      <c r="X453">
        <v>7128</v>
      </c>
      <c r="Z453">
        <v>63</v>
      </c>
      <c r="AA453" s="31">
        <v>46064</v>
      </c>
      <c r="AB453" s="61">
        <v>0.42469907407407409</v>
      </c>
      <c r="AC453" t="s">
        <v>795</v>
      </c>
      <c r="AD453" s="31">
        <v>46127</v>
      </c>
      <c r="AE453" s="61">
        <v>0.72184027777777782</v>
      </c>
      <c r="AF453" t="s">
        <v>796</v>
      </c>
      <c r="AH453" t="s">
        <v>403</v>
      </c>
      <c r="AI453" t="s">
        <v>4572</v>
      </c>
      <c r="AK453" t="s">
        <v>5866</v>
      </c>
      <c r="AL453" t="s">
        <v>2119</v>
      </c>
      <c r="AP453" t="s">
        <v>2605</v>
      </c>
      <c r="AQ453">
        <v>1</v>
      </c>
    </row>
    <row r="454" spans="1:43" hidden="1" x14ac:dyDescent="0.3">
      <c r="A454" t="s">
        <v>31</v>
      </c>
      <c r="B454">
        <v>916</v>
      </c>
      <c r="C454">
        <v>196</v>
      </c>
      <c r="D454">
        <v>3254</v>
      </c>
      <c r="E454" t="s">
        <v>6526</v>
      </c>
      <c r="G454" t="s">
        <v>478</v>
      </c>
      <c r="H454">
        <v>32494222000102</v>
      </c>
      <c r="I454" t="s">
        <v>3715</v>
      </c>
      <c r="J454" t="s">
        <v>3716</v>
      </c>
      <c r="K454" t="s">
        <v>3717</v>
      </c>
      <c r="M454" t="s">
        <v>3718</v>
      </c>
      <c r="O454" t="s">
        <v>6471</v>
      </c>
      <c r="P454" t="s">
        <v>3720</v>
      </c>
      <c r="Q454" t="s">
        <v>790</v>
      </c>
      <c r="T454" t="s">
        <v>319</v>
      </c>
      <c r="U454" t="s">
        <v>3417</v>
      </c>
      <c r="W454">
        <v>8100</v>
      </c>
      <c r="X454">
        <v>1080</v>
      </c>
      <c r="Z454">
        <v>63</v>
      </c>
      <c r="AA454" s="31">
        <v>46064</v>
      </c>
      <c r="AB454" s="61">
        <v>0.45479166666666659</v>
      </c>
      <c r="AC454" t="s">
        <v>795</v>
      </c>
      <c r="AD454" s="31">
        <v>46127</v>
      </c>
      <c r="AE454" s="61">
        <v>0.71711805555555552</v>
      </c>
      <c r="AF454" t="s">
        <v>796</v>
      </c>
      <c r="AH454" t="s">
        <v>463</v>
      </c>
      <c r="AI454" t="s">
        <v>452</v>
      </c>
      <c r="AK454" t="s">
        <v>5866</v>
      </c>
      <c r="AL454" t="s">
        <v>2119</v>
      </c>
      <c r="AP454" t="s">
        <v>52</v>
      </c>
      <c r="AQ454">
        <v>1</v>
      </c>
    </row>
    <row r="455" spans="1:43" hidden="1" x14ac:dyDescent="0.3">
      <c r="A455" t="s">
        <v>31</v>
      </c>
      <c r="B455">
        <v>917</v>
      </c>
      <c r="C455">
        <v>196</v>
      </c>
      <c r="D455">
        <v>3255</v>
      </c>
      <c r="E455" t="s">
        <v>4651</v>
      </c>
      <c r="G455" t="s">
        <v>4577</v>
      </c>
      <c r="H455">
        <v>32494222000102</v>
      </c>
      <c r="I455" t="s">
        <v>3715</v>
      </c>
      <c r="J455" t="s">
        <v>3716</v>
      </c>
      <c r="K455" t="s">
        <v>3717</v>
      </c>
      <c r="M455" t="s">
        <v>3718</v>
      </c>
      <c r="O455" t="s">
        <v>6471</v>
      </c>
      <c r="P455" t="s">
        <v>3720</v>
      </c>
      <c r="Q455" t="s">
        <v>790</v>
      </c>
      <c r="T455" t="s">
        <v>319</v>
      </c>
      <c r="U455" t="s">
        <v>816</v>
      </c>
      <c r="W455">
        <v>9000</v>
      </c>
      <c r="X455">
        <v>0</v>
      </c>
      <c r="Z455">
        <v>15</v>
      </c>
      <c r="AA455" s="31">
        <v>46064</v>
      </c>
      <c r="AB455" s="61">
        <v>0.45805555555555549</v>
      </c>
      <c r="AC455" t="s">
        <v>818</v>
      </c>
      <c r="AD455" s="31">
        <v>46079</v>
      </c>
      <c r="AE455" s="61">
        <v>0.72291666666666665</v>
      </c>
      <c r="AH455" t="s">
        <v>484</v>
      </c>
      <c r="AI455" t="s">
        <v>452</v>
      </c>
      <c r="AK455" t="s">
        <v>4568</v>
      </c>
      <c r="AL455" t="s">
        <v>4580</v>
      </c>
      <c r="AP455" t="s">
        <v>4581</v>
      </c>
      <c r="AQ455">
        <v>1</v>
      </c>
    </row>
    <row r="456" spans="1:43" hidden="1" x14ac:dyDescent="0.3">
      <c r="A456" t="s">
        <v>31</v>
      </c>
      <c r="B456">
        <v>918</v>
      </c>
      <c r="C456">
        <v>196</v>
      </c>
      <c r="D456">
        <v>3256</v>
      </c>
      <c r="E456" t="s">
        <v>4652</v>
      </c>
      <c r="G456" t="s">
        <v>488</v>
      </c>
      <c r="H456">
        <v>32494222000102</v>
      </c>
      <c r="I456" t="s">
        <v>3715</v>
      </c>
      <c r="J456" t="s">
        <v>3716</v>
      </c>
      <c r="K456" t="s">
        <v>3717</v>
      </c>
      <c r="M456" t="s">
        <v>3718</v>
      </c>
      <c r="O456" t="s">
        <v>6471</v>
      </c>
      <c r="P456" t="s">
        <v>3720</v>
      </c>
      <c r="Q456" t="s">
        <v>790</v>
      </c>
      <c r="T456" t="s">
        <v>319</v>
      </c>
      <c r="U456" t="s">
        <v>3417</v>
      </c>
      <c r="W456">
        <v>1600</v>
      </c>
      <c r="X456">
        <v>31504</v>
      </c>
      <c r="Z456">
        <v>98</v>
      </c>
      <c r="AA456" s="31">
        <v>46064</v>
      </c>
      <c r="AB456" s="61">
        <v>0.4621527777777778</v>
      </c>
      <c r="AC456" t="s">
        <v>782</v>
      </c>
      <c r="AD456" s="31"/>
      <c r="AE456" s="61"/>
      <c r="AH456" t="s">
        <v>463</v>
      </c>
      <c r="AI456" t="s">
        <v>452</v>
      </c>
      <c r="AK456" t="s">
        <v>463</v>
      </c>
      <c r="AL456" t="s">
        <v>2119</v>
      </c>
      <c r="AP456" t="s">
        <v>53</v>
      </c>
      <c r="AQ456">
        <v>1</v>
      </c>
    </row>
    <row r="457" spans="1:43" hidden="1" x14ac:dyDescent="0.3">
      <c r="A457" t="s">
        <v>31</v>
      </c>
      <c r="B457">
        <v>939</v>
      </c>
      <c r="C457">
        <v>207</v>
      </c>
      <c r="D457">
        <v>3272</v>
      </c>
      <c r="E457" t="s">
        <v>4653</v>
      </c>
      <c r="G457" t="s">
        <v>492</v>
      </c>
      <c r="H457">
        <v>43609706000168</v>
      </c>
      <c r="I457" t="s">
        <v>3839</v>
      </c>
      <c r="J457" t="s">
        <v>1804</v>
      </c>
      <c r="K457" t="s">
        <v>3840</v>
      </c>
      <c r="M457" t="s">
        <v>3841</v>
      </c>
      <c r="O457" t="s">
        <v>6488</v>
      </c>
      <c r="P457" t="s">
        <v>3843</v>
      </c>
      <c r="Q457" t="s">
        <v>932</v>
      </c>
      <c r="T457" t="s">
        <v>319</v>
      </c>
      <c r="U457" t="s">
        <v>3417</v>
      </c>
      <c r="W457">
        <v>13100</v>
      </c>
      <c r="X457">
        <v>1700</v>
      </c>
      <c r="Z457">
        <v>57</v>
      </c>
      <c r="AA457" s="31">
        <v>46070</v>
      </c>
      <c r="AB457" s="61">
        <v>0.41354166666666659</v>
      </c>
      <c r="AC457" t="s">
        <v>795</v>
      </c>
      <c r="AD457" s="31">
        <v>46127</v>
      </c>
      <c r="AE457" s="61">
        <v>0.66509259259259257</v>
      </c>
      <c r="AF457" t="s">
        <v>796</v>
      </c>
      <c r="AH457" t="s">
        <v>493</v>
      </c>
      <c r="AK457" t="s">
        <v>5866</v>
      </c>
      <c r="AL457" t="s">
        <v>2119</v>
      </c>
      <c r="AP457" t="s">
        <v>69</v>
      </c>
      <c r="AQ457">
        <v>1</v>
      </c>
    </row>
    <row r="458" spans="1:43" hidden="1" x14ac:dyDescent="0.3">
      <c r="A458" t="s">
        <v>31</v>
      </c>
      <c r="B458">
        <v>940</v>
      </c>
      <c r="C458">
        <v>170</v>
      </c>
      <c r="D458">
        <v>3273</v>
      </c>
      <c r="G458" t="s">
        <v>496</v>
      </c>
      <c r="H458">
        <v>4150555001304</v>
      </c>
      <c r="I458" t="s">
        <v>3477</v>
      </c>
      <c r="J458" t="s">
        <v>4585</v>
      </c>
      <c r="K458" t="s">
        <v>3569</v>
      </c>
      <c r="M458" t="s">
        <v>3480</v>
      </c>
      <c r="O458" t="s">
        <v>6444</v>
      </c>
      <c r="P458" t="s">
        <v>3482</v>
      </c>
      <c r="Q458" t="s">
        <v>1699</v>
      </c>
      <c r="T458" t="s">
        <v>319</v>
      </c>
      <c r="U458" t="s">
        <v>816</v>
      </c>
      <c r="W458">
        <v>1512</v>
      </c>
      <c r="X458">
        <v>0</v>
      </c>
      <c r="Z458">
        <v>8</v>
      </c>
      <c r="AA458" s="31">
        <v>46070</v>
      </c>
      <c r="AB458" s="61">
        <v>0.41755787037037029</v>
      </c>
      <c r="AC458" t="s">
        <v>818</v>
      </c>
      <c r="AD458" s="31">
        <v>46078</v>
      </c>
      <c r="AE458" s="61">
        <v>0.65865740740740741</v>
      </c>
      <c r="AH458" t="s">
        <v>497</v>
      </c>
      <c r="AK458" t="s">
        <v>480</v>
      </c>
      <c r="AL458" t="s">
        <v>2119</v>
      </c>
      <c r="AP458" t="s">
        <v>318</v>
      </c>
      <c r="AQ458">
        <v>1</v>
      </c>
    </row>
    <row r="459" spans="1:43" hidden="1" x14ac:dyDescent="0.3">
      <c r="A459" t="s">
        <v>31</v>
      </c>
      <c r="B459">
        <v>941</v>
      </c>
      <c r="C459">
        <v>181</v>
      </c>
      <c r="D459">
        <v>3274</v>
      </c>
      <c r="E459" t="s">
        <v>6527</v>
      </c>
      <c r="G459" t="s">
        <v>499</v>
      </c>
      <c r="H459">
        <v>43204189000147</v>
      </c>
      <c r="I459" t="s">
        <v>3612</v>
      </c>
      <c r="J459" t="s">
        <v>990</v>
      </c>
      <c r="K459" t="s">
        <v>3613</v>
      </c>
      <c r="M459" t="s">
        <v>3614</v>
      </c>
      <c r="O459" t="s">
        <v>6461</v>
      </c>
      <c r="P459" t="s">
        <v>3616</v>
      </c>
      <c r="Q459" t="s">
        <v>790</v>
      </c>
      <c r="T459" t="s">
        <v>319</v>
      </c>
      <c r="U459" t="s">
        <v>3417</v>
      </c>
      <c r="W459">
        <v>1600</v>
      </c>
      <c r="X459">
        <v>384454</v>
      </c>
      <c r="Z459">
        <v>22</v>
      </c>
      <c r="AA459" s="31">
        <v>46070</v>
      </c>
      <c r="AB459" s="61">
        <v>0.42311342592592588</v>
      </c>
      <c r="AC459" t="s">
        <v>795</v>
      </c>
      <c r="AD459" s="31">
        <v>46092</v>
      </c>
      <c r="AE459" s="61">
        <v>0.48651620370370369</v>
      </c>
      <c r="AF459" t="s">
        <v>867</v>
      </c>
      <c r="AH459" t="s">
        <v>500</v>
      </c>
      <c r="AI459" t="s">
        <v>480</v>
      </c>
      <c r="AK459" t="s">
        <v>480</v>
      </c>
      <c r="AL459" t="s">
        <v>2119</v>
      </c>
      <c r="AP459" t="s">
        <v>53</v>
      </c>
      <c r="AQ459">
        <v>1</v>
      </c>
    </row>
    <row r="460" spans="1:43" hidden="1" x14ac:dyDescent="0.3">
      <c r="A460" t="s">
        <v>31</v>
      </c>
      <c r="B460">
        <v>942</v>
      </c>
      <c r="C460">
        <v>103</v>
      </c>
      <c r="D460">
        <v>3275</v>
      </c>
      <c r="E460" t="s">
        <v>4586</v>
      </c>
      <c r="G460" t="s">
        <v>4587</v>
      </c>
      <c r="H460">
        <v>12549273000179</v>
      </c>
      <c r="I460" t="s">
        <v>3309</v>
      </c>
      <c r="J460" t="s">
        <v>1804</v>
      </c>
      <c r="M460" t="s">
        <v>3312</v>
      </c>
      <c r="O460" t="s">
        <v>6441</v>
      </c>
      <c r="P460" t="s">
        <v>1596</v>
      </c>
      <c r="Q460" t="s">
        <v>790</v>
      </c>
      <c r="T460" t="s">
        <v>319</v>
      </c>
      <c r="U460" t="s">
        <v>3606</v>
      </c>
      <c r="Z460">
        <v>92</v>
      </c>
      <c r="AA460" s="31">
        <v>46070</v>
      </c>
      <c r="AB460" s="61">
        <v>0.43594907407407413</v>
      </c>
      <c r="AC460" t="s">
        <v>782</v>
      </c>
      <c r="AD460" s="31"/>
      <c r="AE460" s="61"/>
      <c r="AI460" t="s">
        <v>497</v>
      </c>
      <c r="AK460" t="s">
        <v>497</v>
      </c>
      <c r="AL460" t="s">
        <v>2119</v>
      </c>
      <c r="AP460" t="s">
        <v>2922</v>
      </c>
      <c r="AQ460">
        <v>1</v>
      </c>
    </row>
    <row r="461" spans="1:43" hidden="1" x14ac:dyDescent="0.3">
      <c r="A461" t="s">
        <v>31</v>
      </c>
      <c r="B461">
        <v>943</v>
      </c>
      <c r="C461">
        <v>149</v>
      </c>
      <c r="D461">
        <v>3276</v>
      </c>
      <c r="G461" t="s">
        <v>502</v>
      </c>
      <c r="H461">
        <v>12418196000118</v>
      </c>
      <c r="I461" t="s">
        <v>3645</v>
      </c>
      <c r="J461" t="s">
        <v>844</v>
      </c>
      <c r="K461" t="s">
        <v>3647</v>
      </c>
      <c r="M461" t="s">
        <v>3648</v>
      </c>
      <c r="T461" t="s">
        <v>319</v>
      </c>
      <c r="U461" t="s">
        <v>816</v>
      </c>
      <c r="W461">
        <v>8400</v>
      </c>
      <c r="X461">
        <v>0</v>
      </c>
      <c r="Z461">
        <v>8</v>
      </c>
      <c r="AA461" s="31">
        <v>46070</v>
      </c>
      <c r="AB461" s="61">
        <v>0.6010416666666667</v>
      </c>
      <c r="AC461" t="s">
        <v>818</v>
      </c>
      <c r="AD461" s="31">
        <v>46078</v>
      </c>
      <c r="AE461" s="61">
        <v>0.68366898148148147</v>
      </c>
      <c r="AH461" t="s">
        <v>497</v>
      </c>
      <c r="AI461" t="s">
        <v>480</v>
      </c>
      <c r="AK461" t="s">
        <v>380</v>
      </c>
      <c r="AL461" t="s">
        <v>2119</v>
      </c>
      <c r="AP461" t="s">
        <v>318</v>
      </c>
      <c r="AQ461">
        <v>1</v>
      </c>
    </row>
    <row r="462" spans="1:43" hidden="1" x14ac:dyDescent="0.3">
      <c r="A462" t="s">
        <v>31</v>
      </c>
      <c r="B462">
        <v>944</v>
      </c>
      <c r="C462">
        <v>149</v>
      </c>
      <c r="D462">
        <v>3277</v>
      </c>
      <c r="E462" t="s">
        <v>4589</v>
      </c>
      <c r="G462" t="s">
        <v>504</v>
      </c>
      <c r="H462">
        <v>12418196000118</v>
      </c>
      <c r="I462" t="s">
        <v>3645</v>
      </c>
      <c r="J462" t="s">
        <v>844</v>
      </c>
      <c r="K462" t="s">
        <v>3647</v>
      </c>
      <c r="M462" t="s">
        <v>3648</v>
      </c>
      <c r="T462" t="s">
        <v>319</v>
      </c>
      <c r="U462" t="s">
        <v>3417</v>
      </c>
      <c r="W462">
        <v>1680</v>
      </c>
      <c r="X462">
        <v>0</v>
      </c>
      <c r="Z462">
        <v>2</v>
      </c>
      <c r="AA462" s="31">
        <v>46070</v>
      </c>
      <c r="AB462" s="61">
        <v>0.63858796296296294</v>
      </c>
      <c r="AC462" t="s">
        <v>795</v>
      </c>
      <c r="AD462" s="31">
        <v>46072</v>
      </c>
      <c r="AE462" s="61">
        <v>0.46702546296296299</v>
      </c>
      <c r="AF462" t="s">
        <v>796</v>
      </c>
      <c r="AH462" t="s">
        <v>497</v>
      </c>
      <c r="AI462" t="s">
        <v>480</v>
      </c>
      <c r="AK462" t="s">
        <v>497</v>
      </c>
      <c r="AL462" t="s">
        <v>2119</v>
      </c>
      <c r="AP462" t="s">
        <v>318</v>
      </c>
      <c r="AQ462">
        <v>1</v>
      </c>
    </row>
    <row r="463" spans="1:43" hidden="1" x14ac:dyDescent="0.3">
      <c r="A463" t="s">
        <v>31</v>
      </c>
      <c r="B463">
        <v>947</v>
      </c>
      <c r="C463">
        <v>194</v>
      </c>
      <c r="D463">
        <v>3281</v>
      </c>
      <c r="E463" t="s">
        <v>4590</v>
      </c>
      <c r="G463" t="s">
        <v>506</v>
      </c>
      <c r="H463">
        <v>44580314000186</v>
      </c>
      <c r="I463" t="s">
        <v>3682</v>
      </c>
      <c r="J463" t="s">
        <v>4411</v>
      </c>
      <c r="K463" t="s">
        <v>4591</v>
      </c>
      <c r="M463" t="s">
        <v>3685</v>
      </c>
      <c r="O463" t="s">
        <v>6469</v>
      </c>
      <c r="P463" t="s">
        <v>3687</v>
      </c>
      <c r="Q463" t="s">
        <v>790</v>
      </c>
      <c r="T463" t="s">
        <v>319</v>
      </c>
      <c r="U463" t="s">
        <v>816</v>
      </c>
      <c r="W463">
        <v>3024</v>
      </c>
      <c r="X463">
        <v>1080</v>
      </c>
      <c r="Z463">
        <v>56</v>
      </c>
      <c r="AA463" s="31">
        <v>46071</v>
      </c>
      <c r="AB463" s="61">
        <v>0.39603009259259259</v>
      </c>
      <c r="AC463" t="s">
        <v>795</v>
      </c>
      <c r="AD463" s="31">
        <v>46127</v>
      </c>
      <c r="AE463" s="61">
        <v>0.62123842592592593</v>
      </c>
      <c r="AF463" t="s">
        <v>796</v>
      </c>
      <c r="AH463" t="s">
        <v>507</v>
      </c>
      <c r="AI463" t="s">
        <v>480</v>
      </c>
      <c r="AK463" t="s">
        <v>507</v>
      </c>
      <c r="AL463" t="s">
        <v>1423</v>
      </c>
      <c r="AP463" t="s">
        <v>52</v>
      </c>
      <c r="AQ463">
        <v>1</v>
      </c>
    </row>
    <row r="464" spans="1:43" x14ac:dyDescent="0.3">
      <c r="A464" t="s">
        <v>31</v>
      </c>
      <c r="B464">
        <v>954</v>
      </c>
      <c r="C464">
        <v>159</v>
      </c>
      <c r="D464">
        <v>3285</v>
      </c>
      <c r="E464" t="s">
        <v>4656</v>
      </c>
      <c r="G464" t="s">
        <v>255</v>
      </c>
      <c r="H464">
        <v>43526090000161</v>
      </c>
      <c r="I464" t="s">
        <v>913</v>
      </c>
      <c r="J464" t="s">
        <v>6528</v>
      </c>
      <c r="K464" t="s">
        <v>4155</v>
      </c>
      <c r="M464" t="s">
        <v>916</v>
      </c>
      <c r="P464" t="s">
        <v>909</v>
      </c>
      <c r="Q464" t="s">
        <v>790</v>
      </c>
      <c r="T464" t="s">
        <v>319</v>
      </c>
      <c r="U464" t="s">
        <v>816</v>
      </c>
      <c r="W464">
        <v>8100</v>
      </c>
      <c r="X464">
        <v>1080</v>
      </c>
      <c r="Z464">
        <v>90</v>
      </c>
      <c r="AA464" s="31">
        <v>46072</v>
      </c>
      <c r="AB464" s="61">
        <v>0.67166666666666663</v>
      </c>
      <c r="AC464" t="s">
        <v>782</v>
      </c>
      <c r="AD464" s="31"/>
      <c r="AE464" s="61"/>
      <c r="AH464" t="s">
        <v>5691</v>
      </c>
      <c r="AI464" t="s">
        <v>393</v>
      </c>
      <c r="AK464" t="s">
        <v>6162</v>
      </c>
      <c r="AL464" t="s">
        <v>2119</v>
      </c>
      <c r="AP464" t="s">
        <v>4659</v>
      </c>
      <c r="AQ464">
        <v>1</v>
      </c>
    </row>
    <row r="465" spans="1:43" hidden="1" x14ac:dyDescent="0.3">
      <c r="A465" t="s">
        <v>31</v>
      </c>
      <c r="B465">
        <v>955</v>
      </c>
      <c r="D465">
        <v>3289</v>
      </c>
      <c r="E465" t="s">
        <v>4660</v>
      </c>
      <c r="G465" t="s">
        <v>508</v>
      </c>
      <c r="H465">
        <v>11119066000111</v>
      </c>
      <c r="J465" t="s">
        <v>4661</v>
      </c>
      <c r="K465" t="s">
        <v>4662</v>
      </c>
      <c r="M465" t="s">
        <v>4470</v>
      </c>
      <c r="T465" t="s">
        <v>319</v>
      </c>
      <c r="U465" t="s">
        <v>816</v>
      </c>
      <c r="W465">
        <v>420</v>
      </c>
      <c r="X465">
        <v>3564</v>
      </c>
      <c r="Z465">
        <v>6</v>
      </c>
      <c r="AA465" s="31">
        <v>46073</v>
      </c>
      <c r="AB465" s="61">
        <v>0.52296296296296296</v>
      </c>
      <c r="AC465" t="s">
        <v>818</v>
      </c>
      <c r="AD465" s="31">
        <v>46079</v>
      </c>
      <c r="AE465" s="61">
        <v>0.72277777777777774</v>
      </c>
      <c r="AH465" t="s">
        <v>401</v>
      </c>
      <c r="AI465" t="s">
        <v>401</v>
      </c>
      <c r="AK465" t="s">
        <v>401</v>
      </c>
      <c r="AL465" t="s">
        <v>2119</v>
      </c>
      <c r="AP465" t="s">
        <v>2605</v>
      </c>
      <c r="AQ465">
        <v>1</v>
      </c>
    </row>
    <row r="466" spans="1:43" hidden="1" x14ac:dyDescent="0.3">
      <c r="A466" t="s">
        <v>31</v>
      </c>
      <c r="B466">
        <v>957</v>
      </c>
      <c r="C466">
        <v>186</v>
      </c>
      <c r="D466">
        <v>3291</v>
      </c>
      <c r="E466" t="s">
        <v>4663</v>
      </c>
      <c r="G466" t="s">
        <v>482</v>
      </c>
      <c r="H466">
        <v>10899939000193</v>
      </c>
      <c r="I466" t="s">
        <v>3625</v>
      </c>
      <c r="J466" t="s">
        <v>704</v>
      </c>
      <c r="K466" t="s">
        <v>3626</v>
      </c>
      <c r="M466" t="s">
        <v>3627</v>
      </c>
      <c r="O466" t="s">
        <v>6463</v>
      </c>
      <c r="P466" t="s">
        <v>3629</v>
      </c>
      <c r="Q466" t="s">
        <v>932</v>
      </c>
      <c r="T466" t="s">
        <v>319</v>
      </c>
      <c r="U466" t="s">
        <v>3417</v>
      </c>
      <c r="W466">
        <v>13100</v>
      </c>
      <c r="X466">
        <v>1700</v>
      </c>
      <c r="Z466">
        <v>89</v>
      </c>
      <c r="AA466" s="31">
        <v>46073</v>
      </c>
      <c r="AB466" s="61">
        <v>0.73730324074074072</v>
      </c>
      <c r="AC466" t="s">
        <v>782</v>
      </c>
      <c r="AD466" s="31"/>
      <c r="AE466" s="61"/>
      <c r="AH466" t="s">
        <v>4664</v>
      </c>
      <c r="AI466" t="s">
        <v>4664</v>
      </c>
      <c r="AK466" t="s">
        <v>5866</v>
      </c>
      <c r="AL466" t="s">
        <v>2119</v>
      </c>
      <c r="AP466" t="s">
        <v>69</v>
      </c>
      <c r="AQ466">
        <v>1</v>
      </c>
    </row>
    <row r="467" spans="1:43" hidden="1" x14ac:dyDescent="0.3">
      <c r="A467" t="s">
        <v>31</v>
      </c>
      <c r="B467">
        <v>958</v>
      </c>
      <c r="C467">
        <v>142</v>
      </c>
      <c r="D467">
        <v>3292</v>
      </c>
      <c r="E467" t="s">
        <v>4666</v>
      </c>
      <c r="G467" t="s">
        <v>509</v>
      </c>
      <c r="H467">
        <v>1101123000181</v>
      </c>
      <c r="I467" t="s">
        <v>3397</v>
      </c>
      <c r="J467" t="s">
        <v>2610</v>
      </c>
      <c r="K467" t="s">
        <v>3698</v>
      </c>
      <c r="M467" t="s">
        <v>3399</v>
      </c>
      <c r="P467" t="s">
        <v>3400</v>
      </c>
      <c r="Q467" t="s">
        <v>1699</v>
      </c>
      <c r="T467" t="s">
        <v>319</v>
      </c>
      <c r="U467" t="s">
        <v>3417</v>
      </c>
      <c r="W467">
        <v>32400</v>
      </c>
      <c r="X467">
        <v>14256</v>
      </c>
      <c r="Z467">
        <v>11</v>
      </c>
      <c r="AA467" s="31">
        <v>46073</v>
      </c>
      <c r="AB467" s="61">
        <v>0.74099537037037033</v>
      </c>
      <c r="AC467" t="s">
        <v>795</v>
      </c>
      <c r="AD467" s="31">
        <v>46084</v>
      </c>
      <c r="AE467" s="61">
        <v>0.525787037037037</v>
      </c>
      <c r="AF467" t="s">
        <v>867</v>
      </c>
      <c r="AH467" t="s">
        <v>401</v>
      </c>
      <c r="AI467" t="s">
        <v>401</v>
      </c>
      <c r="AK467" t="s">
        <v>401</v>
      </c>
      <c r="AL467" t="s">
        <v>2119</v>
      </c>
      <c r="AP467" t="s">
        <v>2605</v>
      </c>
      <c r="AQ467">
        <v>1</v>
      </c>
    </row>
    <row r="468" spans="1:43" hidden="1" x14ac:dyDescent="0.3">
      <c r="A468" t="s">
        <v>31</v>
      </c>
      <c r="B468">
        <v>970</v>
      </c>
      <c r="C468">
        <v>0</v>
      </c>
      <c r="D468">
        <v>3307</v>
      </c>
      <c r="E468" t="s">
        <v>4667</v>
      </c>
      <c r="G468" t="s">
        <v>466</v>
      </c>
      <c r="H468">
        <v>9023754000131</v>
      </c>
      <c r="J468" t="s">
        <v>4360</v>
      </c>
      <c r="K468" t="s">
        <v>4361</v>
      </c>
      <c r="M468" t="s">
        <v>4362</v>
      </c>
      <c r="T468" t="s">
        <v>319</v>
      </c>
      <c r="U468" t="s">
        <v>816</v>
      </c>
      <c r="W468">
        <v>0</v>
      </c>
      <c r="X468">
        <v>3000</v>
      </c>
      <c r="Z468">
        <v>84</v>
      </c>
      <c r="AA468" s="31">
        <v>46078</v>
      </c>
      <c r="AB468" s="61">
        <v>0.41778935185185179</v>
      </c>
      <c r="AC468" t="s">
        <v>782</v>
      </c>
      <c r="AD468" s="31"/>
      <c r="AE468" s="61"/>
      <c r="AH468" t="s">
        <v>4668</v>
      </c>
      <c r="AI468" t="s">
        <v>4669</v>
      </c>
      <c r="AK468" t="s">
        <v>4664</v>
      </c>
      <c r="AL468" t="s">
        <v>2119</v>
      </c>
      <c r="AP468" t="s">
        <v>2605</v>
      </c>
      <c r="AQ468">
        <v>1</v>
      </c>
    </row>
    <row r="469" spans="1:43" hidden="1" x14ac:dyDescent="0.3">
      <c r="A469" t="s">
        <v>31</v>
      </c>
      <c r="B469">
        <v>975</v>
      </c>
      <c r="C469">
        <v>190</v>
      </c>
      <c r="D469">
        <v>3313</v>
      </c>
      <c r="G469" t="s">
        <v>510</v>
      </c>
      <c r="H469">
        <v>18203215000175</v>
      </c>
      <c r="I469" t="s">
        <v>3690</v>
      </c>
      <c r="J469" t="s">
        <v>4670</v>
      </c>
      <c r="K469" t="s">
        <v>3692</v>
      </c>
      <c r="M469" t="s">
        <v>3693</v>
      </c>
      <c r="O469" t="s">
        <v>6470</v>
      </c>
      <c r="P469" t="s">
        <v>3695</v>
      </c>
      <c r="Q469" t="s">
        <v>790</v>
      </c>
      <c r="T469" t="s">
        <v>319</v>
      </c>
      <c r="U469" t="s">
        <v>816</v>
      </c>
      <c r="W469">
        <v>1680</v>
      </c>
      <c r="X469">
        <v>3564</v>
      </c>
      <c r="Z469">
        <v>20</v>
      </c>
      <c r="AA469" s="31">
        <v>46079</v>
      </c>
      <c r="AB469" s="61">
        <v>0.52194444444444443</v>
      </c>
      <c r="AC469" t="s">
        <v>818</v>
      </c>
      <c r="AD469" s="31">
        <v>46099</v>
      </c>
      <c r="AE469" s="61">
        <v>0.62033564814814812</v>
      </c>
      <c r="AH469" t="s">
        <v>511</v>
      </c>
      <c r="AI469" t="s">
        <v>511</v>
      </c>
      <c r="AK469" t="s">
        <v>395</v>
      </c>
      <c r="AL469" t="s">
        <v>2119</v>
      </c>
      <c r="AP469" t="s">
        <v>2605</v>
      </c>
      <c r="AQ469">
        <v>1</v>
      </c>
    </row>
    <row r="470" spans="1:43" hidden="1" x14ac:dyDescent="0.3">
      <c r="A470" t="s">
        <v>31</v>
      </c>
      <c r="B470">
        <v>986</v>
      </c>
      <c r="C470">
        <v>147</v>
      </c>
      <c r="D470">
        <v>3333</v>
      </c>
      <c r="G470" t="s">
        <v>4671</v>
      </c>
      <c r="H470">
        <v>7964558000136</v>
      </c>
      <c r="I470" t="s">
        <v>3430</v>
      </c>
      <c r="J470" t="s">
        <v>3679</v>
      </c>
      <c r="K470" t="s">
        <v>3515</v>
      </c>
      <c r="M470" t="s">
        <v>3433</v>
      </c>
      <c r="T470" t="s">
        <v>319</v>
      </c>
      <c r="U470" t="s">
        <v>3417</v>
      </c>
      <c r="W470">
        <v>6000</v>
      </c>
      <c r="X470">
        <v>2000</v>
      </c>
      <c r="Z470">
        <v>82</v>
      </c>
      <c r="AA470" s="31">
        <v>46080</v>
      </c>
      <c r="AB470" s="61">
        <v>0.66025462962962966</v>
      </c>
      <c r="AC470" t="s">
        <v>782</v>
      </c>
      <c r="AD470" s="31"/>
      <c r="AE470" s="61"/>
      <c r="AH470" t="s">
        <v>5866</v>
      </c>
      <c r="AI470" t="s">
        <v>4672</v>
      </c>
      <c r="AK470" t="s">
        <v>5866</v>
      </c>
      <c r="AL470" t="s">
        <v>2119</v>
      </c>
      <c r="AP470" t="s">
        <v>2922</v>
      </c>
      <c r="AQ470">
        <v>1</v>
      </c>
    </row>
    <row r="471" spans="1:43" hidden="1" x14ac:dyDescent="0.3">
      <c r="A471" t="s">
        <v>31</v>
      </c>
      <c r="B471">
        <v>988</v>
      </c>
      <c r="C471">
        <v>0</v>
      </c>
      <c r="D471">
        <v>3336</v>
      </c>
      <c r="G471" t="s">
        <v>4673</v>
      </c>
      <c r="H471">
        <v>40082701000131</v>
      </c>
      <c r="J471" t="s">
        <v>4674</v>
      </c>
      <c r="K471" t="s">
        <v>1531</v>
      </c>
      <c r="M471" t="s">
        <v>1532</v>
      </c>
      <c r="T471" t="s">
        <v>319</v>
      </c>
      <c r="U471" t="s">
        <v>781</v>
      </c>
      <c r="Z471">
        <v>14</v>
      </c>
      <c r="AA471" s="31">
        <v>46084</v>
      </c>
      <c r="AB471" s="61">
        <v>0.65028935185185188</v>
      </c>
      <c r="AC471" t="s">
        <v>795</v>
      </c>
      <c r="AD471" s="31">
        <v>46098</v>
      </c>
      <c r="AE471" s="61">
        <v>0.71456018518518516</v>
      </c>
      <c r="AF471" t="s">
        <v>796</v>
      </c>
      <c r="AK471" t="s">
        <v>4675</v>
      </c>
      <c r="AL471" t="s">
        <v>2119</v>
      </c>
      <c r="AP471" t="s">
        <v>321</v>
      </c>
      <c r="AQ471">
        <v>1</v>
      </c>
    </row>
    <row r="472" spans="1:43" hidden="1" x14ac:dyDescent="0.3">
      <c r="A472" t="s">
        <v>31</v>
      </c>
      <c r="B472">
        <v>989</v>
      </c>
      <c r="C472">
        <v>154</v>
      </c>
      <c r="D472">
        <v>3337</v>
      </c>
      <c r="E472" t="s">
        <v>6529</v>
      </c>
      <c r="G472" t="s">
        <v>486</v>
      </c>
      <c r="H472">
        <v>790751000159</v>
      </c>
      <c r="I472" t="s">
        <v>3456</v>
      </c>
      <c r="J472" t="s">
        <v>1540</v>
      </c>
      <c r="K472" t="s">
        <v>3580</v>
      </c>
      <c r="M472" t="s">
        <v>3459</v>
      </c>
      <c r="T472" t="s">
        <v>319</v>
      </c>
      <c r="U472" t="s">
        <v>3417</v>
      </c>
      <c r="W472">
        <v>6000</v>
      </c>
      <c r="X472">
        <v>2000</v>
      </c>
      <c r="Z472">
        <v>78</v>
      </c>
      <c r="AA472" s="31">
        <v>46084</v>
      </c>
      <c r="AB472" s="61">
        <v>0.69407407407407407</v>
      </c>
      <c r="AC472" t="s">
        <v>782</v>
      </c>
      <c r="AD472" s="31"/>
      <c r="AE472" s="61"/>
      <c r="AH472" t="s">
        <v>4675</v>
      </c>
      <c r="AI472" t="s">
        <v>4675</v>
      </c>
      <c r="AK472" t="s">
        <v>5866</v>
      </c>
      <c r="AL472" t="s">
        <v>2119</v>
      </c>
      <c r="AP472" t="s">
        <v>2922</v>
      </c>
      <c r="AQ472">
        <v>1</v>
      </c>
    </row>
    <row r="473" spans="1:43" hidden="1" x14ac:dyDescent="0.3">
      <c r="A473" t="s">
        <v>31</v>
      </c>
      <c r="B473">
        <v>992</v>
      </c>
      <c r="C473">
        <v>170</v>
      </c>
      <c r="D473">
        <v>3340</v>
      </c>
      <c r="G473" t="s">
        <v>460</v>
      </c>
      <c r="H473">
        <v>4150555001304</v>
      </c>
      <c r="I473" t="s">
        <v>3477</v>
      </c>
      <c r="J473" t="s">
        <v>3477</v>
      </c>
      <c r="K473" t="s">
        <v>3569</v>
      </c>
      <c r="M473" t="s">
        <v>3480</v>
      </c>
      <c r="O473" t="s">
        <v>6444</v>
      </c>
      <c r="P473" t="s">
        <v>3482</v>
      </c>
      <c r="Q473" t="s">
        <v>1699</v>
      </c>
      <c r="T473" t="s">
        <v>319</v>
      </c>
      <c r="U473" t="s">
        <v>816</v>
      </c>
      <c r="W473">
        <v>74718</v>
      </c>
      <c r="X473">
        <v>0</v>
      </c>
      <c r="Z473">
        <v>13</v>
      </c>
      <c r="AA473" s="31">
        <v>46085</v>
      </c>
      <c r="AB473" s="61">
        <v>0.71363425925925927</v>
      </c>
      <c r="AC473" t="s">
        <v>818</v>
      </c>
      <c r="AD473" s="31">
        <v>46098</v>
      </c>
      <c r="AE473" s="61">
        <v>0.46490740740740738</v>
      </c>
      <c r="AH473" t="s">
        <v>4677</v>
      </c>
      <c r="AK473" t="s">
        <v>4677</v>
      </c>
      <c r="AL473" t="s">
        <v>5718</v>
      </c>
      <c r="AP473" t="s">
        <v>2605</v>
      </c>
      <c r="AQ473">
        <v>1</v>
      </c>
    </row>
    <row r="474" spans="1:43" hidden="1" x14ac:dyDescent="0.3">
      <c r="A474" t="s">
        <v>31</v>
      </c>
      <c r="B474">
        <v>998</v>
      </c>
      <c r="C474">
        <v>129</v>
      </c>
      <c r="D474">
        <v>3359</v>
      </c>
      <c r="E474" t="s">
        <v>6530</v>
      </c>
      <c r="G474" t="s">
        <v>490</v>
      </c>
      <c r="H474">
        <v>2867917000113</v>
      </c>
      <c r="I474" t="s">
        <v>679</v>
      </c>
      <c r="J474" t="s">
        <v>679</v>
      </c>
      <c r="K474" t="s">
        <v>3537</v>
      </c>
      <c r="M474" t="s">
        <v>3366</v>
      </c>
      <c r="T474" t="s">
        <v>319</v>
      </c>
      <c r="U474" t="s">
        <v>3417</v>
      </c>
      <c r="W474">
        <v>1680</v>
      </c>
      <c r="X474">
        <v>3564</v>
      </c>
      <c r="Z474">
        <v>52</v>
      </c>
      <c r="AA474" s="31">
        <v>46090</v>
      </c>
      <c r="AB474" s="61">
        <v>0.72798611111111111</v>
      </c>
      <c r="AC474" t="s">
        <v>795</v>
      </c>
      <c r="AD474" s="31">
        <v>46142</v>
      </c>
      <c r="AE474" s="61">
        <v>0.75043981481481481</v>
      </c>
      <c r="AF474" t="s">
        <v>796</v>
      </c>
      <c r="AH474" t="s">
        <v>4679</v>
      </c>
      <c r="AI474" t="s">
        <v>4679</v>
      </c>
      <c r="AK474" t="s">
        <v>6531</v>
      </c>
      <c r="AL474" t="s">
        <v>2119</v>
      </c>
      <c r="AP474" t="s">
        <v>2605</v>
      </c>
      <c r="AQ474">
        <v>1</v>
      </c>
    </row>
    <row r="475" spans="1:43" hidden="1" x14ac:dyDescent="0.3">
      <c r="A475" t="s">
        <v>31</v>
      </c>
      <c r="B475">
        <v>1010</v>
      </c>
      <c r="C475">
        <v>141</v>
      </c>
      <c r="D475">
        <v>3366</v>
      </c>
      <c r="G475" t="s">
        <v>434</v>
      </c>
      <c r="I475" t="s">
        <v>434</v>
      </c>
      <c r="J475" t="s">
        <v>434</v>
      </c>
      <c r="K475" t="s">
        <v>4127</v>
      </c>
      <c r="M475" t="s">
        <v>3396</v>
      </c>
      <c r="T475" t="s">
        <v>319</v>
      </c>
      <c r="U475" t="s">
        <v>816</v>
      </c>
      <c r="W475">
        <v>1600</v>
      </c>
      <c r="X475">
        <v>34428</v>
      </c>
      <c r="Z475">
        <v>8</v>
      </c>
      <c r="AA475" s="31">
        <v>46092</v>
      </c>
      <c r="AB475" s="61">
        <v>0.47452546296296289</v>
      </c>
      <c r="AC475" t="s">
        <v>818</v>
      </c>
      <c r="AD475" s="31">
        <v>46100</v>
      </c>
      <c r="AE475" s="61">
        <v>0.6378935185185185</v>
      </c>
      <c r="AH475" t="s">
        <v>4680</v>
      </c>
      <c r="AK475" t="s">
        <v>4680</v>
      </c>
      <c r="AL475" t="s">
        <v>2119</v>
      </c>
      <c r="AP475" t="s">
        <v>53</v>
      </c>
      <c r="AQ475">
        <v>1</v>
      </c>
    </row>
    <row r="476" spans="1:43" hidden="1" x14ac:dyDescent="0.3">
      <c r="A476" t="s">
        <v>31</v>
      </c>
      <c r="B476">
        <v>1028</v>
      </c>
      <c r="D476">
        <v>3398</v>
      </c>
      <c r="G476" t="s">
        <v>471</v>
      </c>
      <c r="H476">
        <v>10303813000104</v>
      </c>
      <c r="J476" t="s">
        <v>1243</v>
      </c>
      <c r="K476" t="s">
        <v>4556</v>
      </c>
      <c r="M476" t="s">
        <v>4384</v>
      </c>
      <c r="T476" t="s">
        <v>319</v>
      </c>
      <c r="U476" t="s">
        <v>816</v>
      </c>
      <c r="W476">
        <v>2100</v>
      </c>
      <c r="X476">
        <v>0</v>
      </c>
      <c r="Z476">
        <v>0</v>
      </c>
      <c r="AA476" s="31">
        <v>46098</v>
      </c>
      <c r="AB476" s="61">
        <v>0.62350694444444443</v>
      </c>
      <c r="AC476" t="s">
        <v>818</v>
      </c>
      <c r="AD476" s="31">
        <v>46098</v>
      </c>
      <c r="AE476" s="61">
        <v>0.71381944444444445</v>
      </c>
      <c r="AH476" t="s">
        <v>4681</v>
      </c>
      <c r="AK476" t="s">
        <v>4682</v>
      </c>
      <c r="AL476" t="s">
        <v>4299</v>
      </c>
      <c r="AP476" t="s">
        <v>63</v>
      </c>
      <c r="AQ476">
        <v>1</v>
      </c>
    </row>
    <row r="477" spans="1:43" hidden="1" x14ac:dyDescent="0.3">
      <c r="A477" t="s">
        <v>31</v>
      </c>
      <c r="B477">
        <v>1036</v>
      </c>
      <c r="C477">
        <v>184</v>
      </c>
      <c r="D477">
        <v>3406</v>
      </c>
      <c r="E477" t="s">
        <v>6532</v>
      </c>
      <c r="G477" t="s">
        <v>453</v>
      </c>
      <c r="H477">
        <v>11861121000144</v>
      </c>
      <c r="I477" t="s">
        <v>3877</v>
      </c>
      <c r="J477" t="s">
        <v>3877</v>
      </c>
      <c r="K477" t="s">
        <v>3879</v>
      </c>
      <c r="M477" t="s">
        <v>3880</v>
      </c>
      <c r="O477" t="s">
        <v>6491</v>
      </c>
      <c r="P477" t="s">
        <v>1094</v>
      </c>
      <c r="Q477" t="s">
        <v>790</v>
      </c>
      <c r="T477" t="s">
        <v>319</v>
      </c>
      <c r="U477" t="s">
        <v>3417</v>
      </c>
      <c r="W477">
        <v>8100</v>
      </c>
      <c r="X477">
        <v>1080</v>
      </c>
      <c r="Z477">
        <v>34</v>
      </c>
      <c r="AA477" s="31">
        <v>46100</v>
      </c>
      <c r="AB477" s="61">
        <v>0.42835648148148148</v>
      </c>
      <c r="AC477" t="s">
        <v>795</v>
      </c>
      <c r="AD477" s="31">
        <v>46134</v>
      </c>
      <c r="AE477" s="61">
        <v>0.41387731481481482</v>
      </c>
      <c r="AF477" t="s">
        <v>796</v>
      </c>
      <c r="AH477" t="s">
        <v>4684</v>
      </c>
      <c r="AI477" t="s">
        <v>4684</v>
      </c>
      <c r="AJ477" t="s">
        <v>4649</v>
      </c>
      <c r="AK477" t="s">
        <v>6531</v>
      </c>
      <c r="AL477" t="s">
        <v>2119</v>
      </c>
      <c r="AP477" t="s">
        <v>52</v>
      </c>
      <c r="AQ477">
        <v>1</v>
      </c>
    </row>
    <row r="478" spans="1:43" hidden="1" x14ac:dyDescent="0.3">
      <c r="A478" t="s">
        <v>31</v>
      </c>
      <c r="B478">
        <v>1039</v>
      </c>
      <c r="C478">
        <v>97</v>
      </c>
      <c r="D478">
        <v>3407</v>
      </c>
      <c r="E478" t="s">
        <v>6533</v>
      </c>
      <c r="G478" t="s">
        <v>494</v>
      </c>
      <c r="H478">
        <v>22500484000170</v>
      </c>
      <c r="I478" t="s">
        <v>669</v>
      </c>
      <c r="J478" t="s">
        <v>669</v>
      </c>
      <c r="K478" t="s">
        <v>4035</v>
      </c>
      <c r="M478" t="s">
        <v>3294</v>
      </c>
      <c r="T478" t="s">
        <v>319</v>
      </c>
      <c r="U478" t="s">
        <v>816</v>
      </c>
      <c r="W478">
        <v>4200</v>
      </c>
      <c r="X478">
        <v>0</v>
      </c>
      <c r="Z478">
        <v>26</v>
      </c>
      <c r="AA478" s="31">
        <v>46100</v>
      </c>
      <c r="AB478" s="61">
        <v>0.68789351851851854</v>
      </c>
      <c r="AC478" t="s">
        <v>795</v>
      </c>
      <c r="AD478" s="31">
        <v>46126</v>
      </c>
      <c r="AE478" s="61">
        <v>0.70424768518518521</v>
      </c>
      <c r="AF478" t="s">
        <v>796</v>
      </c>
      <c r="AH478" t="s">
        <v>4684</v>
      </c>
      <c r="AK478" t="s">
        <v>4684</v>
      </c>
      <c r="AL478" t="s">
        <v>2119</v>
      </c>
      <c r="AP478" t="s">
        <v>318</v>
      </c>
      <c r="AQ478">
        <v>1</v>
      </c>
    </row>
    <row r="479" spans="1:43" hidden="1" x14ac:dyDescent="0.3">
      <c r="A479" t="s">
        <v>31</v>
      </c>
      <c r="B479">
        <v>1043</v>
      </c>
      <c r="C479">
        <v>149</v>
      </c>
      <c r="D479">
        <v>3415</v>
      </c>
      <c r="E479" t="s">
        <v>6534</v>
      </c>
      <c r="G479" t="s">
        <v>498</v>
      </c>
      <c r="H479">
        <v>12418196000118</v>
      </c>
      <c r="I479" t="s">
        <v>3645</v>
      </c>
      <c r="J479" t="s">
        <v>3645</v>
      </c>
      <c r="K479" t="s">
        <v>3647</v>
      </c>
      <c r="M479" t="s">
        <v>3648</v>
      </c>
      <c r="T479" t="s">
        <v>319</v>
      </c>
      <c r="U479" t="s">
        <v>3417</v>
      </c>
      <c r="W479">
        <v>25200</v>
      </c>
      <c r="X479">
        <v>104544</v>
      </c>
      <c r="Z479">
        <v>58</v>
      </c>
      <c r="AA479" s="31">
        <v>46104</v>
      </c>
      <c r="AB479" s="61">
        <v>0.45837962962962958</v>
      </c>
      <c r="AC479" t="s">
        <v>782</v>
      </c>
      <c r="AD479" s="31"/>
      <c r="AE479" s="61"/>
      <c r="AH479" t="s">
        <v>4687</v>
      </c>
      <c r="AK479" t="s">
        <v>4687</v>
      </c>
      <c r="AL479" t="s">
        <v>2119</v>
      </c>
      <c r="AM479" t="s">
        <v>6535</v>
      </c>
      <c r="AP479" t="s">
        <v>2605</v>
      </c>
      <c r="AQ479">
        <v>1</v>
      </c>
    </row>
    <row r="480" spans="1:43" hidden="1" x14ac:dyDescent="0.3">
      <c r="A480" t="s">
        <v>31</v>
      </c>
      <c r="B480">
        <v>1048</v>
      </c>
      <c r="C480">
        <v>137</v>
      </c>
      <c r="D480">
        <v>3418</v>
      </c>
      <c r="E480" t="s">
        <v>4688</v>
      </c>
      <c r="G480" t="s">
        <v>501</v>
      </c>
      <c r="I480" t="s">
        <v>116</v>
      </c>
      <c r="J480" t="s">
        <v>116</v>
      </c>
      <c r="K480" t="s">
        <v>3703</v>
      </c>
      <c r="M480" t="s">
        <v>3386</v>
      </c>
      <c r="T480" t="s">
        <v>319</v>
      </c>
      <c r="U480" t="s">
        <v>816</v>
      </c>
      <c r="W480">
        <v>0</v>
      </c>
      <c r="X480">
        <v>4752</v>
      </c>
      <c r="Z480">
        <v>8</v>
      </c>
      <c r="AA480" s="31">
        <v>46105</v>
      </c>
      <c r="AB480" s="61">
        <v>0.67633101851851851</v>
      </c>
      <c r="AC480" t="s">
        <v>818</v>
      </c>
      <c r="AD480" s="31">
        <v>46113</v>
      </c>
      <c r="AE480" s="61">
        <v>0.40630787037037042</v>
      </c>
      <c r="AH480" t="s">
        <v>4689</v>
      </c>
      <c r="AK480" t="s">
        <v>4649</v>
      </c>
      <c r="AL480" t="s">
        <v>2119</v>
      </c>
      <c r="AP480" t="s">
        <v>2605</v>
      </c>
      <c r="AQ480">
        <v>1</v>
      </c>
    </row>
    <row r="481" spans="1:43" hidden="1" x14ac:dyDescent="0.3">
      <c r="A481" t="s">
        <v>31</v>
      </c>
      <c r="B481">
        <v>1056</v>
      </c>
      <c r="C481">
        <v>210</v>
      </c>
      <c r="D481">
        <v>3431</v>
      </c>
      <c r="E481" t="s">
        <v>4690</v>
      </c>
      <c r="G481" t="s">
        <v>476</v>
      </c>
      <c r="H481">
        <v>51781567000183</v>
      </c>
      <c r="I481" t="s">
        <v>3886</v>
      </c>
      <c r="J481" t="s">
        <v>3886</v>
      </c>
      <c r="K481" t="s">
        <v>3887</v>
      </c>
      <c r="M481" t="s">
        <v>3888</v>
      </c>
      <c r="O481" t="s">
        <v>6492</v>
      </c>
      <c r="P481" t="s">
        <v>3890</v>
      </c>
      <c r="Q481" t="s">
        <v>932</v>
      </c>
      <c r="T481" t="s">
        <v>319</v>
      </c>
      <c r="U481" t="s">
        <v>816</v>
      </c>
      <c r="W481">
        <v>0</v>
      </c>
      <c r="X481">
        <v>1080</v>
      </c>
      <c r="Z481">
        <v>4</v>
      </c>
      <c r="AA481" s="31">
        <v>46108</v>
      </c>
      <c r="AB481" s="61">
        <v>0.6171875</v>
      </c>
      <c r="AC481" t="s">
        <v>818</v>
      </c>
      <c r="AD481" s="31">
        <v>46112</v>
      </c>
      <c r="AE481" s="61">
        <v>0.64339120370370373</v>
      </c>
      <c r="AH481" t="s">
        <v>4691</v>
      </c>
      <c r="AK481" t="s">
        <v>4691</v>
      </c>
      <c r="AL481" t="s">
        <v>2119</v>
      </c>
      <c r="AP481" t="s">
        <v>52</v>
      </c>
      <c r="AQ481">
        <v>1</v>
      </c>
    </row>
    <row r="482" spans="1:43" hidden="1" x14ac:dyDescent="0.3">
      <c r="A482" t="s">
        <v>31</v>
      </c>
      <c r="B482">
        <v>1057</v>
      </c>
      <c r="C482">
        <v>187</v>
      </c>
      <c r="D482">
        <v>3432</v>
      </c>
      <c r="E482" t="s">
        <v>6536</v>
      </c>
      <c r="G482" t="s">
        <v>439</v>
      </c>
      <c r="H482">
        <v>17063632000105</v>
      </c>
      <c r="I482" t="s">
        <v>3631</v>
      </c>
      <c r="J482" t="s">
        <v>3631</v>
      </c>
      <c r="K482" t="s">
        <v>3633</v>
      </c>
      <c r="M482" t="s">
        <v>3634</v>
      </c>
      <c r="O482" t="s">
        <v>6464</v>
      </c>
      <c r="P482" t="s">
        <v>3636</v>
      </c>
      <c r="Q482" t="s">
        <v>1699</v>
      </c>
      <c r="T482" t="s">
        <v>319</v>
      </c>
      <c r="U482" t="s">
        <v>816</v>
      </c>
      <c r="W482">
        <v>861975</v>
      </c>
      <c r="X482">
        <v>0</v>
      </c>
      <c r="Z482">
        <v>10</v>
      </c>
      <c r="AA482" s="31">
        <v>46108</v>
      </c>
      <c r="AB482" s="61">
        <v>0.63226851851851851</v>
      </c>
      <c r="AC482" t="s">
        <v>795</v>
      </c>
      <c r="AD482" s="31">
        <v>46118</v>
      </c>
      <c r="AE482" s="61">
        <v>0.69535879629629627</v>
      </c>
      <c r="AF482" t="s">
        <v>934</v>
      </c>
      <c r="AH482" t="s">
        <v>4691</v>
      </c>
      <c r="AK482" t="s">
        <v>4691</v>
      </c>
      <c r="AL482" t="s">
        <v>2119</v>
      </c>
      <c r="AP482" t="s">
        <v>2605</v>
      </c>
      <c r="AQ482">
        <v>1</v>
      </c>
    </row>
    <row r="483" spans="1:43" hidden="1" x14ac:dyDescent="0.3">
      <c r="A483" t="s">
        <v>31</v>
      </c>
      <c r="B483">
        <v>1058</v>
      </c>
      <c r="C483">
        <v>208</v>
      </c>
      <c r="D483">
        <v>3436</v>
      </c>
      <c r="E483" t="s">
        <v>4693</v>
      </c>
      <c r="G483" t="s">
        <v>503</v>
      </c>
      <c r="H483">
        <v>42830750000130</v>
      </c>
      <c r="I483" t="s">
        <v>3903</v>
      </c>
      <c r="J483" t="s">
        <v>3903</v>
      </c>
      <c r="K483" t="s">
        <v>3905</v>
      </c>
      <c r="M483" t="s">
        <v>4594</v>
      </c>
      <c r="O483" t="s">
        <v>6494</v>
      </c>
      <c r="P483" t="s">
        <v>1094</v>
      </c>
      <c r="Q483" t="s">
        <v>790</v>
      </c>
      <c r="T483" t="s">
        <v>319</v>
      </c>
      <c r="U483" t="s">
        <v>816</v>
      </c>
      <c r="W483">
        <v>1680</v>
      </c>
      <c r="X483">
        <v>7128</v>
      </c>
      <c r="Z483">
        <v>28</v>
      </c>
      <c r="AA483" s="31">
        <v>46108</v>
      </c>
      <c r="AB483" s="61">
        <v>0.6628356481481481</v>
      </c>
      <c r="AC483" t="s">
        <v>795</v>
      </c>
      <c r="AD483" s="31">
        <v>46136</v>
      </c>
      <c r="AE483" s="61">
        <v>0.42043981481481479</v>
      </c>
      <c r="AF483" t="s">
        <v>796</v>
      </c>
      <c r="AH483" t="s">
        <v>4691</v>
      </c>
      <c r="AK483" t="s">
        <v>6537</v>
      </c>
      <c r="AL483" t="s">
        <v>2119</v>
      </c>
      <c r="AP483" t="s">
        <v>2605</v>
      </c>
      <c r="AQ483">
        <v>1</v>
      </c>
    </row>
    <row r="484" spans="1:43" hidden="1" x14ac:dyDescent="0.3">
      <c r="A484" t="s">
        <v>31</v>
      </c>
      <c r="B484">
        <v>1070</v>
      </c>
      <c r="C484">
        <v>211</v>
      </c>
      <c r="D484">
        <v>3473</v>
      </c>
      <c r="E484" t="s">
        <v>6538</v>
      </c>
      <c r="G484" t="s">
        <v>505</v>
      </c>
      <c r="H484">
        <v>5691820000190</v>
      </c>
      <c r="I484" t="s">
        <v>3912</v>
      </c>
      <c r="J484" t="s">
        <v>3912</v>
      </c>
      <c r="K484" t="s">
        <v>3913</v>
      </c>
      <c r="M484" t="s">
        <v>3914</v>
      </c>
      <c r="O484" t="s">
        <v>6495</v>
      </c>
      <c r="P484" t="s">
        <v>1026</v>
      </c>
      <c r="Q484" t="s">
        <v>1027</v>
      </c>
      <c r="T484" t="s">
        <v>319</v>
      </c>
      <c r="U484" t="s">
        <v>816</v>
      </c>
      <c r="W484">
        <v>13100</v>
      </c>
      <c r="X484">
        <v>1700</v>
      </c>
      <c r="Z484">
        <v>20</v>
      </c>
      <c r="AA484" s="31">
        <v>46112</v>
      </c>
      <c r="AB484" s="61">
        <v>0.69315972222222222</v>
      </c>
      <c r="AC484" t="s">
        <v>818</v>
      </c>
      <c r="AD484" s="31">
        <v>46132</v>
      </c>
      <c r="AE484" s="61">
        <v>0.41349537037037037</v>
      </c>
      <c r="AH484" t="s">
        <v>4695</v>
      </c>
      <c r="AI484" t="s">
        <v>4695</v>
      </c>
      <c r="AK484" t="s">
        <v>4695</v>
      </c>
      <c r="AL484" t="s">
        <v>2119</v>
      </c>
      <c r="AP484" t="s">
        <v>69</v>
      </c>
      <c r="AQ484">
        <v>1</v>
      </c>
    </row>
    <row r="485" spans="1:43" hidden="1" x14ac:dyDescent="0.3">
      <c r="A485" t="s">
        <v>31</v>
      </c>
      <c r="B485">
        <v>1071</v>
      </c>
      <c r="C485">
        <v>185</v>
      </c>
      <c r="D485">
        <v>3475</v>
      </c>
      <c r="G485" t="s">
        <v>441</v>
      </c>
      <c r="H485">
        <v>51496785000176</v>
      </c>
      <c r="I485" t="s">
        <v>3599</v>
      </c>
      <c r="J485" t="s">
        <v>3599</v>
      </c>
      <c r="K485" t="s">
        <v>3601</v>
      </c>
      <c r="M485" t="s">
        <v>3602</v>
      </c>
      <c r="O485" t="s">
        <v>6460</v>
      </c>
      <c r="P485" t="s">
        <v>847</v>
      </c>
      <c r="Q485" t="s">
        <v>848</v>
      </c>
      <c r="T485" t="s">
        <v>319</v>
      </c>
      <c r="U485" t="s">
        <v>816</v>
      </c>
      <c r="Z485">
        <v>12</v>
      </c>
      <c r="AA485" s="31">
        <v>46113</v>
      </c>
      <c r="AB485" s="61">
        <v>0.4354513888888889</v>
      </c>
      <c r="AC485" t="s">
        <v>818</v>
      </c>
      <c r="AD485" s="31">
        <v>46125</v>
      </c>
      <c r="AE485" s="61">
        <v>0.49717592592592591</v>
      </c>
      <c r="AH485" t="s">
        <v>4696</v>
      </c>
      <c r="AI485" t="s">
        <v>4696</v>
      </c>
      <c r="AK485" t="s">
        <v>4696</v>
      </c>
      <c r="AL485" t="s">
        <v>2119</v>
      </c>
      <c r="AP485" t="s">
        <v>2605</v>
      </c>
      <c r="AQ485">
        <v>1</v>
      </c>
    </row>
    <row r="486" spans="1:43" hidden="1" x14ac:dyDescent="0.3">
      <c r="A486" t="s">
        <v>31</v>
      </c>
      <c r="B486">
        <v>1108</v>
      </c>
      <c r="C486">
        <v>107</v>
      </c>
      <c r="D486">
        <v>3537</v>
      </c>
      <c r="E486" t="s">
        <v>4697</v>
      </c>
      <c r="G486" t="s">
        <v>427</v>
      </c>
      <c r="H486">
        <v>7527737000297</v>
      </c>
      <c r="I486" t="s">
        <v>427</v>
      </c>
      <c r="J486" t="s">
        <v>427</v>
      </c>
      <c r="M486" t="s">
        <v>3320</v>
      </c>
      <c r="T486" t="s">
        <v>319</v>
      </c>
      <c r="U486" t="s">
        <v>816</v>
      </c>
      <c r="W486">
        <v>420</v>
      </c>
      <c r="X486">
        <v>3564</v>
      </c>
      <c r="Z486">
        <v>27</v>
      </c>
      <c r="AA486" s="31">
        <v>46126</v>
      </c>
      <c r="AB486" s="61">
        <v>0.65339120370370374</v>
      </c>
      <c r="AC486" t="s">
        <v>818</v>
      </c>
      <c r="AD486" s="31">
        <v>46153</v>
      </c>
      <c r="AE486" s="61">
        <v>0.47436342592592601</v>
      </c>
      <c r="AH486" t="s">
        <v>4698</v>
      </c>
      <c r="AI486" t="s">
        <v>4698</v>
      </c>
      <c r="AK486" t="s">
        <v>6539</v>
      </c>
      <c r="AL486" t="s">
        <v>2119</v>
      </c>
      <c r="AP486" t="s">
        <v>2605</v>
      </c>
      <c r="AQ486">
        <v>1</v>
      </c>
    </row>
    <row r="487" spans="1:43" hidden="1" x14ac:dyDescent="0.3">
      <c r="A487" t="s">
        <v>31</v>
      </c>
      <c r="B487">
        <v>1109</v>
      </c>
      <c r="C487">
        <v>190</v>
      </c>
      <c r="D487">
        <v>3538</v>
      </c>
      <c r="E487" t="s">
        <v>6540</v>
      </c>
      <c r="G487" t="s">
        <v>447</v>
      </c>
      <c r="H487">
        <v>18203215000175</v>
      </c>
      <c r="I487" t="s">
        <v>3690</v>
      </c>
      <c r="J487" t="s">
        <v>3690</v>
      </c>
      <c r="K487" t="s">
        <v>3692</v>
      </c>
      <c r="M487" t="s">
        <v>3693</v>
      </c>
      <c r="O487" t="s">
        <v>6470</v>
      </c>
      <c r="P487" t="s">
        <v>3695</v>
      </c>
      <c r="Q487" t="s">
        <v>790</v>
      </c>
      <c r="T487" t="s">
        <v>319</v>
      </c>
      <c r="U487" t="s">
        <v>3417</v>
      </c>
      <c r="W487">
        <v>6000</v>
      </c>
      <c r="X487">
        <v>2000</v>
      </c>
      <c r="Z487">
        <v>1</v>
      </c>
      <c r="AA487" s="31">
        <v>46126</v>
      </c>
      <c r="AB487" s="61">
        <v>0.65795138888888893</v>
      </c>
      <c r="AC487" t="s">
        <v>795</v>
      </c>
      <c r="AD487" s="31">
        <v>46127</v>
      </c>
      <c r="AE487" s="61">
        <v>0.53789351851851852</v>
      </c>
      <c r="AF487" t="s">
        <v>1358</v>
      </c>
      <c r="AH487" t="s">
        <v>4698</v>
      </c>
      <c r="AI487" t="s">
        <v>4698</v>
      </c>
      <c r="AK487" t="s">
        <v>4698</v>
      </c>
      <c r="AL487" t="s">
        <v>2119</v>
      </c>
      <c r="AP487" t="s">
        <v>2922</v>
      </c>
      <c r="AQ487">
        <v>1</v>
      </c>
    </row>
    <row r="488" spans="1:43" hidden="1" x14ac:dyDescent="0.3">
      <c r="A488" t="s">
        <v>31</v>
      </c>
      <c r="B488">
        <v>1110</v>
      </c>
      <c r="C488">
        <v>190</v>
      </c>
      <c r="D488">
        <v>3539</v>
      </c>
      <c r="E488" t="s">
        <v>4699</v>
      </c>
      <c r="G488" t="s">
        <v>3689</v>
      </c>
      <c r="H488">
        <v>18203215000175</v>
      </c>
      <c r="I488" t="s">
        <v>3690</v>
      </c>
      <c r="J488" t="s">
        <v>3690</v>
      </c>
      <c r="K488" t="s">
        <v>3692</v>
      </c>
      <c r="M488" t="s">
        <v>3693</v>
      </c>
      <c r="O488" t="s">
        <v>6470</v>
      </c>
      <c r="P488" t="s">
        <v>3695</v>
      </c>
      <c r="Q488" t="s">
        <v>790</v>
      </c>
      <c r="T488" t="s">
        <v>319</v>
      </c>
      <c r="U488" t="s">
        <v>3417</v>
      </c>
      <c r="W488">
        <v>8100</v>
      </c>
      <c r="X488">
        <v>1080</v>
      </c>
      <c r="Z488">
        <v>36</v>
      </c>
      <c r="AA488" s="31">
        <v>46126</v>
      </c>
      <c r="AB488" s="61">
        <v>0.65972222222222221</v>
      </c>
      <c r="AC488" t="s">
        <v>782</v>
      </c>
      <c r="AD488" s="31"/>
      <c r="AE488" s="61"/>
      <c r="AH488" t="s">
        <v>5866</v>
      </c>
      <c r="AI488" t="s">
        <v>5866</v>
      </c>
      <c r="AK488" t="s">
        <v>5729</v>
      </c>
      <c r="AL488" t="s">
        <v>2119</v>
      </c>
      <c r="AP488" t="s">
        <v>52</v>
      </c>
      <c r="AQ488">
        <v>1</v>
      </c>
    </row>
    <row r="489" spans="1:43" hidden="1" x14ac:dyDescent="0.3">
      <c r="A489" t="s">
        <v>31</v>
      </c>
      <c r="B489">
        <v>1111</v>
      </c>
      <c r="C489">
        <v>190</v>
      </c>
      <c r="D489">
        <v>3540</v>
      </c>
      <c r="E489" t="s">
        <v>4701</v>
      </c>
      <c r="G489" t="s">
        <v>4702</v>
      </c>
      <c r="H489">
        <v>18203215000175</v>
      </c>
      <c r="I489" t="s">
        <v>3690</v>
      </c>
      <c r="J489" t="s">
        <v>3690</v>
      </c>
      <c r="K489" t="s">
        <v>3692</v>
      </c>
      <c r="M489" t="s">
        <v>3693</v>
      </c>
      <c r="O489" t="s">
        <v>6470</v>
      </c>
      <c r="P489" t="s">
        <v>3695</v>
      </c>
      <c r="Q489" t="s">
        <v>790</v>
      </c>
      <c r="T489" t="s">
        <v>319</v>
      </c>
      <c r="U489" t="s">
        <v>816</v>
      </c>
      <c r="W489">
        <v>13020</v>
      </c>
      <c r="X489">
        <v>68904</v>
      </c>
      <c r="Z489">
        <v>29</v>
      </c>
      <c r="AA489" s="31">
        <v>46126</v>
      </c>
      <c r="AB489" s="61">
        <v>0.66122685185185182</v>
      </c>
      <c r="AC489" t="s">
        <v>818</v>
      </c>
      <c r="AD489" s="31">
        <v>46155</v>
      </c>
      <c r="AE489" s="61">
        <v>0.70854166666666663</v>
      </c>
      <c r="AH489" t="s">
        <v>6537</v>
      </c>
      <c r="AI489" t="s">
        <v>5865</v>
      </c>
      <c r="AK489" t="s">
        <v>5679</v>
      </c>
      <c r="AL489" t="s">
        <v>6541</v>
      </c>
      <c r="AP489" t="s">
        <v>2605</v>
      </c>
      <c r="AQ489">
        <v>1</v>
      </c>
    </row>
    <row r="490" spans="1:43" hidden="1" x14ac:dyDescent="0.3">
      <c r="A490" t="s">
        <v>31</v>
      </c>
      <c r="B490">
        <v>1112</v>
      </c>
      <c r="C490">
        <v>108</v>
      </c>
      <c r="D490">
        <v>3541</v>
      </c>
      <c r="G490" t="s">
        <v>455</v>
      </c>
      <c r="I490" t="s">
        <v>3321</v>
      </c>
      <c r="J490" t="s">
        <v>3321</v>
      </c>
      <c r="M490" t="s">
        <v>3322</v>
      </c>
      <c r="T490" t="s">
        <v>319</v>
      </c>
      <c r="U490" t="s">
        <v>3417</v>
      </c>
      <c r="W490">
        <v>6000</v>
      </c>
      <c r="X490">
        <v>2000</v>
      </c>
      <c r="Z490">
        <v>14</v>
      </c>
      <c r="AA490" s="31">
        <v>46126</v>
      </c>
      <c r="AB490" s="61">
        <v>0.66817129629629635</v>
      </c>
      <c r="AC490" t="s">
        <v>795</v>
      </c>
      <c r="AD490" s="31">
        <v>46140</v>
      </c>
      <c r="AE490" s="61">
        <v>0.52344907407407404</v>
      </c>
      <c r="AF490" t="s">
        <v>867</v>
      </c>
      <c r="AH490" t="s">
        <v>4698</v>
      </c>
      <c r="AI490" t="s">
        <v>4698</v>
      </c>
      <c r="AK490" t="s">
        <v>4698</v>
      </c>
      <c r="AL490" t="s">
        <v>2119</v>
      </c>
      <c r="AP490" t="s">
        <v>2922</v>
      </c>
      <c r="AQ490">
        <v>1</v>
      </c>
    </row>
    <row r="491" spans="1:43" hidden="1" x14ac:dyDescent="0.3">
      <c r="A491" t="s">
        <v>31</v>
      </c>
      <c r="B491">
        <v>1115</v>
      </c>
      <c r="C491">
        <v>141</v>
      </c>
      <c r="D491">
        <v>3550</v>
      </c>
      <c r="E491" t="s">
        <v>6542</v>
      </c>
      <c r="G491" t="s">
        <v>434</v>
      </c>
      <c r="I491" t="s">
        <v>434</v>
      </c>
      <c r="J491" t="s">
        <v>434</v>
      </c>
      <c r="K491" t="s">
        <v>4127</v>
      </c>
      <c r="M491" t="s">
        <v>3396</v>
      </c>
      <c r="T491" t="s">
        <v>319</v>
      </c>
      <c r="U491" t="s">
        <v>3417</v>
      </c>
      <c r="W491">
        <v>420</v>
      </c>
      <c r="X491">
        <v>0</v>
      </c>
      <c r="Z491">
        <v>9</v>
      </c>
      <c r="AA491" s="31">
        <v>46127</v>
      </c>
      <c r="AB491" s="61">
        <v>0.50359953703703708</v>
      </c>
      <c r="AC491" t="s">
        <v>795</v>
      </c>
      <c r="AD491" s="31">
        <v>46136</v>
      </c>
      <c r="AE491" s="61">
        <v>0.44840277777777782</v>
      </c>
      <c r="AF491" t="s">
        <v>796</v>
      </c>
      <c r="AH491" t="s">
        <v>4703</v>
      </c>
      <c r="AK491" t="s">
        <v>6537</v>
      </c>
      <c r="AL491" t="s">
        <v>2119</v>
      </c>
      <c r="AP491" t="s">
        <v>318</v>
      </c>
      <c r="AQ491">
        <v>1</v>
      </c>
    </row>
    <row r="492" spans="1:43" hidden="1" x14ac:dyDescent="0.3">
      <c r="A492" t="s">
        <v>31</v>
      </c>
      <c r="B492">
        <v>1118</v>
      </c>
      <c r="C492">
        <v>134</v>
      </c>
      <c r="D492">
        <v>3551</v>
      </c>
      <c r="G492" t="s">
        <v>6543</v>
      </c>
      <c r="I492" t="s">
        <v>3377</v>
      </c>
      <c r="J492" t="s">
        <v>3377</v>
      </c>
      <c r="K492" t="s">
        <v>3830</v>
      </c>
      <c r="M492" t="s">
        <v>3379</v>
      </c>
      <c r="T492" t="s">
        <v>319</v>
      </c>
      <c r="U492" t="s">
        <v>3417</v>
      </c>
      <c r="W492">
        <v>3360</v>
      </c>
      <c r="X492">
        <v>0</v>
      </c>
      <c r="Z492">
        <v>27</v>
      </c>
      <c r="AA492" s="31">
        <v>46127</v>
      </c>
      <c r="AB492" s="61">
        <v>0.66628472222222224</v>
      </c>
      <c r="AC492" t="s">
        <v>795</v>
      </c>
      <c r="AD492" s="31">
        <v>46154</v>
      </c>
      <c r="AE492" s="61">
        <v>0.73130787037037037</v>
      </c>
      <c r="AF492" t="s">
        <v>934</v>
      </c>
      <c r="AH492" t="s">
        <v>4703</v>
      </c>
      <c r="AK492" t="s">
        <v>5848</v>
      </c>
      <c r="AL492" t="s">
        <v>2119</v>
      </c>
      <c r="AP492" t="s">
        <v>318</v>
      </c>
      <c r="AQ492">
        <v>1</v>
      </c>
    </row>
    <row r="493" spans="1:43" hidden="1" x14ac:dyDescent="0.3">
      <c r="A493" t="s">
        <v>31</v>
      </c>
      <c r="B493">
        <v>1119</v>
      </c>
      <c r="C493">
        <v>208</v>
      </c>
      <c r="D493">
        <v>3554</v>
      </c>
      <c r="G493" t="s">
        <v>6544</v>
      </c>
      <c r="H493">
        <v>42830750000130</v>
      </c>
      <c r="I493" t="s">
        <v>3903</v>
      </c>
      <c r="J493" t="s">
        <v>3903</v>
      </c>
      <c r="K493" t="s">
        <v>6545</v>
      </c>
      <c r="M493" t="s">
        <v>4594</v>
      </c>
      <c r="O493" t="s">
        <v>6494</v>
      </c>
      <c r="P493" t="s">
        <v>1094</v>
      </c>
      <c r="Q493" t="s">
        <v>790</v>
      </c>
      <c r="T493" t="s">
        <v>319</v>
      </c>
      <c r="U493" t="s">
        <v>3417</v>
      </c>
      <c r="W493">
        <v>13100</v>
      </c>
      <c r="X493">
        <v>1700</v>
      </c>
      <c r="Z493">
        <v>34</v>
      </c>
      <c r="AA493" s="31">
        <v>46128</v>
      </c>
      <c r="AB493" s="61">
        <v>0.67996527777777782</v>
      </c>
      <c r="AC493" t="s">
        <v>782</v>
      </c>
      <c r="AD493" s="31"/>
      <c r="AE493" s="61"/>
      <c r="AH493" t="s">
        <v>6075</v>
      </c>
      <c r="AI493" t="s">
        <v>6075</v>
      </c>
      <c r="AK493" t="s">
        <v>6546</v>
      </c>
      <c r="AL493" t="s">
        <v>2119</v>
      </c>
      <c r="AP493" t="s">
        <v>69</v>
      </c>
      <c r="AQ493">
        <v>1</v>
      </c>
    </row>
    <row r="494" spans="1:43" hidden="1" x14ac:dyDescent="0.3">
      <c r="A494" t="s">
        <v>31</v>
      </c>
      <c r="B494">
        <v>1124</v>
      </c>
      <c r="C494">
        <v>149</v>
      </c>
      <c r="D494">
        <v>3572</v>
      </c>
      <c r="G494" t="s">
        <v>6547</v>
      </c>
      <c r="H494">
        <v>12418196000118</v>
      </c>
      <c r="I494" t="s">
        <v>3645</v>
      </c>
      <c r="J494" t="s">
        <v>3645</v>
      </c>
      <c r="K494" t="s">
        <v>3647</v>
      </c>
      <c r="M494" t="s">
        <v>3648</v>
      </c>
      <c r="T494" t="s">
        <v>319</v>
      </c>
      <c r="U494" t="s">
        <v>3417</v>
      </c>
      <c r="W494">
        <v>0</v>
      </c>
      <c r="X494">
        <v>5394</v>
      </c>
      <c r="Z494">
        <v>4</v>
      </c>
      <c r="AA494" s="31">
        <v>46132</v>
      </c>
      <c r="AB494" s="61">
        <v>0.48947916666666669</v>
      </c>
      <c r="AC494" t="s">
        <v>795</v>
      </c>
      <c r="AD494" s="31">
        <v>46136</v>
      </c>
      <c r="AE494" s="61">
        <v>0.63063657407407403</v>
      </c>
      <c r="AF494" t="s">
        <v>934</v>
      </c>
      <c r="AH494" t="s">
        <v>6548</v>
      </c>
      <c r="AK494" t="s">
        <v>6548</v>
      </c>
      <c r="AL494" t="s">
        <v>2119</v>
      </c>
      <c r="AP494" t="s">
        <v>2605</v>
      </c>
      <c r="AQ494">
        <v>1</v>
      </c>
    </row>
    <row r="495" spans="1:43" hidden="1" x14ac:dyDescent="0.3">
      <c r="A495" t="s">
        <v>31</v>
      </c>
      <c r="B495">
        <v>1125</v>
      </c>
      <c r="C495">
        <v>122</v>
      </c>
      <c r="D495">
        <v>3573</v>
      </c>
      <c r="G495" t="s">
        <v>6549</v>
      </c>
      <c r="I495" t="s">
        <v>680</v>
      </c>
      <c r="J495" t="s">
        <v>680</v>
      </c>
      <c r="K495" t="s">
        <v>3867</v>
      </c>
      <c r="M495" t="s">
        <v>3351</v>
      </c>
      <c r="T495" t="s">
        <v>319</v>
      </c>
      <c r="U495" t="s">
        <v>3417</v>
      </c>
      <c r="Z495">
        <v>30</v>
      </c>
      <c r="AA495" s="31">
        <v>46132</v>
      </c>
      <c r="AB495" s="61">
        <v>0.51258101851851856</v>
      </c>
      <c r="AC495" t="s">
        <v>782</v>
      </c>
      <c r="AD495" s="31"/>
      <c r="AE495" s="61"/>
      <c r="AH495" t="s">
        <v>4703</v>
      </c>
      <c r="AK495" t="s">
        <v>6548</v>
      </c>
      <c r="AL495" t="s">
        <v>2119</v>
      </c>
      <c r="AP495" t="s">
        <v>53</v>
      </c>
      <c r="AQ495">
        <v>1</v>
      </c>
    </row>
    <row r="496" spans="1:43" hidden="1" x14ac:dyDescent="0.3">
      <c r="A496" t="s">
        <v>31</v>
      </c>
      <c r="B496">
        <v>1157</v>
      </c>
      <c r="D496">
        <v>3634</v>
      </c>
      <c r="G496" t="s">
        <v>914</v>
      </c>
      <c r="J496" t="s">
        <v>914</v>
      </c>
      <c r="K496" t="s">
        <v>2030</v>
      </c>
      <c r="T496" t="s">
        <v>319</v>
      </c>
      <c r="U496" t="s">
        <v>3417</v>
      </c>
      <c r="W496">
        <v>1600</v>
      </c>
      <c r="X496">
        <v>34428</v>
      </c>
      <c r="Z496">
        <v>0</v>
      </c>
      <c r="AA496" s="31">
        <v>46141</v>
      </c>
      <c r="AB496" s="61">
        <v>0.69233796296296302</v>
      </c>
      <c r="AC496" t="s">
        <v>795</v>
      </c>
      <c r="AD496" s="31">
        <v>46141</v>
      </c>
      <c r="AE496" s="61">
        <v>0.69530092592592596</v>
      </c>
      <c r="AF496" t="s">
        <v>867</v>
      </c>
      <c r="AH496" t="s">
        <v>6550</v>
      </c>
      <c r="AI496" t="s">
        <v>6550</v>
      </c>
      <c r="AK496" t="s">
        <v>6550</v>
      </c>
      <c r="AL496" t="s">
        <v>2119</v>
      </c>
      <c r="AQ496">
        <v>1</v>
      </c>
    </row>
    <row r="497" spans="1:43" hidden="1" x14ac:dyDescent="0.3">
      <c r="A497" t="s">
        <v>31</v>
      </c>
      <c r="B497">
        <v>1158</v>
      </c>
      <c r="C497">
        <v>208</v>
      </c>
      <c r="D497">
        <v>3635</v>
      </c>
      <c r="G497" t="s">
        <v>6551</v>
      </c>
      <c r="H497">
        <v>42830750000130</v>
      </c>
      <c r="I497" t="s">
        <v>3903</v>
      </c>
      <c r="J497" t="s">
        <v>3903</v>
      </c>
      <c r="K497" t="s">
        <v>6545</v>
      </c>
      <c r="M497" t="s">
        <v>4594</v>
      </c>
      <c r="O497" t="s">
        <v>6494</v>
      </c>
      <c r="P497" t="s">
        <v>1094</v>
      </c>
      <c r="Q497" t="s">
        <v>790</v>
      </c>
      <c r="T497" t="s">
        <v>319</v>
      </c>
      <c r="U497" t="s">
        <v>3417</v>
      </c>
      <c r="W497">
        <v>360</v>
      </c>
      <c r="X497">
        <v>32076</v>
      </c>
      <c r="Z497">
        <v>21</v>
      </c>
      <c r="AA497" s="31">
        <v>46141</v>
      </c>
      <c r="AB497" s="61">
        <v>0.69581018518518523</v>
      </c>
      <c r="AC497" t="s">
        <v>782</v>
      </c>
      <c r="AD497" s="31"/>
      <c r="AE497" s="61"/>
      <c r="AH497" t="s">
        <v>6550</v>
      </c>
      <c r="AI497" t="s">
        <v>6550</v>
      </c>
      <c r="AK497" t="s">
        <v>6550</v>
      </c>
      <c r="AL497" t="s">
        <v>2119</v>
      </c>
      <c r="AQ497">
        <v>1</v>
      </c>
    </row>
    <row r="498" spans="1:43" x14ac:dyDescent="0.3">
      <c r="A498" t="s">
        <v>31</v>
      </c>
      <c r="B498">
        <v>1182</v>
      </c>
      <c r="C498">
        <v>76</v>
      </c>
      <c r="D498">
        <v>3739</v>
      </c>
      <c r="G498" t="s">
        <v>225</v>
      </c>
      <c r="H498">
        <v>43372158000103</v>
      </c>
      <c r="I498" t="s">
        <v>225</v>
      </c>
      <c r="J498" t="s">
        <v>225</v>
      </c>
      <c r="K498" t="s">
        <v>3623</v>
      </c>
      <c r="M498" t="s">
        <v>3233</v>
      </c>
      <c r="P498" t="s">
        <v>3234</v>
      </c>
      <c r="Q498" t="s">
        <v>1699</v>
      </c>
      <c r="T498" t="s">
        <v>319</v>
      </c>
      <c r="U498" t="s">
        <v>3409</v>
      </c>
      <c r="W498">
        <v>3360</v>
      </c>
      <c r="X498">
        <v>7128</v>
      </c>
      <c r="Z498">
        <v>14</v>
      </c>
      <c r="AA498" s="31">
        <v>46148</v>
      </c>
      <c r="AB498" s="61">
        <v>0.63268518518518524</v>
      </c>
      <c r="AC498" t="s">
        <v>782</v>
      </c>
      <c r="AD498" s="31"/>
      <c r="AE498" s="61"/>
      <c r="AH498" t="s">
        <v>6181</v>
      </c>
      <c r="AI498" t="s">
        <v>6552</v>
      </c>
      <c r="AK498" t="s">
        <v>6552</v>
      </c>
      <c r="AL498" t="s">
        <v>2119</v>
      </c>
      <c r="AP498" t="s">
        <v>2605</v>
      </c>
      <c r="AQ498">
        <v>1</v>
      </c>
    </row>
    <row r="499" spans="1:43" x14ac:dyDescent="0.3">
      <c r="A499" t="s">
        <v>31</v>
      </c>
      <c r="B499">
        <v>1183</v>
      </c>
      <c r="C499">
        <v>174</v>
      </c>
      <c r="D499">
        <v>3740</v>
      </c>
      <c r="G499" t="s">
        <v>236</v>
      </c>
      <c r="H499">
        <v>45238441000164</v>
      </c>
      <c r="I499" t="s">
        <v>3507</v>
      </c>
      <c r="J499" t="s">
        <v>3507</v>
      </c>
      <c r="K499" t="s">
        <v>3509</v>
      </c>
      <c r="L499">
        <v>11973359869</v>
      </c>
      <c r="M499" t="s">
        <v>3510</v>
      </c>
      <c r="O499" t="s">
        <v>6448</v>
      </c>
      <c r="P499" t="s">
        <v>1094</v>
      </c>
      <c r="Q499" t="s">
        <v>790</v>
      </c>
      <c r="T499" t="s">
        <v>319</v>
      </c>
      <c r="U499" t="s">
        <v>3417</v>
      </c>
      <c r="W499">
        <v>1600</v>
      </c>
      <c r="X499">
        <v>229519</v>
      </c>
      <c r="Z499">
        <v>5</v>
      </c>
      <c r="AA499" s="31">
        <v>46148</v>
      </c>
      <c r="AB499" s="61">
        <v>0.64694444444444443</v>
      </c>
      <c r="AC499" t="s">
        <v>795</v>
      </c>
      <c r="AD499" s="31">
        <v>46153</v>
      </c>
      <c r="AE499" s="61">
        <v>0.4060300925925926</v>
      </c>
      <c r="AF499" t="s">
        <v>867</v>
      </c>
      <c r="AH499" t="s">
        <v>6181</v>
      </c>
      <c r="AI499" t="s">
        <v>6552</v>
      </c>
      <c r="AK499" t="s">
        <v>6552</v>
      </c>
      <c r="AL499" t="s">
        <v>2119</v>
      </c>
      <c r="AP499" t="s">
        <v>53</v>
      </c>
      <c r="AQ499">
        <v>1</v>
      </c>
    </row>
    <row r="500" spans="1:43" x14ac:dyDescent="0.3">
      <c r="A500" t="s">
        <v>31</v>
      </c>
      <c r="B500">
        <v>1207</v>
      </c>
      <c r="C500">
        <v>103</v>
      </c>
      <c r="D500">
        <v>3784</v>
      </c>
      <c r="G500" t="s">
        <v>239</v>
      </c>
      <c r="H500">
        <v>12549273000179</v>
      </c>
      <c r="I500" t="s">
        <v>3309</v>
      </c>
      <c r="J500" t="s">
        <v>3309</v>
      </c>
      <c r="M500" t="s">
        <v>3312</v>
      </c>
      <c r="O500" t="s">
        <v>6441</v>
      </c>
      <c r="P500" t="s">
        <v>1596</v>
      </c>
      <c r="Q500" t="s">
        <v>790</v>
      </c>
      <c r="T500" t="s">
        <v>319</v>
      </c>
      <c r="U500" t="s">
        <v>3417</v>
      </c>
      <c r="W500">
        <v>8100</v>
      </c>
      <c r="X500">
        <v>1080</v>
      </c>
      <c r="Z500">
        <v>9</v>
      </c>
      <c r="AA500" s="31">
        <v>46153</v>
      </c>
      <c r="AB500" s="61">
        <v>0.64332175925925927</v>
      </c>
      <c r="AC500" t="s">
        <v>782</v>
      </c>
      <c r="AD500" s="31"/>
      <c r="AE500" s="61"/>
      <c r="AH500" t="s">
        <v>6553</v>
      </c>
      <c r="AI500" t="s">
        <v>6539</v>
      </c>
      <c r="AK500" t="s">
        <v>6553</v>
      </c>
      <c r="AL500" t="s">
        <v>2119</v>
      </c>
      <c r="AP500" t="s">
        <v>52</v>
      </c>
      <c r="AQ500">
        <v>1</v>
      </c>
    </row>
    <row r="501" spans="1:43" x14ac:dyDescent="0.3">
      <c r="A501" t="s">
        <v>31</v>
      </c>
      <c r="B501">
        <v>1210</v>
      </c>
      <c r="D501">
        <v>3789</v>
      </c>
      <c r="G501" t="s">
        <v>241</v>
      </c>
      <c r="H501">
        <v>10303813000104</v>
      </c>
      <c r="J501" t="s">
        <v>6554</v>
      </c>
      <c r="K501" t="s">
        <v>6555</v>
      </c>
      <c r="M501" t="s">
        <v>4384</v>
      </c>
      <c r="T501" t="s">
        <v>319</v>
      </c>
      <c r="U501" t="s">
        <v>3417</v>
      </c>
      <c r="W501">
        <v>3360</v>
      </c>
      <c r="X501">
        <v>7128</v>
      </c>
      <c r="Z501">
        <v>8</v>
      </c>
      <c r="AA501" s="31">
        <v>46154</v>
      </c>
      <c r="AB501" s="61">
        <v>0.69754629629629628</v>
      </c>
      <c r="AC501" t="s">
        <v>782</v>
      </c>
      <c r="AD501" s="31"/>
      <c r="AE501" s="61"/>
      <c r="AH501" t="s">
        <v>6556</v>
      </c>
      <c r="AI501" t="s">
        <v>6556</v>
      </c>
      <c r="AJ501" t="s">
        <v>6229</v>
      </c>
      <c r="AK501" t="s">
        <v>6556</v>
      </c>
      <c r="AL501" t="s">
        <v>2119</v>
      </c>
      <c r="AQ501">
        <v>1</v>
      </c>
    </row>
    <row r="502" spans="1:43" x14ac:dyDescent="0.3">
      <c r="A502" t="s">
        <v>31</v>
      </c>
      <c r="B502">
        <v>1235</v>
      </c>
      <c r="C502">
        <v>194</v>
      </c>
      <c r="D502">
        <v>3920</v>
      </c>
      <c r="G502" t="s">
        <v>233</v>
      </c>
      <c r="H502">
        <v>44580314000186</v>
      </c>
      <c r="I502" t="s">
        <v>3682</v>
      </c>
      <c r="J502" t="s">
        <v>3682</v>
      </c>
      <c r="K502" t="s">
        <v>4591</v>
      </c>
      <c r="M502" t="s">
        <v>3685</v>
      </c>
      <c r="O502" t="s">
        <v>6469</v>
      </c>
      <c r="P502" t="s">
        <v>3687</v>
      </c>
      <c r="Q502" t="s">
        <v>790</v>
      </c>
      <c r="T502" t="s">
        <v>319</v>
      </c>
      <c r="U502" t="s">
        <v>816</v>
      </c>
      <c r="W502">
        <v>22890</v>
      </c>
      <c r="X502">
        <v>0</v>
      </c>
      <c r="Z502">
        <v>0</v>
      </c>
      <c r="AA502" s="31">
        <v>46157</v>
      </c>
      <c r="AB502" s="61">
        <v>0.52318287037037037</v>
      </c>
      <c r="AC502" t="s">
        <v>818</v>
      </c>
      <c r="AD502" s="31">
        <v>46157</v>
      </c>
      <c r="AE502" s="61">
        <v>0.70194444444444448</v>
      </c>
      <c r="AH502" t="s">
        <v>6557</v>
      </c>
      <c r="AI502" t="s">
        <v>6557</v>
      </c>
      <c r="AK502" t="s">
        <v>6557</v>
      </c>
      <c r="AL502" t="s">
        <v>2119</v>
      </c>
      <c r="AN502" t="s">
        <v>4741</v>
      </c>
      <c r="AQ502">
        <v>1</v>
      </c>
    </row>
    <row r="503" spans="1:43" x14ac:dyDescent="0.3">
      <c r="A503" t="s">
        <v>31</v>
      </c>
      <c r="B503">
        <v>1239</v>
      </c>
      <c r="C503">
        <v>135</v>
      </c>
      <c r="D503">
        <v>3930</v>
      </c>
      <c r="G503" t="s">
        <v>229</v>
      </c>
      <c r="I503" t="s">
        <v>229</v>
      </c>
      <c r="J503" t="s">
        <v>229</v>
      </c>
      <c r="K503" t="s">
        <v>6558</v>
      </c>
      <c r="M503" t="s">
        <v>3381</v>
      </c>
      <c r="T503" t="s">
        <v>319</v>
      </c>
      <c r="U503" t="s">
        <v>3417</v>
      </c>
      <c r="W503">
        <v>3360</v>
      </c>
      <c r="X503">
        <v>3564</v>
      </c>
      <c r="Z503">
        <v>2</v>
      </c>
      <c r="AA503" s="31">
        <v>46160</v>
      </c>
      <c r="AB503" s="61">
        <v>0.69972222222222225</v>
      </c>
      <c r="AC503" t="s">
        <v>782</v>
      </c>
      <c r="AD503" s="31"/>
      <c r="AE503" s="61"/>
      <c r="AH503" t="s">
        <v>6433</v>
      </c>
      <c r="AI503" t="s">
        <v>6433</v>
      </c>
      <c r="AK503" t="s">
        <v>6433</v>
      </c>
      <c r="AL503" t="s">
        <v>2119</v>
      </c>
      <c r="AQ503">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20</vt:i4>
      </vt:variant>
      <vt:variant>
        <vt:lpstr>Intervalos Nomeados</vt:lpstr>
      </vt:variant>
      <vt:variant>
        <vt:i4>4</vt:i4>
      </vt:variant>
    </vt:vector>
  </HeadingPairs>
  <TitlesOfParts>
    <vt:vector size="24" baseType="lpstr">
      <vt:lpstr>Pendentes</vt:lpstr>
      <vt:lpstr>2026</vt:lpstr>
      <vt:lpstr>Metas Quadro</vt:lpstr>
      <vt:lpstr>QtdeMetas</vt:lpstr>
      <vt:lpstr>KPI</vt:lpstr>
      <vt:lpstr>Forecast</vt:lpstr>
      <vt:lpstr>||</vt:lpstr>
      <vt:lpstr>KPI-Metas</vt:lpstr>
      <vt:lpstr>FU - Vendas2026-fev</vt:lpstr>
      <vt:lpstr>FU - Vendas2026-jan</vt:lpstr>
      <vt:lpstr>AnaliseT1</vt:lpstr>
      <vt:lpstr>Resumo de Vendas</vt:lpstr>
      <vt:lpstr>2025</vt:lpstr>
      <vt:lpstr>Comissao Pagas</vt:lpstr>
      <vt:lpstr>opportunity_12_01_2026_22_48_52</vt:lpstr>
      <vt:lpstr>after_sale_12_01_2026_23_39_32</vt:lpstr>
      <vt:lpstr>posvenda</vt:lpstr>
      <vt:lpstr>oportunidade</vt:lpstr>
      <vt:lpstr>325-oportunidade</vt:lpstr>
      <vt:lpstr>pos</vt:lpstr>
      <vt:lpstr>'FU - Vendas2026-fev'!Area_de_impressao</vt:lpstr>
      <vt:lpstr>'FU - Vendas2026-jan'!Area_de_impressao</vt:lpstr>
      <vt:lpstr>KPI!Area_de_impressao</vt:lpstr>
      <vt:lpstr>'KPI-Metas'!Area_de_impressao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Souza</dc:creator>
  <cp:lastModifiedBy>Paulo Souza</cp:lastModifiedBy>
  <cp:lastPrinted>2026-05-03T17:19:59Z</cp:lastPrinted>
  <dcterms:created xsi:type="dcterms:W3CDTF">2026-01-13T00:07:35Z</dcterms:created>
  <dcterms:modified xsi:type="dcterms:W3CDTF">2026-08-17T10:47:58Z</dcterms:modified>
</cp:coreProperties>
</file>