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FAFF40F5-6C02-4C2F-A7F7-3CCB2EE7265C}" xr6:coauthVersionLast="47" xr6:coauthVersionMax="47" xr10:uidLastSave="{00000000-0000-0000-0000-000000000000}"/>
  <bookViews>
    <workbookView xWindow="-108" yWindow="-108" windowWidth="23256" windowHeight="12456"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0" i="4" l="1"/>
  <c r="I239" i="2"/>
  <c r="I238" i="2"/>
  <c r="I237" i="2"/>
  <c r="I236" i="2"/>
  <c r="I235" i="2"/>
  <c r="I234" i="2"/>
  <c r="I233" i="2"/>
  <c r="I232" i="2"/>
  <c r="I231" i="2"/>
  <c r="I230" i="2"/>
  <c r="I229" i="2"/>
  <c r="L228" i="2"/>
  <c r="I228" i="2"/>
  <c r="L227" i="2"/>
  <c r="I227" i="2"/>
  <c r="I226" i="2"/>
  <c r="L225" i="2"/>
  <c r="I225" i="2"/>
  <c r="L224" i="2"/>
  <c r="I224" i="2"/>
  <c r="AB61" i="4"/>
  <c r="AB59" i="4"/>
  <c r="U61" i="4"/>
  <c r="U60" i="4"/>
  <c r="U59" i="4"/>
  <c r="U58" i="4"/>
  <c r="S61" i="4"/>
  <c r="S60" i="4"/>
  <c r="S59" i="4"/>
  <c r="S58" i="4"/>
  <c r="AB58" i="4" s="1"/>
  <c r="C25" i="3"/>
  <c r="D25" i="3" s="1"/>
  <c r="C29" i="3"/>
  <c r="T58" i="4" s="1"/>
  <c r="B29" i="3"/>
  <c r="B24" i="3"/>
  <c r="B28" i="3"/>
  <c r="C28" i="3"/>
  <c r="D28" i="3" s="1"/>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AB11" i="4"/>
  <c r="U11" i="4"/>
  <c r="T11" i="4"/>
  <c r="AC11" i="4" s="1"/>
  <c r="S11" i="4"/>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0" i="2"/>
  <c r="G24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T59" i="4" l="1"/>
  <c r="AC58" i="4"/>
  <c r="O239" i="2"/>
  <c r="N239" i="2"/>
  <c r="J239" i="2"/>
  <c r="O238" i="2"/>
  <c r="N238" i="2"/>
  <c r="J238" i="2"/>
  <c r="O237" i="2"/>
  <c r="N237" i="2"/>
  <c r="J237" i="2"/>
  <c r="O236" i="2"/>
  <c r="N236" i="2"/>
  <c r="J236" i="2"/>
  <c r="O235" i="2"/>
  <c r="N235" i="2"/>
  <c r="J235" i="2"/>
  <c r="O234" i="2"/>
  <c r="N234" i="2"/>
  <c r="J234" i="2"/>
  <c r="O233" i="2"/>
  <c r="N233" i="2"/>
  <c r="J233" i="2"/>
  <c r="O232" i="2"/>
  <c r="N232" i="2"/>
  <c r="J232" i="2"/>
  <c r="O231" i="2"/>
  <c r="N231" i="2"/>
  <c r="J231" i="2"/>
  <c r="O230" i="2"/>
  <c r="N230" i="2"/>
  <c r="J230" i="2"/>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0" i="2"/>
  <c r="N240" i="2"/>
  <c r="J24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CX30" i="8" l="1"/>
  <c r="DN28" i="8"/>
  <c r="EE2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<sst xmlns="http://schemas.openxmlformats.org/spreadsheetml/2006/main" count="58602" uniqueCount="6562">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</sst>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22">
      <pivotArea type="all" dataOnly="0" outline="0" fieldPosition="0"/>
    </format>
    <format dxfId="321">
      <pivotArea field="18" type="button" dataOnly="0" labelOnly="1" outline="0" axis="axisRow" fieldPosition="0"/>
    </format>
    <format dxfId="320">
      <pivotArea dataOnly="0" labelOnly="1" outline="0" fieldPosition="0">
        <references count="1">
          <reference field="4294967294" count="2">
            <x v="0"/>
            <x v="1"/>
          </reference>
        </references>
      </pivotArea>
    </format>
    <format dxfId="319">
      <pivotArea type="all" dataOnly="0" outline="0" fieldPosition="0"/>
    </format>
    <format dxfId="318">
      <pivotArea field="18" type="button" dataOnly="0" labelOnly="1" outline="0" axis="axisRow" fieldPosition="0"/>
    </format>
    <format dxfId="317">
      <pivotArea dataOnly="0" labelOnly="1" outline="0" fieldPosition="0">
        <references count="1">
          <reference field="4294967294" count="2">
            <x v="0"/>
            <x v="1"/>
          </reference>
        </references>
      </pivotArea>
    </format>
    <format dxfId="316">
      <pivotArea collapsedLevelsAreSubtotals="1" fieldPosition="0">
        <references count="1">
          <reference field="18" count="1">
            <x v="0"/>
          </reference>
        </references>
      </pivotArea>
    </format>
    <format dxfId="315">
      <pivotArea collapsedLevelsAreSubtotals="1" fieldPosition="0">
        <references count="1">
          <reference field="18" count="1">
            <x v="1"/>
          </reference>
        </references>
      </pivotArea>
    </format>
    <format dxfId="314">
      <pivotArea collapsedLevelsAreSubtotals="1" fieldPosition="0">
        <references count="1">
          <reference field="18" count="1">
            <x v="2"/>
          </reference>
        </references>
      </pivotArea>
    </format>
    <format dxfId="313">
      <pivotArea collapsedLevelsAreSubtotals="1" fieldPosition="0">
        <references count="1">
          <reference field="18" count="1">
            <x v="3"/>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5"/>
          </reference>
        </references>
      </pivotArea>
    </format>
    <format dxfId="310">
      <pivotArea collapsedLevelsAreSubtotals="1" fieldPosition="0">
        <references count="1">
          <reference field="18" count="1">
            <x v="6"/>
          </reference>
        </references>
      </pivotArea>
    </format>
    <format dxfId="309">
      <pivotArea collapsedLevelsAreSubtotals="1" fieldPosition="0">
        <references count="1">
          <reference field="18" count="1">
            <x v="7"/>
          </reference>
        </references>
      </pivotArea>
    </format>
    <format dxfId="308">
      <pivotArea collapsedLevelsAreSubtotals="1" fieldPosition="0">
        <references count="1">
          <reference field="18" count="1">
            <x v="8"/>
          </reference>
        </references>
      </pivotArea>
    </format>
    <format dxfId="307">
      <pivotArea collapsedLevelsAreSubtotals="1" fieldPosition="0">
        <references count="1">
          <reference field="18" count="1">
            <x v="9"/>
          </reference>
        </references>
      </pivotArea>
    </format>
    <format dxfId="306">
      <pivotArea collapsedLevelsAreSubtotals="1" fieldPosition="0">
        <references count="1">
          <reference field="18" count="1">
            <x v="10"/>
          </reference>
        </references>
      </pivotArea>
    </format>
    <format dxfId="305">
      <pivotArea outline="0" collapsedLevelsAreSubtotals="1" fieldPosition="0">
        <references count="1">
          <reference field="4294967294" count="1" selected="0">
            <x v="1"/>
          </reference>
        </references>
      </pivotArea>
    </format>
    <format dxfId="304">
      <pivotArea collapsedLevelsAreSubtotals="1" fieldPosition="0">
        <references count="2">
          <reference field="4294967294" count="1" selected="0">
            <x v="0"/>
          </reference>
          <reference field="18" count="1">
            <x v="0"/>
          </reference>
        </references>
      </pivotArea>
    </format>
    <format dxfId="303">
      <pivotArea collapsedLevelsAreSubtotals="1" fieldPosition="0">
        <references count="2">
          <reference field="4294967294" count="1" selected="0">
            <x v="0"/>
          </reference>
          <reference field="18" count="1">
            <x v="1"/>
          </reference>
        </references>
      </pivotArea>
    </format>
    <format dxfId="302">
      <pivotArea collapsedLevelsAreSubtotals="1" fieldPosition="0">
        <references count="2">
          <reference field="4294967294" count="1" selected="0">
            <x v="0"/>
          </reference>
          <reference field="18" count="1">
            <x v="2"/>
          </reference>
        </references>
      </pivotArea>
    </format>
    <format dxfId="301">
      <pivotArea collapsedLevelsAreSubtotals="1" fieldPosition="0">
        <references count="2">
          <reference field="4294967294" count="1" selected="0">
            <x v="0"/>
          </reference>
          <reference field="18" count="1">
            <x v="3"/>
          </reference>
        </references>
      </pivotArea>
    </format>
    <format dxfId="300">
      <pivotArea collapsedLevelsAreSubtotals="1" fieldPosition="0">
        <references count="2">
          <reference field="4294967294" count="1" selected="0">
            <x v="0"/>
          </reference>
          <reference field="18" count="1">
            <x v="4"/>
          </reference>
        </references>
      </pivotArea>
    </format>
    <format dxfId="299">
      <pivotArea collapsedLevelsAreSubtotals="1" fieldPosition="0">
        <references count="2">
          <reference field="4294967294" count="1" selected="0">
            <x v="0"/>
          </reference>
          <reference field="18" count="1">
            <x v="5"/>
          </reference>
        </references>
      </pivotArea>
    </format>
    <format dxfId="298">
      <pivotArea collapsedLevelsAreSubtotals="1" fieldPosition="0">
        <references count="2">
          <reference field="4294967294" count="1" selected="0">
            <x v="0"/>
          </reference>
          <reference field="18" count="1">
            <x v="6"/>
          </reference>
        </references>
      </pivotArea>
    </format>
    <format dxfId="297">
      <pivotArea collapsedLevelsAreSubtotals="1" fieldPosition="0">
        <references count="2">
          <reference field="4294967294" count="1" selected="0">
            <x v="0"/>
          </reference>
          <reference field="18" count="1">
            <x v="7"/>
          </reference>
        </references>
      </pivotArea>
    </format>
    <format dxfId="296">
      <pivotArea collapsedLevelsAreSubtotals="1" fieldPosition="0">
        <references count="2">
          <reference field="4294967294" count="1" selected="0">
            <x v="0"/>
          </reference>
          <reference field="18" count="1">
            <x v="8"/>
          </reference>
        </references>
      </pivotArea>
    </format>
    <format dxfId="295">
      <pivotArea collapsedLevelsAreSubtotals="1" fieldPosition="0">
        <references count="2">
          <reference field="4294967294" count="1" selected="0">
            <x v="0"/>
          </reference>
          <reference field="18" count="1">
            <x v="9"/>
          </reference>
        </references>
      </pivotArea>
    </format>
    <format dxfId="294">
      <pivotArea collapsedLevelsAreSubtotals="1" fieldPosition="0">
        <references count="2">
          <reference field="4294967294" count="1" selected="0">
            <x v="0"/>
          </reference>
          <reference field="18" count="1">
            <x v="10"/>
          </reference>
        </references>
      </pivotArea>
    </format>
    <format dxfId="293">
      <pivotArea collapsedLevelsAreSubtotals="1" fieldPosition="0">
        <references count="2">
          <reference field="4294967294" count="1" selected="0">
            <x v="0"/>
          </reference>
          <reference field="18" count="1">
            <x v="11"/>
          </reference>
        </references>
      </pivotArea>
    </format>
    <format dxfId="292">
      <pivotArea outline="0" collapsedLevelsAreSubtotals="1" fieldPosition="0"/>
    </format>
    <format dxfId="291">
      <pivotArea dataOnly="0" labelOnly="1" fieldPosition="0">
        <references count="1">
          <reference field="18" count="0"/>
        </references>
      </pivotArea>
    </format>
    <format dxfId="29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89">
      <pivotArea outline="0" collapsedLevelsAreSubtotals="1" fieldPosition="0"/>
    </format>
    <format dxfId="288">
      <pivotArea dataOnly="0" labelOnly="1" fieldPosition="0">
        <references count="1">
          <reference field="18" count="0"/>
        </references>
      </pivotArea>
    </format>
    <format dxfId="28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24">
      <pivotArea dataOnly="0" labelOnly="1" fieldPosition="0">
        <references count="1">
          <reference field="6" count="1">
            <x v="441"/>
          </reference>
        </references>
      </pivotArea>
    </format>
    <format dxfId="32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30">
      <pivotArea outline="0" collapsedLevelsAreSubtotals="1" fieldPosition="0"/>
    </format>
    <format dxfId="329">
      <pivotArea dataOnly="0" labelOnly="1" fieldPosition="0">
        <references count="1">
          <reference field="18" count="0"/>
        </references>
      </pivotArea>
    </format>
    <format dxfId="32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27">
      <pivotArea outline="0" collapsedLevelsAreSubtotals="1" fieldPosition="0"/>
    </format>
    <format dxfId="326">
      <pivotArea dataOnly="0" labelOnly="1" fieldPosition="0">
        <references count="1">
          <reference field="18" count="0"/>
        </references>
      </pivotArea>
    </format>
    <format dxfId="32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72">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75">
      <pivotArea outline="0" collapsedLevelsAreSubtotals="1" fieldPosition="0"/>
    </format>
    <format dxfId="174">
      <pivotArea outline="0" fieldPosition="0">
        <references count="1">
          <reference field="4294967294" count="3" selected="0">
            <x v="1"/>
            <x v="2"/>
            <x v="3"/>
          </reference>
        </references>
      </pivotArea>
    </format>
    <format dxfId="17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10"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79">
      <pivotArea field="21" type="button" dataOnly="0" labelOnly="1" outline="0" axis="axisRow" fieldPosition="0"/>
    </format>
    <format dxfId="178">
      <pivotArea dataOnly="0" labelOnly="1" outline="0" axis="axisValues" fieldPosition="0"/>
    </format>
    <format dxfId="177">
      <pivotArea grandRow="1" outline="0" collapsedLevelsAreSubtotals="1" fieldPosition="0"/>
    </format>
    <format dxfId="17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83">
      <pivotArea grandRow="1" outline="0" collapsedLevelsAreSubtotals="1" fieldPosition="0"/>
    </format>
    <format dxfId="182">
      <pivotArea dataOnly="0" labelOnly="1" grandRow="1" outline="0" fieldPosition="0"/>
    </format>
    <format dxfId="181">
      <pivotArea field="21" type="button" dataOnly="0" labelOnly="1" outline="0" axis="axisRow" fieldPosition="0"/>
    </format>
    <format dxfId="180">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89">
      <pivotArea dataOnly="0" labelOnly="1" outline="0" axis="axisValues" fieldPosition="0"/>
    </format>
    <format dxfId="188">
      <pivotArea field="21" type="button" dataOnly="0" labelOnly="1" outline="0" axis="axisRow" fieldPosition="0"/>
    </format>
    <format dxfId="187">
      <pivotArea field="4" type="button" dataOnly="0" labelOnly="1" outline="0" axis="axisRow" fieldPosition="1"/>
    </format>
    <format dxfId="186">
      <pivotArea dataOnly="0" labelOnly="1" outline="0" axis="axisValues" fieldPosition="0"/>
    </format>
    <format dxfId="185">
      <pivotArea grandRow="1" outline="0" collapsedLevelsAreSubtotals="1" fieldPosition="0"/>
    </format>
    <format dxfId="18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00">
      <pivotArea type="all" dataOnly="0" outline="0" fieldPosition="0"/>
    </format>
    <format dxfId="99">
      <pivotArea outline="0" collapsedLevelsAreSubtotals="1" fieldPosition="0"/>
    </format>
    <format dxfId="98">
      <pivotArea field="18" type="button" dataOnly="0" labelOnly="1" outline="0" axis="axisRow" fieldPosition="0"/>
    </format>
    <format dxfId="97">
      <pivotArea dataOnly="0" labelOnly="1" fieldPosition="0">
        <references count="1">
          <reference field="18" count="11">
            <x v="3"/>
            <x v="4"/>
            <x v="5"/>
            <x v="6"/>
            <x v="7"/>
            <x v="8"/>
            <x v="9"/>
            <x v="10"/>
            <x v="11"/>
            <x v="12"/>
            <x v="13"/>
          </reference>
        </references>
      </pivotArea>
    </format>
    <format dxfId="96">
      <pivotArea dataOnly="0" labelOnly="1" grandRow="1" outline="0" fieldPosition="0"/>
    </format>
    <format dxfId="95">
      <pivotArea dataOnly="0" labelOnly="1" outline="0" fieldPosition="0">
        <references count="1">
          <reference field="4294967294" count="2">
            <x v="0"/>
            <x v="1"/>
          </reference>
        </references>
      </pivotArea>
    </format>
    <format dxfId="94">
      <pivotArea type="all" dataOnly="0" outline="0" fieldPosition="0"/>
    </format>
    <format dxfId="93">
      <pivotArea outline="0" collapsedLevelsAreSubtotals="1" fieldPosition="0"/>
    </format>
    <format dxfId="92">
      <pivotArea field="18" type="button" dataOnly="0" labelOnly="1" outline="0" axis="axisRow" fieldPosition="0"/>
    </format>
    <format dxfId="91">
      <pivotArea dataOnly="0" labelOnly="1" fieldPosition="0">
        <references count="1">
          <reference field="18" count="11">
            <x v="3"/>
            <x v="4"/>
            <x v="5"/>
            <x v="6"/>
            <x v="7"/>
            <x v="8"/>
            <x v="9"/>
            <x v="10"/>
            <x v="11"/>
            <x v="12"/>
            <x v="13"/>
          </reference>
        </references>
      </pivotArea>
    </format>
    <format dxfId="90">
      <pivotArea dataOnly="0" labelOnly="1" grandRow="1" outline="0" fieldPosition="0"/>
    </format>
    <format dxfId="89">
      <pivotArea dataOnly="0" labelOnly="1" outline="0" fieldPosition="0">
        <references count="1">
          <reference field="4294967294" count="2">
            <x v="0"/>
            <x v="1"/>
          </reference>
        </references>
      </pivotArea>
    </format>
    <format dxfId="88">
      <pivotArea collapsedLevelsAreSubtotals="1" fieldPosition="0">
        <references count="1">
          <reference field="18" count="1">
            <x v="13"/>
          </reference>
        </references>
      </pivotArea>
    </format>
    <format dxfId="87">
      <pivotArea collapsedLevelsAreSubtotals="1" fieldPosition="0">
        <references count="1">
          <reference field="18" count="1">
            <x v="12"/>
          </reference>
        </references>
      </pivotArea>
    </format>
    <format dxfId="86">
      <pivotArea collapsedLevelsAreSubtotals="1" fieldPosition="0">
        <references count="1">
          <reference field="18" count="1">
            <x v="11"/>
          </reference>
        </references>
      </pivotArea>
    </format>
    <format dxfId="85">
      <pivotArea collapsedLevelsAreSubtotals="1" fieldPosition="0">
        <references count="1">
          <reference field="18" count="1">
            <x v="10"/>
          </reference>
        </references>
      </pivotArea>
    </format>
    <format dxfId="84">
      <pivotArea collapsedLevelsAreSubtotals="1" fieldPosition="0">
        <references count="1">
          <reference field="18" count="1">
            <x v="9"/>
          </reference>
        </references>
      </pivotArea>
    </format>
    <format dxfId="83">
      <pivotArea collapsedLevelsAreSubtotals="1" fieldPosition="0">
        <references count="1">
          <reference field="18" count="1">
            <x v="8"/>
          </reference>
        </references>
      </pivotArea>
    </format>
    <format dxfId="82">
      <pivotArea collapsedLevelsAreSubtotals="1" fieldPosition="0">
        <references count="1">
          <reference field="18" count="1">
            <x v="7"/>
          </reference>
        </references>
      </pivotArea>
    </format>
    <format dxfId="81">
      <pivotArea collapsedLevelsAreSubtotals="1" fieldPosition="0">
        <references count="1">
          <reference field="18" count="1">
            <x v="6"/>
          </reference>
        </references>
      </pivotArea>
    </format>
    <format dxfId="80">
      <pivotArea collapsedLevelsAreSubtotals="1" fieldPosition="0">
        <references count="1">
          <reference field="18" count="1">
            <x v="5"/>
          </reference>
        </references>
      </pivotArea>
    </format>
    <format dxfId="79">
      <pivotArea collapsedLevelsAreSubtotals="1" fieldPosition="0">
        <references count="1">
          <reference field="18" count="1">
            <x v="4"/>
          </reference>
        </references>
      </pivotArea>
    </format>
    <format dxfId="78">
      <pivotArea collapsedLevelsAreSubtotals="1" fieldPosition="0">
        <references count="1">
          <reference field="18" count="1">
            <x v="3"/>
          </reference>
        </references>
      </pivotArea>
    </format>
    <format dxfId="77">
      <pivotArea dataOnly="0" labelOnly="1" fieldPosition="0">
        <references count="1">
          <reference field="18" count="11">
            <x v="3"/>
            <x v="4"/>
            <x v="5"/>
            <x v="6"/>
            <x v="7"/>
            <x v="8"/>
            <x v="9"/>
            <x v="10"/>
            <x v="11"/>
            <x v="12"/>
            <x v="13"/>
          </reference>
        </references>
      </pivotArea>
    </format>
    <format dxfId="76">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26">
      <pivotArea field="5" type="button" dataOnly="0" labelOnly="1" outline="0" axis="axisRow" fieldPosition="0"/>
    </format>
    <format dxfId="125">
      <pivotArea dataOnly="0" labelOnly="1" outline="0" fieldPosition="0">
        <references count="1">
          <reference field="4294967294" count="2">
            <x v="0"/>
            <x v="1"/>
          </reference>
        </references>
      </pivotArea>
    </format>
    <format dxfId="124">
      <pivotArea field="5" type="button" dataOnly="0" labelOnly="1" outline="0" axis="axisRow" fieldPosition="0"/>
    </format>
    <format dxfId="123">
      <pivotArea dataOnly="0" labelOnly="1" outline="0" fieldPosition="0">
        <references count="1">
          <reference field="4294967294" count="2">
            <x v="0"/>
            <x v="1"/>
          </reference>
        </references>
      </pivotArea>
    </format>
    <format dxfId="122">
      <pivotArea type="all" dataOnly="0" outline="0" fieldPosition="0"/>
    </format>
    <format dxfId="121">
      <pivotArea dataOnly="0" labelOnly="1" grandRow="1" outline="0" fieldPosition="0"/>
    </format>
    <format dxfId="120">
      <pivotArea grandRow="1" outline="0" collapsedLevelsAreSubtotals="1" fieldPosition="0"/>
    </format>
    <format dxfId="119">
      <pivotArea dataOnly="0" labelOnly="1" grandRow="1" outline="0" fieldPosition="0"/>
    </format>
    <format dxfId="118">
      <pivotArea grandRow="1" outline="0" collapsedLevelsAreSubtotals="1" fieldPosition="0"/>
    </format>
    <format dxfId="117">
      <pivotArea dataOnly="0" labelOnly="1" grandRow="1" outline="0" fieldPosition="0"/>
    </format>
    <format dxfId="116">
      <pivotArea grandRow="1" outline="0" collapsedLevelsAreSubtotals="1" fieldPosition="0"/>
    </format>
    <format dxfId="115">
      <pivotArea dataOnly="0" labelOnly="1" grandRow="1" outline="0" fieldPosition="0"/>
    </format>
    <format dxfId="114">
      <pivotArea field="5" type="button" dataOnly="0" labelOnly="1" outline="0" axis="axisRow" fieldPosition="0"/>
    </format>
    <format dxfId="113">
      <pivotArea dataOnly="0" labelOnly="1" outline="0" fieldPosition="0">
        <references count="1">
          <reference field="4294967294" count="2">
            <x v="0"/>
            <x v="1"/>
          </reference>
        </references>
      </pivotArea>
    </format>
    <format dxfId="112">
      <pivotArea type="all" dataOnly="0" outline="0" fieldPosition="0"/>
    </format>
    <format dxfId="111">
      <pivotArea outline="0" collapsedLevelsAreSubtotals="1" fieldPosition="0"/>
    </format>
    <format dxfId="110">
      <pivotArea field="5" type="button" dataOnly="0" labelOnly="1" outline="0" axis="axisRow" fieldPosition="0"/>
    </format>
    <format dxfId="109">
      <pivotArea dataOnly="0" labelOnly="1" fieldPosition="0">
        <references count="1">
          <reference field="5" count="0"/>
        </references>
      </pivotArea>
    </format>
    <format dxfId="108">
      <pivotArea dataOnly="0" labelOnly="1" grandRow="1" outline="0" fieldPosition="0"/>
    </format>
    <format dxfId="107">
      <pivotArea dataOnly="0" labelOnly="1" outline="0" fieldPosition="0">
        <references count="1">
          <reference field="4294967294" count="2">
            <x v="0"/>
            <x v="1"/>
          </reference>
        </references>
      </pivotArea>
    </format>
    <format dxfId="106">
      <pivotArea type="all" dataOnly="0" outline="0" fieldPosition="0"/>
    </format>
    <format dxfId="105">
      <pivotArea outline="0" collapsedLevelsAreSubtotals="1" fieldPosition="0"/>
    </format>
    <format dxfId="104">
      <pivotArea field="5" type="button" dataOnly="0" labelOnly="1" outline="0" axis="axisRow" fieldPosition="0"/>
    </format>
    <format dxfId="103">
      <pivotArea dataOnly="0" labelOnly="1" fieldPosition="0">
        <references count="1">
          <reference field="5" count="0"/>
        </references>
      </pivotArea>
    </format>
    <format dxfId="102">
      <pivotArea dataOnly="0" labelOnly="1" grandRow="1" outline="0" fieldPosition="0"/>
    </format>
    <format dxfId="1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46">
      <pivotArea field="4" type="button" dataOnly="0" labelOnly="1" outline="0" axis="axisRow" fieldPosition="0"/>
    </format>
    <format dxfId="145">
      <pivotArea dataOnly="0" labelOnly="1" outline="0" axis="axisValues" fieldPosition="0"/>
    </format>
    <format dxfId="144">
      <pivotArea grandRow="1" outline="0" collapsedLevelsAreSubtotals="1" fieldPosition="0"/>
    </format>
    <format dxfId="143">
      <pivotArea dataOnly="0" labelOnly="1" grandRow="1" outline="0" fieldPosition="0"/>
    </format>
    <format dxfId="142">
      <pivotArea type="all" dataOnly="0" outline="0" fieldPosition="0"/>
    </format>
    <format dxfId="141">
      <pivotArea outline="0" collapsedLevelsAreSubtotals="1" fieldPosition="0"/>
    </format>
    <format dxfId="140">
      <pivotArea field="4" type="button" dataOnly="0" labelOnly="1" outline="0" axis="axisRow" fieldPosition="0"/>
    </format>
    <format dxfId="13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38">
      <pivotArea dataOnly="0" labelOnly="1" grandRow="1" outline="0" fieldPosition="0"/>
    </format>
    <format dxfId="137">
      <pivotArea dataOnly="0" labelOnly="1" outline="0" axis="axisValues" fieldPosition="0"/>
    </format>
    <format dxfId="136">
      <pivotArea type="all" dataOnly="0" outline="0" fieldPosition="0"/>
    </format>
    <format dxfId="135">
      <pivotArea outline="0" collapsedLevelsAreSubtotals="1" fieldPosition="0"/>
    </format>
    <format dxfId="134">
      <pivotArea field="4" type="button" dataOnly="0" labelOnly="1" outline="0" axis="axisRow" fieldPosition="0"/>
    </format>
    <format dxfId="13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32">
      <pivotArea dataOnly="0" labelOnly="1" grandRow="1" outline="0" fieldPosition="0"/>
    </format>
    <format dxfId="131">
      <pivotArea dataOnly="0" labelOnly="1" outline="0" axis="axisValues" fieldPosition="0"/>
    </format>
    <format dxfId="130">
      <pivotArea field="4" type="button" dataOnly="0" labelOnly="1" outline="0" axis="axisRow" fieldPosition="0"/>
    </format>
    <format dxfId="129">
      <pivotArea dataOnly="0" labelOnly="1" outline="0" axis="axisValues" fieldPosition="0"/>
    </format>
    <format dxfId="128">
      <pivotArea grandRow="1" outline="0" collapsedLevelsAreSubtotals="1" fieldPosition="0"/>
    </format>
    <format dxfId="12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71">
      <pivotArea type="all" dataOnly="0" outline="0" fieldPosition="0"/>
    </format>
    <format dxfId="170">
      <pivotArea outline="0" collapsedLevelsAreSubtotals="1" fieldPosition="0"/>
    </format>
    <format dxfId="169">
      <pivotArea type="origin" dataOnly="0" labelOnly="1" outline="0" fieldPosition="0"/>
    </format>
    <format dxfId="168">
      <pivotArea field="5" type="button" dataOnly="0" labelOnly="1" outline="0" axis="axisCol" fieldPosition="0"/>
    </format>
    <format dxfId="167">
      <pivotArea type="topRight" dataOnly="0" labelOnly="1" outline="0" fieldPosition="0"/>
    </format>
    <format dxfId="166">
      <pivotArea field="2" type="button" dataOnly="0" labelOnly="1" outline="0" axis="axisRow" fieldPosition="0"/>
    </format>
    <format dxfId="165">
      <pivotArea dataOnly="0" labelOnly="1" fieldPosition="0">
        <references count="1">
          <reference field="2" count="0"/>
        </references>
      </pivotArea>
    </format>
    <format dxfId="164">
      <pivotArea dataOnly="0" labelOnly="1" grandRow="1" outline="0" fieldPosition="0"/>
    </format>
    <format dxfId="163">
      <pivotArea dataOnly="0" labelOnly="1" fieldPosition="0">
        <references count="1">
          <reference field="5" count="0"/>
        </references>
      </pivotArea>
    </format>
    <format dxfId="162">
      <pivotArea dataOnly="0" labelOnly="1" grandCol="1" outline="0" fieldPosition="0"/>
    </format>
    <format dxfId="161">
      <pivotArea type="origin" dataOnly="0" labelOnly="1" outline="0" fieldPosition="0"/>
    </format>
    <format dxfId="160">
      <pivotArea field="5" type="button" dataOnly="0" labelOnly="1" outline="0" axis="axisCol" fieldPosition="0"/>
    </format>
    <format dxfId="159">
      <pivotArea type="topRight" dataOnly="0" labelOnly="1" outline="0" fieldPosition="0"/>
    </format>
    <format dxfId="158">
      <pivotArea field="2" type="button" dataOnly="0" labelOnly="1" outline="0" axis="axisRow" fieldPosition="0"/>
    </format>
    <format dxfId="157">
      <pivotArea dataOnly="0" labelOnly="1" fieldPosition="0">
        <references count="1">
          <reference field="5" count="0"/>
        </references>
      </pivotArea>
    </format>
    <format dxfId="156">
      <pivotArea dataOnly="0" labelOnly="1" grandCol="1" outline="0" fieldPosition="0"/>
    </format>
    <format dxfId="155">
      <pivotArea type="origin" dataOnly="0" labelOnly="1" outline="0" fieldPosition="0"/>
    </format>
    <format dxfId="154">
      <pivotArea field="5" type="button" dataOnly="0" labelOnly="1" outline="0" axis="axisCol" fieldPosition="0"/>
    </format>
    <format dxfId="153">
      <pivotArea type="topRight" dataOnly="0" labelOnly="1" outline="0" fieldPosition="0"/>
    </format>
    <format dxfId="152">
      <pivotArea field="2" type="button" dataOnly="0" labelOnly="1" outline="0" axis="axisRow" fieldPosition="0"/>
    </format>
    <format dxfId="151">
      <pivotArea dataOnly="0" labelOnly="1" fieldPosition="0">
        <references count="1">
          <reference field="5" count="0"/>
        </references>
      </pivotArea>
    </format>
    <format dxfId="150">
      <pivotArea dataOnly="0" labelOnly="1" grandCol="1" outline="0" fieldPosition="0"/>
    </format>
    <format dxfId="149">
      <pivotArea grandRow="1" outline="0" collapsedLevelsAreSubtotals="1" fieldPosition="0"/>
    </format>
    <format dxfId="148">
      <pivotArea dataOnly="0" labelOnly="1" grandRow="1" outline="0" fieldPosition="0"/>
    </format>
    <format dxfId="147">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8">
      <pivotArea outline="0" collapsedLevelsAreSubtotals="1" fieldPosition="0"/>
    </format>
    <format dxfId="27">
      <pivotArea dataOnly="0" labelOnly="1" fieldPosition="0">
        <references count="1">
          <reference field="1" count="0"/>
        </references>
      </pivotArea>
    </format>
    <format dxfId="2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9">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0" totalsRowCount="1" headerRowDxfId="394" dataDxfId="392" headerRowBorderDxfId="393" tableBorderDxfId="391" totalsRowBorderDxfId="390">
  <autoFilter ref="A1:V239" xr:uid="{00000000-0009-0000-0100-000001000000}">
    <filterColumn colId="12">
      <filters>
        <filter val="Não"/>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45">
  <autoFilter ref="M1:AC61" xr:uid="{00000000-0009-0000-0100-000002000000}">
    <filterColumn colId="1">
      <filters>
        <dateGroupItem year="2026" dateTimeGrouping="year"/>
      </filters>
    </filterColumn>
  </autoFilter>
  <tableColumns count="17">
    <tableColumn id="1" xr3:uid="{00000000-0010-0000-0100-000001000000}" name="Ano" dataDxfId="344"/>
    <tableColumn id="15" xr3:uid="{00000000-0010-0000-0100-00000F000000}" name="Mês" dataDxfId="343"/>
    <tableColumn id="2" xr3:uid="{00000000-0010-0000-0100-000002000000}" name="Vendedor"/>
    <tableColumn id="16" xr3:uid="{00000000-0010-0000-0100-000010000000}" name="Lead" dataDxfId="342"/>
    <tableColumn id="3" xr3:uid="{00000000-0010-0000-0100-000003000000}" name="Propsota" dataDxfId="341"/>
    <tableColumn id="4" xr3:uid="{00000000-0010-0000-0100-000004000000}" name="Apresentação" dataDxfId="340"/>
    <tableColumn id="5" xr3:uid="{00000000-0010-0000-0100-000005000000}" name="Meta Individual" dataDxfId="339"/>
    <tableColumn id="6" xr3:uid="{00000000-0010-0000-0100-000006000000}" name="Meta Equipe" dataDxfId="338"/>
    <tableColumn id="7" xr3:uid="{00000000-0010-0000-0100-000007000000}" name="Meta Projetos" dataDxfId="337"/>
    <tableColumn id="17" xr3:uid="{00000000-0010-0000-0100-000011000000}" name="OBLead" dataDxfId="336"/>
    <tableColumn id="8" xr3:uid="{00000000-0010-0000-0100-000008000000}" name="OB Proposta "/>
    <tableColumn id="9" xr3:uid="{00000000-0010-0000-0100-000009000000}" name="OB Apresentação"/>
    <tableColumn id="10" xr3:uid="{00000000-0010-0000-0100-00000A000000}" name="OB Individual" dataDxfId="335"/>
    <tableColumn id="11" xr3:uid="{00000000-0010-0000-0100-00000B000000}" name="OBEquipe" dataDxfId="334"/>
    <tableColumn id="12" xr3:uid="{00000000-0010-0000-0100-00000C000000}" name="OB Projetos" dataDxfId="333"/>
    <tableColumn id="13" xr3:uid="{00000000-0010-0000-0100-00000D000000}" name="OBI" dataDxfId="332" dataCellStyle="Porcentagem">
      <calculatedColumnFormula>metas[[#This Row],[Meta Individual]]/metas[[#This Row],[OB Individual]]</calculatedColumnFormula>
    </tableColumn>
    <tableColumn id="14" xr3:uid="{00000000-0010-0000-0100-00000E000000}" name="OBE" dataDxfId="331"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86">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85"/>
    <tableColumn id="3" xr3:uid="{00000000-0010-0000-0200-000003000000}" name="Produto"/>
    <tableColumn id="4" xr3:uid="{00000000-0010-0000-0200-000004000000}" name="Responsável" dataDxfId="284"/>
    <tableColumn id="5" xr3:uid="{00000000-0010-0000-0200-000005000000}" name="Vlr Projeto" dataDxfId="283"/>
    <tableColumn id="6" xr3:uid="{00000000-0010-0000-0200-000006000000}" name="Mensalidade" dataDxfId="282"/>
    <tableColumn id="7" xr3:uid="{00000000-0010-0000-0200-000007000000}" name="Horas" dataDxfId="281"/>
    <tableColumn id="8" xr3:uid="{00000000-0010-0000-0200-000008000000}" name="Pipeline"/>
    <tableColumn id="9" xr3:uid="{00000000-0010-0000-0200-000009000000}" name="Temperatura" dataDxfId="28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79" dataDxfId="278">
  <autoFilter ref="A1:U61" xr:uid="{00000000-0009-0000-0100-000004000000}"/>
  <tableColumns count="21">
    <tableColumn id="1" xr3:uid="{00000000-0010-0000-0300-000001000000}" name="Data" totalsRowLabel="Total" dataDxfId="277" totalsRowDxfId="276"/>
    <tableColumn id="2" xr3:uid="{00000000-0010-0000-0300-000002000000}" name="Ticket" dataDxfId="275" totalsRowDxfId="274"/>
    <tableColumn id="3" xr3:uid="{00000000-0010-0000-0300-000003000000}" name="Vendedor" dataDxfId="273" totalsRowDxfId="272"/>
    <tableColumn id="4" xr3:uid="{00000000-0010-0000-0300-000004000000}" name="Cliente" dataDxfId="271" totalsRowDxfId="270"/>
    <tableColumn id="5" xr3:uid="{00000000-0010-0000-0300-000005000000}" name="Produto" dataDxfId="269" totalsRowDxfId="268"/>
    <tableColumn id="6" xr3:uid="{00000000-0010-0000-0300-000006000000}" name="TipoReceita" dataDxfId="267" totalsRowDxfId="266"/>
    <tableColumn id="7" xr3:uid="{00000000-0010-0000-0300-000007000000}" name="Qtde" dataDxfId="265" totalsRowDxfId="264"/>
    <tableColumn id="8" xr3:uid="{00000000-0010-0000-0300-000008000000}" name="VlrUnitário" dataDxfId="263" totalsRowDxfId="262"/>
    <tableColumn id="9" xr3:uid="{00000000-0010-0000-0300-000009000000}" name="VlrTotal" totalsRowFunction="sum" dataDxfId="261" totalsRowDxfId="260"/>
    <tableColumn id="10" xr3:uid="{00000000-0010-0000-0300-00000A000000}" name="Vlr Meta" totalsRowFunction="sum" dataDxfId="259" totalsRowDxfId="258"/>
    <tableColumn id="11" xr3:uid="{00000000-0010-0000-0300-00000B000000}" name="%Comissão" dataDxfId="257" totalsRowDxfId="256" dataCellStyle="Porcentagem"/>
    <tableColumn id="12" xr3:uid="{00000000-0010-0000-0300-00000C000000}" name="%ComissãoSupervisor" dataDxfId="255" totalsRowDxfId="254" dataCellStyle="Porcentagem"/>
    <tableColumn id="13" xr3:uid="{00000000-0010-0000-0300-00000D000000}" name="Base" dataDxfId="253" totalsRowDxfId="252"/>
    <tableColumn id="14" xr3:uid="{00000000-0010-0000-0300-00000E000000}" name="ComissãoVendedor " totalsRowFunction="sum" dataDxfId="251" totalsRowDxfId="250"/>
    <tableColumn id="15" xr3:uid="{00000000-0010-0000-0300-00000F000000}" name="ComissãoSupervisor" totalsRowFunction="sum" dataDxfId="249" totalsRowDxfId="248"/>
    <tableColumn id="16" xr3:uid="{00000000-0010-0000-0300-000010000000}" name="Clicksign" dataDxfId="247" totalsRowDxfId="246"/>
    <tableColumn id="17" xr3:uid="{00000000-0010-0000-0300-000011000000}" name="Contrato_Termo Aditivo" dataDxfId="245" totalsRowDxfId="244"/>
    <tableColumn id="18" xr3:uid="{00000000-0010-0000-0300-000012000000}" name="Obs" dataDxfId="243" totalsRowDxfId="242"/>
    <tableColumn id="19" xr3:uid="{00000000-0010-0000-0300-000013000000}" name="Parcelas" dataDxfId="241" totalsRowDxfId="240"/>
    <tableColumn id="20" xr3:uid="{00000000-0010-0000-0300-000014000000}" name="Contrato" dataDxfId="239" totalsRowDxfId="238"/>
    <tableColumn id="21" xr3:uid="{00000000-0010-0000-0300-000015000000}" name="SDR_RESPONSÁVEL" totalsRowFunction="count" dataDxfId="237" totalsRowDxfId="23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35" dataDxfId="233" totalsRowDxfId="231" headerRowBorderDxfId="234" tableBorderDxfId="232" totalsRowBorderDxfId="230">
  <autoFilter ref="A1:T39" xr:uid="{00000000-0009-0000-0100-000005000000}"/>
  <tableColumns count="20">
    <tableColumn id="1" xr3:uid="{00000000-0010-0000-0400-000001000000}" name="Data" totalsRowLabel="Total" dataDxfId="229" totalsRowDxfId="228"/>
    <tableColumn id="2" xr3:uid="{00000000-0010-0000-0400-000002000000}" name="Ticket" dataDxfId="227" totalsRowDxfId="226"/>
    <tableColumn id="3" xr3:uid="{00000000-0010-0000-0400-000003000000}" name="Vendedor" dataDxfId="225" totalsRowDxfId="224"/>
    <tableColumn id="4" xr3:uid="{00000000-0010-0000-0400-000004000000}" name="Cliente" dataDxfId="223" totalsRowDxfId="222"/>
    <tableColumn id="5" xr3:uid="{00000000-0010-0000-0400-000005000000}" name="Produto" dataDxfId="221" totalsRowDxfId="220"/>
    <tableColumn id="6" xr3:uid="{00000000-0010-0000-0400-000006000000}" name="TipoReceita" dataDxfId="219" totalsRowDxfId="218"/>
    <tableColumn id="7" xr3:uid="{00000000-0010-0000-0400-000007000000}" name="Qtde" dataDxfId="217" totalsRowDxfId="216"/>
    <tableColumn id="8" xr3:uid="{00000000-0010-0000-0400-000008000000}" name="VlrUnitário" dataDxfId="215" totalsRowDxfId="214"/>
    <tableColumn id="9" xr3:uid="{00000000-0010-0000-0400-000009000000}" name="VlrTotal" totalsRowFunction="sum" dataDxfId="213" totalsRowDxfId="212"/>
    <tableColumn id="10" xr3:uid="{00000000-0010-0000-0400-00000A000000}" name="%Comissão" dataDxfId="211" totalsRowDxfId="210" dataCellStyle="Porcentagem"/>
    <tableColumn id="11" xr3:uid="{00000000-0010-0000-0400-00000B000000}" name="%ComissãoSupervisor" dataDxfId="209" totalsRowDxfId="208" dataCellStyle="Porcentagem"/>
    <tableColumn id="12" xr3:uid="{00000000-0010-0000-0400-00000C000000}" name="Base" dataDxfId="207" totalsRowDxfId="206"/>
    <tableColumn id="13" xr3:uid="{00000000-0010-0000-0400-00000D000000}" name="ComissãoVendedor " totalsRowFunction="sum" dataDxfId="205" totalsRowDxfId="204"/>
    <tableColumn id="14" xr3:uid="{00000000-0010-0000-0400-00000E000000}" name="ComissãoSupervisor" totalsRowFunction="sum" dataDxfId="203" totalsRowDxfId="202"/>
    <tableColumn id="15" xr3:uid="{00000000-0010-0000-0400-00000F000000}" name="Clicksign" dataDxfId="201" totalsRowDxfId="200"/>
    <tableColumn id="16" xr3:uid="{00000000-0010-0000-0400-000010000000}" name="Contrato_Termo Aditivo" dataDxfId="199" totalsRowDxfId="198"/>
    <tableColumn id="17" xr3:uid="{00000000-0010-0000-0400-000011000000}" name="Obs" dataDxfId="197" totalsRowDxfId="196"/>
    <tableColumn id="18" xr3:uid="{00000000-0010-0000-0400-000012000000}" name="Parcelas" dataDxfId="195" totalsRowDxfId="194"/>
    <tableColumn id="19" xr3:uid="{00000000-0010-0000-0400-000013000000}" name="Contrato" dataDxfId="193" totalsRowDxfId="192"/>
    <tableColumn id="20" xr3:uid="{00000000-0010-0000-0400-000014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75" dataDxfId="73" totalsRowDxfId="71" headerRowBorderDxfId="74" tableBorderDxfId="72" totalsRowBorderDxfId="70">
  <autoFilter ref="A1:T472" xr:uid="{00000000-0009-0000-0100-000006000000}"/>
  <tableColumns count="20">
    <tableColumn id="1" xr3:uid="{00000000-0010-0000-0500-000001000000}" name="Data" dataDxfId="69" totalsRowDxfId="68"/>
    <tableColumn id="2" xr3:uid="{00000000-0010-0000-0500-000002000000}" name="Ticket" dataDxfId="67" totalsRowDxfId="66"/>
    <tableColumn id="20" xr3:uid="{00000000-0010-0000-0500-000014000000}" name="Vendedor" dataDxfId="65" totalsRowDxfId="64"/>
    <tableColumn id="21" xr3:uid="{00000000-0010-0000-0500-000015000000}" name="Cliente" dataDxfId="63" totalsRowDxfId="62"/>
    <tableColumn id="4" xr3:uid="{00000000-0010-0000-0500-000004000000}" name="Produto" dataDxfId="61" totalsRowDxfId="60"/>
    <tableColumn id="22" xr3:uid="{00000000-0010-0000-0500-000016000000}" name="TipoReceita" dataDxfId="59" totalsRowDxfId="58"/>
    <tableColumn id="5" xr3:uid="{00000000-0010-0000-0500-000005000000}" name="Qtde" totalsRowFunction="sum" dataDxfId="57" totalsRowDxfId="56"/>
    <tableColumn id="6" xr3:uid="{00000000-0010-0000-0500-000006000000}" name="VlrUnitário" dataDxfId="55" totalsRowDxfId="54"/>
    <tableColumn id="7" xr3:uid="{00000000-0010-0000-0500-000007000000}" name="VlrTotal" totalsRowFunction="sum" dataDxfId="53" totalsRowDxfId="52"/>
    <tableColumn id="8" xr3:uid="{00000000-0010-0000-0500-000008000000}" name="%Comissão" dataDxfId="51" totalsRowDxfId="50"/>
    <tableColumn id="24" xr3:uid="{00000000-0010-0000-0500-000018000000}" name="%ComissãoSupervisor" dataDxfId="49" totalsRowDxfId="48" dataCellStyle="Porcentagem"/>
    <tableColumn id="23" xr3:uid="{00000000-0010-0000-0500-000017000000}" name="Base" dataDxfId="47" totalsRowDxfId="46"/>
    <tableColumn id="12" xr3:uid="{00000000-0010-0000-0500-00000C000000}" name="ComissãoVendedor " totalsRowFunction="sum" dataDxfId="45" totalsRowDxfId="44"/>
    <tableColumn id="19" xr3:uid="{00000000-0010-0000-0500-000013000000}" name="ComissãoSupervisor" totalsRowFunction="sum" dataDxfId="43" totalsRowDxfId="42">
      <calculatedColumnFormula>I2*K2</calculatedColumnFormula>
    </tableColumn>
    <tableColumn id="13" xr3:uid="{00000000-0010-0000-0500-00000D000000}" name="Clicksign" dataDxfId="41" totalsRowDxfId="40"/>
    <tableColumn id="15" xr3:uid="{00000000-0010-0000-0500-00000F000000}" name="Contrato_Termo Aditivo" dataDxfId="39" totalsRowDxfId="38"/>
    <tableColumn id="18" xr3:uid="{00000000-0010-0000-0500-000012000000}" name="Obs" dataDxfId="37" totalsRowDxfId="36"/>
    <tableColumn id="3" xr3:uid="{00000000-0010-0000-0500-000003000000}" name="Parcelas" dataDxfId="35" totalsRowDxfId="34"/>
    <tableColumn id="9" xr3:uid="{00000000-0010-0000-0500-000009000000}" name="Contrato" dataDxfId="33" totalsRowDxfId="32"/>
    <tableColumn id="10" xr3:uid="{00000000-0010-0000-0500-00000A000000}" name="SDR_RESPONSÁVEL" totalsRowFunction="count" dataDxfId="31" totalsRowDxfId="30"/>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I16" sqref="I16"/>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0"/>
  <sheetViews>
    <sheetView showGridLines="0" zoomScaleNormal="100" workbookViewId="0">
      <pane xSplit="5" ySplit="1" topLeftCell="J72" activePane="bottomRight" state="frozen"/>
      <selection pane="topRight" activeCell="F1" sqref="F1"/>
      <selection pane="bottomLeft" activeCell="A3" sqref="A3"/>
      <selection pane="bottomRight" activeCell="K41" sqref="K41"/>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x14ac:dyDescent="0.3">
      <c r="A229" s="10">
        <v>46205</v>
      </c>
      <c r="B229" s="11">
        <v>145552</v>
      </c>
      <c r="C229" s="11" t="s">
        <v>22</v>
      </c>
      <c r="D229" s="11" t="s">
        <v>6561</v>
      </c>
      <c r="E229" s="11" t="s">
        <v>102</v>
      </c>
      <c r="F229" s="11" t="s">
        <v>41</v>
      </c>
      <c r="G229" s="12">
        <v>1</v>
      </c>
      <c r="H229" s="13">
        <v>1600</v>
      </c>
      <c r="I229" s="14">
        <f>vendas2026[[#This Row],[Qtde]]*vendas2026[[#This Row],[VlrUnitário]]</f>
        <v>1600</v>
      </c>
      <c r="J229" s="390">
        <f>vendas2026[[#This Row],[VlrTotal]]</f>
        <v>1600</v>
      </c>
      <c r="K229" s="392">
        <v>0.25</v>
      </c>
      <c r="L229" s="15">
        <v>0</v>
      </c>
      <c r="M229" s="14" t="s">
        <v>46</v>
      </c>
      <c r="N229" s="23">
        <f>vendas2026[[#This Row],[VlrTotal]]*vendas2026[[#This Row],[%Comissão]]</f>
        <v>400</v>
      </c>
      <c r="O229" s="14">
        <f>vendas2026[[#This Row],[VlrTotal]]*vendas2026[[#This Row],[%ComissãoSupervisor]]</f>
        <v>0</v>
      </c>
      <c r="P229" s="11" t="s">
        <v>27</v>
      </c>
      <c r="Q229" s="11" t="s">
        <v>27</v>
      </c>
      <c r="R229" s="11"/>
      <c r="S229" s="11">
        <v>10</v>
      </c>
      <c r="T229" s="380"/>
      <c r="U229" s="11" t="s">
        <v>147</v>
      </c>
      <c r="V229" s="16" t="s">
        <v>22</v>
      </c>
    </row>
    <row r="230" spans="1:22" x14ac:dyDescent="0.3">
      <c r="A230" s="10">
        <v>46205</v>
      </c>
      <c r="B230" s="11">
        <v>145552</v>
      </c>
      <c r="C230" s="11" t="s">
        <v>22</v>
      </c>
      <c r="D230" s="11" t="s">
        <v>6561</v>
      </c>
      <c r="E230" s="11" t="s">
        <v>102</v>
      </c>
      <c r="F230" s="11" t="s">
        <v>30</v>
      </c>
      <c r="G230" s="12">
        <v>1</v>
      </c>
      <c r="H230" s="13">
        <v>3145.54</v>
      </c>
      <c r="I230" s="14">
        <f>vendas2026[[#This Row],[Qtde]]*vendas2026[[#This Row],[VlrUnitário]]</f>
        <v>3145.54</v>
      </c>
      <c r="J230" s="390">
        <f>vendas2026[[#This Row],[VlrTotal]]</f>
        <v>3145.54</v>
      </c>
      <c r="K230" s="392">
        <v>1</v>
      </c>
      <c r="L230" s="15">
        <v>0</v>
      </c>
      <c r="M230" s="14" t="s">
        <v>46</v>
      </c>
      <c r="N230" s="23">
        <f>vendas2026[[#This Row],[VlrTotal]]*vendas2026[[#This Row],[%Comissão]]</f>
        <v>3145.54</v>
      </c>
      <c r="O230" s="14">
        <f>vendas2026[[#This Row],[VlrTotal]]*vendas2026[[#This Row],[%ComissãoSupervisor]]</f>
        <v>0</v>
      </c>
      <c r="P230" s="11" t="s">
        <v>27</v>
      </c>
      <c r="Q230" s="11" t="s">
        <v>27</v>
      </c>
      <c r="R230" s="11"/>
      <c r="S230" s="11">
        <v>1</v>
      </c>
      <c r="T230" s="380"/>
      <c r="U230" s="11" t="s">
        <v>147</v>
      </c>
      <c r="V230" s="16" t="s">
        <v>22</v>
      </c>
    </row>
    <row r="231" spans="1:22" x14ac:dyDescent="0.3">
      <c r="A231" s="10">
        <v>46205</v>
      </c>
      <c r="B231" s="11">
        <v>145552</v>
      </c>
      <c r="C231" s="11" t="s">
        <v>22</v>
      </c>
      <c r="D231" s="11" t="s">
        <v>6561</v>
      </c>
      <c r="E231" s="11" t="s">
        <v>63</v>
      </c>
      <c r="F231" s="11" t="s">
        <v>41</v>
      </c>
      <c r="G231" s="12">
        <v>1</v>
      </c>
      <c r="H231" s="13">
        <v>6900</v>
      </c>
      <c r="I231" s="14">
        <f>vendas2026[[#This Row],[Qtde]]*vendas2026[[#This Row],[VlrUnitário]]</f>
        <v>6900</v>
      </c>
      <c r="J231" s="390">
        <f>vendas2026[[#This Row],[VlrTotal]]</f>
        <v>6900</v>
      </c>
      <c r="K231" s="392">
        <v>0.25</v>
      </c>
      <c r="L231" s="15">
        <v>0</v>
      </c>
      <c r="M231" s="14" t="s">
        <v>46</v>
      </c>
      <c r="N231" s="23">
        <f>vendas2026[[#This Row],[VlrTotal]]*vendas2026[[#This Row],[%Comissão]]</f>
        <v>1725</v>
      </c>
      <c r="O231" s="14">
        <f>vendas2026[[#This Row],[VlrTotal]]*vendas2026[[#This Row],[%ComissãoSupervisor]]</f>
        <v>0</v>
      </c>
      <c r="P231" s="11" t="s">
        <v>27</v>
      </c>
      <c r="Q231" s="11" t="s">
        <v>27</v>
      </c>
      <c r="R231" s="11"/>
      <c r="S231" s="11">
        <v>10</v>
      </c>
      <c r="T231" s="380"/>
      <c r="U231" s="11" t="s">
        <v>147</v>
      </c>
      <c r="V231" s="16" t="s">
        <v>22</v>
      </c>
    </row>
    <row r="232" spans="1:22" x14ac:dyDescent="0.3">
      <c r="A232" s="10">
        <v>46205</v>
      </c>
      <c r="B232" s="11">
        <v>145552</v>
      </c>
      <c r="C232" s="11" t="s">
        <v>22</v>
      </c>
      <c r="D232" s="11" t="s">
        <v>6561</v>
      </c>
      <c r="E232" s="11" t="s">
        <v>63</v>
      </c>
      <c r="F232" s="11" t="s">
        <v>25</v>
      </c>
      <c r="G232" s="12">
        <v>24</v>
      </c>
      <c r="H232" s="13">
        <v>180</v>
      </c>
      <c r="I232" s="14">
        <f>vendas2026[[#This Row],[Qtde]]*vendas2026[[#This Row],[VlrUnitário]]</f>
        <v>4320</v>
      </c>
      <c r="J232" s="390">
        <f>vendas2026[[#This Row],[VlrTotal]]</f>
        <v>4320</v>
      </c>
      <c r="K232" s="392">
        <v>7.0000000000000007E-2</v>
      </c>
      <c r="L232" s="15">
        <v>0</v>
      </c>
      <c r="M232" s="14" t="s">
        <v>46</v>
      </c>
      <c r="N232" s="23">
        <f>vendas2026[[#This Row],[VlrTotal]]*vendas2026[[#This Row],[%Comissão]]</f>
        <v>302.40000000000003</v>
      </c>
      <c r="O232" s="14">
        <f>vendas2026[[#This Row],[VlrTotal]]*vendas2026[[#This Row],[%ComissãoSupervisor]]</f>
        <v>0</v>
      </c>
      <c r="P232" s="11" t="s">
        <v>27</v>
      </c>
      <c r="Q232" s="11" t="s">
        <v>27</v>
      </c>
      <c r="R232" s="11"/>
      <c r="S232" s="11">
        <v>10</v>
      </c>
      <c r="T232" s="380"/>
      <c r="U232" s="11" t="s">
        <v>147</v>
      </c>
      <c r="V232" s="16" t="s">
        <v>22</v>
      </c>
    </row>
    <row r="233" spans="1:22" x14ac:dyDescent="0.3">
      <c r="A233" s="10">
        <v>46205</v>
      </c>
      <c r="B233" s="11">
        <v>145552</v>
      </c>
      <c r="C233" s="11" t="s">
        <v>22</v>
      </c>
      <c r="D233" s="11" t="s">
        <v>6561</v>
      </c>
      <c r="E233" s="11" t="s">
        <v>63</v>
      </c>
      <c r="F233" s="11" t="s">
        <v>30</v>
      </c>
      <c r="G233" s="12">
        <v>15</v>
      </c>
      <c r="H233" s="13">
        <v>115</v>
      </c>
      <c r="I233" s="14">
        <f>vendas2026[[#This Row],[Qtde]]*vendas2026[[#This Row],[VlrUnitário]]</f>
        <v>1725</v>
      </c>
      <c r="J233" s="390">
        <f>vendas2026[[#This Row],[VlrTotal]]</f>
        <v>1725</v>
      </c>
      <c r="K233" s="392">
        <v>1</v>
      </c>
      <c r="L233" s="15">
        <v>0</v>
      </c>
      <c r="M233" s="14" t="s">
        <v>46</v>
      </c>
      <c r="N233" s="23">
        <f>vendas2026[[#This Row],[VlrTotal]]*vendas2026[[#This Row],[%Comissão]]</f>
        <v>1725</v>
      </c>
      <c r="O233" s="14">
        <f>vendas2026[[#This Row],[VlrTotal]]*vendas2026[[#This Row],[%ComissãoSupervisor]]</f>
        <v>0</v>
      </c>
      <c r="P233" s="11" t="s">
        <v>27</v>
      </c>
      <c r="Q233" s="11" t="s">
        <v>27</v>
      </c>
      <c r="R233" s="11"/>
      <c r="S233" s="11">
        <v>1</v>
      </c>
      <c r="T233" s="380"/>
      <c r="U233" s="11" t="s">
        <v>147</v>
      </c>
      <c r="V233" s="16" t="s">
        <v>22</v>
      </c>
    </row>
    <row r="234" spans="1:22" x14ac:dyDescent="0.3">
      <c r="A234" s="10">
        <v>46205</v>
      </c>
      <c r="B234" s="11">
        <v>145552</v>
      </c>
      <c r="C234" s="11" t="s">
        <v>22</v>
      </c>
      <c r="D234" s="11" t="s">
        <v>6561</v>
      </c>
      <c r="E234" s="11" t="s">
        <v>47</v>
      </c>
      <c r="F234" s="11" t="s">
        <v>41</v>
      </c>
      <c r="G234" s="12">
        <v>1</v>
      </c>
      <c r="H234" s="13">
        <v>12402.9</v>
      </c>
      <c r="I234" s="14">
        <f>vendas2026[[#This Row],[Qtde]]*vendas2026[[#This Row],[VlrUnitário]]</f>
        <v>12402.9</v>
      </c>
      <c r="J234" s="390">
        <f>vendas2026[[#This Row],[VlrTotal]]</f>
        <v>12402.9</v>
      </c>
      <c r="K234" s="392">
        <v>0.25</v>
      </c>
      <c r="L234" s="15">
        <v>0</v>
      </c>
      <c r="M234" s="14" t="s">
        <v>46</v>
      </c>
      <c r="N234" s="23">
        <f>vendas2026[[#This Row],[VlrTotal]]*vendas2026[[#This Row],[%Comissão]]</f>
        <v>3100.7249999999999</v>
      </c>
      <c r="O234" s="14">
        <f>vendas2026[[#This Row],[VlrTotal]]*vendas2026[[#This Row],[%ComissãoSupervisor]]</f>
        <v>0</v>
      </c>
      <c r="P234" s="11" t="s">
        <v>27</v>
      </c>
      <c r="Q234" s="11" t="s">
        <v>27</v>
      </c>
      <c r="R234" s="11"/>
      <c r="S234" s="11">
        <v>10</v>
      </c>
      <c r="T234" s="380"/>
      <c r="U234" s="11" t="s">
        <v>147</v>
      </c>
      <c r="V234" s="16" t="s">
        <v>22</v>
      </c>
    </row>
    <row r="235" spans="1:22" x14ac:dyDescent="0.3">
      <c r="A235" s="10">
        <v>46205</v>
      </c>
      <c r="B235" s="11">
        <v>145552</v>
      </c>
      <c r="C235" s="11" t="s">
        <v>22</v>
      </c>
      <c r="D235" s="11" t="s">
        <v>6561</v>
      </c>
      <c r="E235" s="11" t="s">
        <v>47</v>
      </c>
      <c r="F235" s="11" t="s">
        <v>25</v>
      </c>
      <c r="G235" s="12">
        <v>410</v>
      </c>
      <c r="H235" s="13">
        <v>180</v>
      </c>
      <c r="I235" s="14">
        <f>vendas2026[[#This Row],[Qtde]]*vendas2026[[#This Row],[VlrUnitário]]</f>
        <v>73800</v>
      </c>
      <c r="J235" s="390">
        <f>vendas2026[[#This Row],[VlrTotal]]</f>
        <v>73800</v>
      </c>
      <c r="K235" s="392">
        <v>7.0000000000000007E-2</v>
      </c>
      <c r="L235" s="15">
        <v>0</v>
      </c>
      <c r="M235" s="14" t="s">
        <v>46</v>
      </c>
      <c r="N235" s="23">
        <f>vendas2026[[#This Row],[VlrTotal]]*vendas2026[[#This Row],[%Comissão]]</f>
        <v>5166.0000000000009</v>
      </c>
      <c r="O235" s="14">
        <f>vendas2026[[#This Row],[VlrTotal]]*vendas2026[[#This Row],[%ComissãoSupervisor]]</f>
        <v>0</v>
      </c>
      <c r="P235" s="11" t="s">
        <v>27</v>
      </c>
      <c r="Q235" s="11" t="s">
        <v>27</v>
      </c>
      <c r="R235" s="11"/>
      <c r="S235" s="11">
        <v>10</v>
      </c>
      <c r="T235" s="380"/>
      <c r="U235" s="11" t="s">
        <v>147</v>
      </c>
      <c r="V235" s="16" t="s">
        <v>22</v>
      </c>
    </row>
    <row r="236" spans="1:22" x14ac:dyDescent="0.3">
      <c r="A236" s="10">
        <v>46205</v>
      </c>
      <c r="B236" s="11">
        <v>145552</v>
      </c>
      <c r="C236" s="11" t="s">
        <v>22</v>
      </c>
      <c r="D236" s="11" t="s">
        <v>6561</v>
      </c>
      <c r="E236" s="11" t="s">
        <v>47</v>
      </c>
      <c r="F236" s="11" t="s">
        <v>30</v>
      </c>
      <c r="G236" s="12">
        <v>12</v>
      </c>
      <c r="H236" s="13">
        <v>275.62</v>
      </c>
      <c r="I236" s="14">
        <f>vendas2026[[#This Row],[Qtde]]*vendas2026[[#This Row],[VlrUnitário]]</f>
        <v>3307.44</v>
      </c>
      <c r="J236" s="390">
        <f>vendas2026[[#This Row],[VlrTotal]]</f>
        <v>3307.44</v>
      </c>
      <c r="K236" s="392">
        <v>1</v>
      </c>
      <c r="L236" s="15">
        <v>0</v>
      </c>
      <c r="M236" s="14" t="s">
        <v>46</v>
      </c>
      <c r="N236" s="23">
        <f>vendas2026[[#This Row],[VlrTotal]]*vendas2026[[#This Row],[%Comissão]]</f>
        <v>3307.44</v>
      </c>
      <c r="O236" s="14">
        <f>vendas2026[[#This Row],[VlrTotal]]*vendas2026[[#This Row],[%ComissãoSupervisor]]</f>
        <v>0</v>
      </c>
      <c r="P236" s="11" t="s">
        <v>27</v>
      </c>
      <c r="Q236" s="11" t="s">
        <v>27</v>
      </c>
      <c r="R236" s="11"/>
      <c r="S236" s="11">
        <v>1</v>
      </c>
      <c r="T236" s="380"/>
      <c r="U236" s="11" t="s">
        <v>147</v>
      </c>
      <c r="V236" s="16" t="s">
        <v>22</v>
      </c>
    </row>
    <row r="237" spans="1:22" x14ac:dyDescent="0.3">
      <c r="A237" s="10">
        <v>46205</v>
      </c>
      <c r="B237" s="11">
        <v>145552</v>
      </c>
      <c r="C237" s="11" t="s">
        <v>22</v>
      </c>
      <c r="D237" s="11" t="s">
        <v>6561</v>
      </c>
      <c r="E237" s="11" t="s">
        <v>54</v>
      </c>
      <c r="F237" s="11" t="s">
        <v>30</v>
      </c>
      <c r="G237" s="12">
        <v>6</v>
      </c>
      <c r="H237" s="13">
        <v>142.56</v>
      </c>
      <c r="I237" s="14">
        <f>vendas2026[[#This Row],[Qtde]]*vendas2026[[#This Row],[VlrUnitário]]</f>
        <v>855.36</v>
      </c>
      <c r="J237" s="390">
        <f>vendas2026[[#This Row],[VlrTotal]]</f>
        <v>855.36</v>
      </c>
      <c r="K237" s="392">
        <v>1</v>
      </c>
      <c r="L237" s="15">
        <v>0</v>
      </c>
      <c r="M237" s="14" t="s">
        <v>46</v>
      </c>
      <c r="N237" s="23">
        <f>vendas2026[[#This Row],[VlrTotal]]*vendas2026[[#This Row],[%Comissão]]</f>
        <v>855.36</v>
      </c>
      <c r="O237" s="14">
        <f>vendas2026[[#This Row],[VlrTotal]]*vendas2026[[#This Row],[%ComissãoSupervisor]]</f>
        <v>0</v>
      </c>
      <c r="P237" s="11" t="s">
        <v>27</v>
      </c>
      <c r="Q237" s="11" t="s">
        <v>27</v>
      </c>
      <c r="R237" s="11"/>
      <c r="S237" s="11">
        <v>1</v>
      </c>
      <c r="T237" s="380"/>
      <c r="U237" s="11" t="s">
        <v>147</v>
      </c>
      <c r="V237" s="16" t="s">
        <v>22</v>
      </c>
    </row>
    <row r="238" spans="1:22" x14ac:dyDescent="0.3">
      <c r="A238" s="10">
        <v>46205</v>
      </c>
      <c r="B238" s="11">
        <v>145552</v>
      </c>
      <c r="C238" s="11" t="s">
        <v>22</v>
      </c>
      <c r="D238" s="11" t="s">
        <v>6561</v>
      </c>
      <c r="E238" s="11" t="s">
        <v>578</v>
      </c>
      <c r="F238" s="11" t="s">
        <v>30</v>
      </c>
      <c r="G238" s="12">
        <v>3</v>
      </c>
      <c r="H238" s="13">
        <v>280</v>
      </c>
      <c r="I238" s="14">
        <f>vendas2026[[#This Row],[Qtde]]*vendas2026[[#This Row],[VlrUnitário]]</f>
        <v>840</v>
      </c>
      <c r="J238" s="390">
        <f>vendas2026[[#This Row],[VlrTotal]]</f>
        <v>840</v>
      </c>
      <c r="K238" s="392">
        <v>1</v>
      </c>
      <c r="L238" s="15">
        <v>0</v>
      </c>
      <c r="M238" s="14" t="s">
        <v>46</v>
      </c>
      <c r="N238" s="23">
        <f>vendas2026[[#This Row],[VlrTotal]]*vendas2026[[#This Row],[%Comissão]]</f>
        <v>840</v>
      </c>
      <c r="O238" s="14">
        <f>vendas2026[[#This Row],[VlrTotal]]*vendas2026[[#This Row],[%ComissãoSupervisor]]</f>
        <v>0</v>
      </c>
      <c r="P238" s="11" t="s">
        <v>27</v>
      </c>
      <c r="Q238" s="11" t="s">
        <v>27</v>
      </c>
      <c r="R238" s="11"/>
      <c r="S238" s="11">
        <v>1</v>
      </c>
      <c r="T238" s="380"/>
      <c r="U238" s="11" t="s">
        <v>147</v>
      </c>
      <c r="V238" s="16" t="s">
        <v>22</v>
      </c>
    </row>
    <row r="239" spans="1:22" hidden="1" x14ac:dyDescent="0.3">
      <c r="A239" s="10">
        <v>46205</v>
      </c>
      <c r="B239" s="11">
        <v>138575</v>
      </c>
      <c r="C239" s="11" t="s">
        <v>22</v>
      </c>
      <c r="D239" s="11" t="s">
        <v>86</v>
      </c>
      <c r="E239" s="11" t="s">
        <v>138</v>
      </c>
      <c r="F239" s="11" t="s">
        <v>30</v>
      </c>
      <c r="G239" s="12">
        <v>3</v>
      </c>
      <c r="H239" s="13">
        <v>57.5</v>
      </c>
      <c r="I239" s="14">
        <f>vendas2026[[#This Row],[Qtde]]*vendas2026[[#This Row],[VlrUnitário]]</f>
        <v>172.5</v>
      </c>
      <c r="J239" s="390">
        <f>vendas2026[[#This Row],[VlrTotal]]</f>
        <v>172.5</v>
      </c>
      <c r="K239" s="392">
        <v>1</v>
      </c>
      <c r="L239" s="15">
        <v>0</v>
      </c>
      <c r="M239" s="14" t="s">
        <v>26</v>
      </c>
      <c r="N239" s="23">
        <f>vendas2026[[#This Row],[VlrTotal]]*vendas2026[[#This Row],[%Comissão]]</f>
        <v>172.5</v>
      </c>
      <c r="O239" s="14">
        <f>vendas2026[[#This Row],[VlrTotal]]*vendas2026[[#This Row],[%ComissãoSupervisor]]</f>
        <v>0</v>
      </c>
      <c r="P239" s="11" t="s">
        <v>27</v>
      </c>
      <c r="Q239" s="11" t="s">
        <v>27</v>
      </c>
      <c r="R239" s="11"/>
      <c r="S239" s="11">
        <v>1</v>
      </c>
      <c r="T239" s="380"/>
      <c r="U239" s="11" t="s">
        <v>38</v>
      </c>
      <c r="V239" s="16" t="s">
        <v>22</v>
      </c>
    </row>
    <row r="240" spans="1:22" ht="13.95" customHeight="1" x14ac:dyDescent="0.3">
      <c r="A240" s="76" t="s">
        <v>150</v>
      </c>
      <c r="B240" s="21"/>
      <c r="C240" s="21"/>
      <c r="D240" s="11"/>
      <c r="E240" s="21"/>
      <c r="F240" s="21"/>
      <c r="G240" s="22">
        <f>SUBTOTAL(109,vendas2026[Qtde])</f>
        <v>5435</v>
      </c>
      <c r="H240" s="21"/>
      <c r="I240" s="23">
        <f>SUBTOTAL(109,vendas2026[VlrTotal])</f>
        <v>1250077.2400000002</v>
      </c>
      <c r="J240" s="23">
        <f>SUBTOTAL(109,vendas2026[Vlr Meta])</f>
        <v>1077983.6200000003</v>
      </c>
      <c r="K240" s="21"/>
      <c r="L240" s="21"/>
      <c r="M240" s="21"/>
      <c r="N240" s="23">
        <f>SUBTOTAL(109,vendas2026[[ComissãoVendedor ]])</f>
        <v>242586.82838599998</v>
      </c>
      <c r="O240" s="23">
        <f>SUBTOTAL(109,vendas2026[ComissãoSupervisor])</f>
        <v>26636.770999999997</v>
      </c>
      <c r="P240" s="21"/>
      <c r="Q240" s="21"/>
      <c r="R240" s="21"/>
      <c r="S240" s="21"/>
      <c r="T240" s="381"/>
      <c r="U240" s="21"/>
      <c r="V240" s="75">
        <f>SUBTOTAL(103,vendas2026[SDR_RESPONSÁVEL])</f>
        <v>117</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12" workbookViewId="0">
      <selection activeCell="B18" sqref="B18"/>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3583.06</v>
      </c>
      <c r="D4" s="83">
        <f>C4/B4</f>
        <v>3.9811777777777779E-2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13544</v>
      </c>
      <c r="D8" s="83">
        <f>C8/B8</f>
        <v>0.15048888888888889</v>
      </c>
    </row>
    <row r="9" spans="1:6" ht="15.6" customHeight="1" thickTop="1" thickBot="1" x14ac:dyDescent="0.35">
      <c r="A9" s="80" t="s">
        <v>160</v>
      </c>
      <c r="B9" s="81">
        <v>9000</v>
      </c>
      <c r="C9" s="82">
        <v>720</v>
      </c>
      <c r="D9" s="83">
        <f>C9/B9</f>
        <v>0.08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10333.34</v>
      </c>
      <c r="D14" s="83">
        <f>C14/B14</f>
        <v>1.033334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116149.95999999999</v>
      </c>
      <c r="D24" s="86">
        <f>C24/B24</f>
        <v>0.32263877777777777</v>
      </c>
    </row>
    <row r="25" spans="1:6" ht="15.6" customHeight="1" thickTop="1" thickBot="1" x14ac:dyDescent="0.35">
      <c r="A25" s="84" t="s">
        <v>165</v>
      </c>
      <c r="B25" s="87">
        <f>B9+B14+B18+B5</f>
        <v>36000</v>
      </c>
      <c r="C25" s="87">
        <f>C5+C9+C14+C18</f>
        <v>11053.34</v>
      </c>
      <c r="D25" s="88">
        <f>C25/B25</f>
        <v>0.30703722222222224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116149.95999999999</v>
      </c>
      <c r="D28" s="86">
        <f>C28/B28</f>
        <v>0.32263877777777777</v>
      </c>
    </row>
    <row r="29" spans="1:6" ht="15.6" customHeight="1" thickTop="1" thickBot="1" x14ac:dyDescent="0.35">
      <c r="A29" s="80" t="s">
        <v>160</v>
      </c>
      <c r="B29" s="85">
        <f>B25</f>
        <v>36000</v>
      </c>
      <c r="C29" s="89">
        <f>C9+C14+C18+C5</f>
        <v>11053.34</v>
      </c>
      <c r="D29" s="86">
        <f>C29/B29</f>
        <v>0.30703722222222224</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9" sqref="R59"/>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hidden="1"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hidden="1"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hidden="1"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hidden="1"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hidden="1"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hidden="1"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hidden="1"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hidden="1"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hidden="1"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hidden="1"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hidden="1"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hidden="1"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hidden="1"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hidden="1"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hidden="1"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hidden="1"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hidden="1"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hidden="1"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hidden="1"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hidden="1"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hidden="1"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hidden="1"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hidden="1"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hidden="1"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hidden="1"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hidden="1"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hidden="1"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hidden="1"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hidden="1"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hidden="1"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hidden="1"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hidden="1"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hidden="1"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hidden="1"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hidden="1"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hidden="1"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10</v>
      </c>
      <c r="R58" s="377">
        <v>9</v>
      </c>
      <c r="S58" s="53">
        <f>'Metas Quadro'!C9</f>
        <v>720</v>
      </c>
      <c r="T58" s="53">
        <f>'Metas Quadro'!C29</f>
        <v>11053.34</v>
      </c>
      <c r="U58" s="53">
        <f>'Metas Quadro'!C8</f>
        <v>13544</v>
      </c>
      <c r="V58" s="376">
        <v>150</v>
      </c>
      <c r="W58">
        <v>15</v>
      </c>
      <c r="X58">
        <v>12</v>
      </c>
      <c r="Y58" s="236">
        <v>9</v>
      </c>
      <c r="Z58" s="236">
        <v>36</v>
      </c>
      <c r="AA58" s="54">
        <v>90000</v>
      </c>
      <c r="AB58" s="391">
        <f>metas[[#This Row],[Meta Individual]]/9000</f>
        <v>0.08</v>
      </c>
      <c r="AC58" s="391">
        <f>metas[[#This Row],[Meta Equipe]]/36000/4</f>
        <v>7.675930555555556E-2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1</v>
      </c>
      <c r="R59" s="377">
        <v>6</v>
      </c>
      <c r="S59" s="53">
        <f>'Metas Quadro'!C5</f>
        <v>0</v>
      </c>
      <c r="T59" s="53">
        <f>T58</f>
        <v>11053.34</v>
      </c>
      <c r="U59" s="53">
        <f>'Metas Quadro'!C4</f>
        <v>3583.06</v>
      </c>
      <c r="V59" s="376">
        <v>150</v>
      </c>
      <c r="W59">
        <v>15</v>
      </c>
      <c r="X59">
        <v>12</v>
      </c>
      <c r="Y59" s="236">
        <v>10</v>
      </c>
      <c r="Z59" s="236">
        <v>36</v>
      </c>
      <c r="AA59" s="54">
        <v>90000</v>
      </c>
      <c r="AB59" s="391">
        <f>metas[[#This Row],[Meta Individual]]/10000</f>
        <v>0</v>
      </c>
      <c r="AC59" s="391">
        <f>metas[[#This Row],[Meta Equipe]]/36000/4</f>
        <v>7.675930555555556E-2</v>
      </c>
    </row>
    <row r="60" spans="1:29" x14ac:dyDescent="0.3">
      <c r="M60" s="238">
        <v>2026</v>
      </c>
      <c r="N60" s="52">
        <v>46204</v>
      </c>
      <c r="O60" s="32" t="s">
        <v>22</v>
      </c>
      <c r="P60" s="32"/>
      <c r="Q60" s="377">
        <v>0</v>
      </c>
      <c r="R60" s="377">
        <v>0</v>
      </c>
      <c r="S60" s="53">
        <f>'Metas Quadro'!C14</f>
        <v>10333.34</v>
      </c>
      <c r="T60" s="53">
        <f>T59</f>
        <v>11053.34</v>
      </c>
      <c r="U60" s="53">
        <f>'Metas Quadro'!C13</f>
        <v>99022.9</v>
      </c>
      <c r="V60" s="376">
        <v>150</v>
      </c>
      <c r="W60">
        <v>15</v>
      </c>
      <c r="X60">
        <v>12</v>
      </c>
      <c r="Y60" s="236">
        <v>10</v>
      </c>
      <c r="Z60" s="236">
        <v>36</v>
      </c>
      <c r="AA60" s="54">
        <v>90000</v>
      </c>
      <c r="AB60" s="391">
        <f>metas[[#This Row],[Meta Individual]]/10000</f>
        <v>1.033334</v>
      </c>
      <c r="AC60" s="391">
        <f>metas[[#This Row],[Meta Equipe]]/36000/4</f>
        <v>7.675930555555556E-2</v>
      </c>
    </row>
    <row r="61" spans="1:29" x14ac:dyDescent="0.3">
      <c r="A61" s="47" t="s">
        <v>197</v>
      </c>
      <c r="B61" s="47"/>
      <c r="C61" s="47"/>
      <c r="D61" s="47"/>
      <c r="E61" s="47"/>
      <c r="F61" s="47"/>
      <c r="G61" s="47"/>
      <c r="H61" s="47"/>
      <c r="I61" s="47"/>
      <c r="J61" s="47"/>
      <c r="K61" s="47"/>
      <c r="L61" s="47"/>
      <c r="M61" s="238">
        <v>2026</v>
      </c>
      <c r="N61" s="52">
        <v>46204</v>
      </c>
      <c r="O61" t="s">
        <v>142</v>
      </c>
      <c r="P61" s="32"/>
      <c r="Q61" s="377">
        <v>5</v>
      </c>
      <c r="R61" s="377">
        <v>8</v>
      </c>
      <c r="S61" s="53">
        <f>'Metas Quadro'!C18</f>
        <v>0</v>
      </c>
      <c r="T61" s="53">
        <f>T60</f>
        <v>11053.34</v>
      </c>
      <c r="U61" s="53">
        <f>'Metas Quadro'!C17</f>
        <v>0</v>
      </c>
      <c r="V61" s="376">
        <v>150</v>
      </c>
      <c r="W61">
        <v>15</v>
      </c>
      <c r="X61">
        <v>12</v>
      </c>
      <c r="Y61" s="236">
        <v>7</v>
      </c>
      <c r="Z61" s="236">
        <v>36</v>
      </c>
      <c r="AA61" s="54">
        <v>63000</v>
      </c>
      <c r="AB61" s="391">
        <f>metas[[#This Row],[Meta Individual]]/7000</f>
        <v>0</v>
      </c>
      <c r="AC61" s="391">
        <f>metas[[#This Row],[Meta Equipe]]/36000/4</f>
        <v>7.675930555555556E-2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4" t="s">
        <v>185</v>
      </c>
      <c r="D67" s="398"/>
      <c r="E67" s="398"/>
      <c r="F67" s="398"/>
      <c r="G67" s="405" t="s">
        <v>186</v>
      </c>
      <c r="H67" s="398"/>
      <c r="I67" s="398"/>
      <c r="J67" s="398"/>
      <c r="K67" s="397" t="s">
        <v>187</v>
      </c>
      <c r="L67" s="398"/>
      <c r="M67" s="398"/>
      <c r="N67" s="398"/>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07" t="s">
        <v>513</v>
      </c>
      <c r="D75" s="398"/>
      <c r="E75" s="398"/>
      <c r="F75" s="398"/>
      <c r="G75" s="398"/>
      <c r="H75" s="398"/>
      <c r="I75" s="398"/>
      <c r="J75" s="398"/>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3" t="s">
        <v>520</v>
      </c>
      <c r="D84" s="398"/>
      <c r="E84" s="398"/>
      <c r="F84" s="398"/>
      <c r="G84" s="398"/>
      <c r="H84" s="398"/>
      <c r="I84" s="398"/>
      <c r="J84" s="398"/>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1" t="str">
        <f>IF(J71&lt;100%,"NÃO BATEU","CUMPRIU")</f>
        <v>CUMPRIU</v>
      </c>
      <c r="J87" s="401"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1" t="str">
        <f>IF(F71&lt;100%,"NÃO BATEU","CUMPRIU")</f>
        <v>NÃO BATEU</v>
      </c>
      <c r="J92" s="401"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11"/>
      <c r="J93" s="41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1" t="str">
        <f>IF(N71&lt;100%,"NÃO BATEU","CUMPRIU")</f>
        <v>CUMPRIU</v>
      </c>
      <c r="J98" s="401"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11"/>
      <c r="J99" s="41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11"/>
      <c r="J100" s="41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08" t="s">
        <v>538</v>
      </c>
      <c r="E109" s="409"/>
      <c r="F109" s="410"/>
    </row>
    <row r="110" spans="4:14" ht="15.6" customHeight="1" x14ac:dyDescent="0.3">
      <c r="D110" s="168" t="s">
        <v>2</v>
      </c>
      <c r="E110" s="406" t="s">
        <v>539</v>
      </c>
      <c r="F110" s="400"/>
    </row>
    <row r="111" spans="4:14" ht="15.6" customHeight="1" x14ac:dyDescent="0.3">
      <c r="D111" s="169" t="s">
        <v>540</v>
      </c>
      <c r="E111" s="399">
        <f>M89</f>
        <v>4404.8160753828961</v>
      </c>
      <c r="F111" s="400"/>
    </row>
    <row r="112" spans="4:14" ht="15.6" customHeight="1" x14ac:dyDescent="0.3">
      <c r="D112" s="169" t="s">
        <v>541</v>
      </c>
      <c r="E112" s="399">
        <f>M95</f>
        <v>252.24243775806644</v>
      </c>
      <c r="F112" s="400"/>
    </row>
    <row r="113" spans="4:10" ht="16.2" customHeight="1" thickBot="1" x14ac:dyDescent="0.35">
      <c r="D113" s="170" t="s">
        <v>22</v>
      </c>
      <c r="E113" s="412">
        <f>N102</f>
        <v>27673.744486859039</v>
      </c>
      <c r="F113" s="413"/>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4" t="s">
        <v>185</v>
      </c>
      <c r="D44" s="394"/>
      <c r="E44" s="394"/>
      <c r="F44" s="394"/>
      <c r="G44" s="405" t="s">
        <v>186</v>
      </c>
      <c r="H44" s="394"/>
      <c r="I44" s="394"/>
      <c r="J44" s="394"/>
      <c r="K44" s="397"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07"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3"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1" t="str">
        <f>IF(J48&lt;100%,"NÃO BATEU","CUMPRIU")</f>
        <v>NÃO BATEU</v>
      </c>
      <c r="J64" s="401"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1" t="str">
        <f>IF(F48&lt;100%,"NÃO BATEU","CUMPRIU")</f>
        <v>NÃO BATEU</v>
      </c>
      <c r="J69" s="401"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11"/>
      <c r="J70" s="41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1" t="str">
        <f>IF(N48&lt;100%,"NÃO BATEU","CUMPRIU")</f>
        <v>CUMPRIU</v>
      </c>
      <c r="J75" s="401"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11"/>
      <c r="J76" s="411"/>
      <c r="K76" s="140">
        <f>E76/E84</f>
        <v>0.59256640120275605</v>
      </c>
      <c r="L76" s="155">
        <f>K76*G84</f>
        <v>0</v>
      </c>
      <c r="M76" s="156">
        <f>H72*0.25</f>
        <v>-147.44825</v>
      </c>
      <c r="N76" s="157">
        <v>1783.18</v>
      </c>
    </row>
    <row r="77" spans="4:14" x14ac:dyDescent="0.3">
      <c r="D77" s="138" t="s">
        <v>35</v>
      </c>
      <c r="E77" s="139">
        <v>0</v>
      </c>
      <c r="F77" s="139">
        <v>0</v>
      </c>
      <c r="G77" s="139">
        <f>F77*0.1</f>
        <v>0</v>
      </c>
      <c r="H77" s="141">
        <v>0</v>
      </c>
      <c r="I77" s="411"/>
      <c r="J77" s="41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08" t="s">
        <v>538</v>
      </c>
      <c r="E86" s="409"/>
      <c r="F86" s="410"/>
    </row>
    <row r="87" spans="4:7" ht="15.6" customHeight="1" x14ac:dyDescent="0.3">
      <c r="D87" s="168" t="s">
        <v>2</v>
      </c>
      <c r="E87" s="406" t="s">
        <v>539</v>
      </c>
      <c r="F87" s="400"/>
    </row>
    <row r="88" spans="4:7" ht="15.6" customHeight="1" x14ac:dyDescent="0.3">
      <c r="D88" s="169" t="s">
        <v>540</v>
      </c>
      <c r="E88" s="414">
        <f>M66</f>
        <v>-1052.5550000000001</v>
      </c>
      <c r="F88" s="400"/>
    </row>
    <row r="89" spans="4:7" ht="15.6" customHeight="1" x14ac:dyDescent="0.3">
      <c r="D89" s="169" t="s">
        <v>541</v>
      </c>
      <c r="E89" s="414">
        <f>M72</f>
        <v>-589.79300000000001</v>
      </c>
      <c r="F89" s="400"/>
    </row>
    <row r="90" spans="4:7" ht="16.2" customHeight="1" thickBot="1" x14ac:dyDescent="0.35">
      <c r="D90" s="170" t="s">
        <v>22</v>
      </c>
      <c r="E90" s="412">
        <f>N79</f>
        <v>5417.1939999999995</v>
      </c>
      <c r="F90" s="413"/>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A867"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2026-07-22T13:05:45Z</dcterms:modified>
</cp:coreProperties>
</file>