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7712EB98-B809-4A6A-A4C7-8CE364FFA976}" xr6:coauthVersionLast="47" xr6:coauthVersionMax="47" xr10:uidLastSave="{00000000-0000-0000-0000-000000000000}"/>
  <bookViews>
    <workbookView xWindow="-21720" yWindow="660" windowWidth="21840" windowHeight="13020" tabRatio="1000" activeTab="2"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iterateDelta="1E-4"/>
  <pivotCaches>
    <pivotCache cacheId="0" r:id="rId22"/>
    <pivotCache cacheId="1" r:id="rId23"/>
    <pivotCache cacheId="2" r:id="rId24"/>
    <pivotCache cacheId="3" r:id="rId25"/>
    <pivotCache cacheId="4" r:id="rId26"/>
    <pivotCache cacheId="5" r:id="rId27"/>
    <pivotCache cacheId="6"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6" i="2" l="1"/>
  <c r="I265" i="2"/>
  <c r="I264" i="2"/>
  <c r="I263" i="2"/>
  <c r="I262" i="2"/>
  <c r="I261" i="2"/>
  <c r="I260" i="2"/>
  <c r="I259" i="2"/>
  <c r="I258" i="2"/>
  <c r="I257" i="2"/>
  <c r="AB63" i="4"/>
  <c r="AB62" i="4"/>
  <c r="AB60" i="4"/>
  <c r="AB61" i="4"/>
  <c r="U65" i="4"/>
  <c r="U64" i="4"/>
  <c r="U63" i="4"/>
  <c r="U62" i="4"/>
  <c r="S65" i="4"/>
  <c r="S64" i="4"/>
  <c r="S63" i="4"/>
  <c r="S62" i="4"/>
  <c r="T59" i="4"/>
  <c r="AB65" i="4"/>
  <c r="AB64" i="4"/>
  <c r="L256" i="2"/>
  <c r="I256" i="2"/>
  <c r="L255" i="2"/>
  <c r="I255" i="2"/>
  <c r="L254" i="2"/>
  <c r="I254" i="2"/>
  <c r="L253" i="2"/>
  <c r="I253" i="2"/>
  <c r="L252" i="2"/>
  <c r="I252" i="2"/>
  <c r="L251" i="2"/>
  <c r="I251" i="2"/>
  <c r="L250" i="2"/>
  <c r="I250" i="2"/>
  <c r="L249" i="2"/>
  <c r="I249" i="2"/>
  <c r="L248" i="2"/>
  <c r="I248" i="2"/>
  <c r="L247" i="2"/>
  <c r="I247" i="2"/>
  <c r="B25" i="3"/>
  <c r="B29" i="3" s="1"/>
  <c r="I246" i="2"/>
  <c r="O246" i="2" s="1"/>
  <c r="I245" i="2"/>
  <c r="I244" i="2"/>
  <c r="L243" i="2"/>
  <c r="I243" i="2"/>
  <c r="L242" i="2"/>
  <c r="I242" i="2"/>
  <c r="L241" i="2"/>
  <c r="I241" i="2"/>
  <c r="L240" i="2"/>
  <c r="I240" i="2"/>
  <c r="L239" i="2"/>
  <c r="I239" i="2"/>
  <c r="L238" i="2"/>
  <c r="I238" i="2"/>
  <c r="L237" i="2"/>
  <c r="I237" i="2"/>
  <c r="L236" i="2"/>
  <c r="I236" i="2"/>
  <c r="L235" i="2"/>
  <c r="I235" i="2"/>
  <c r="L234" i="2"/>
  <c r="I234" i="2"/>
  <c r="L233" i="2"/>
  <c r="I233" i="2"/>
  <c r="L232" i="2"/>
  <c r="I232" i="2"/>
  <c r="L231" i="2"/>
  <c r="I231" i="2"/>
  <c r="L230" i="2"/>
  <c r="I230" i="2"/>
  <c r="I229" i="2"/>
  <c r="L228" i="2"/>
  <c r="I228" i="2"/>
  <c r="L227" i="2"/>
  <c r="I227" i="2"/>
  <c r="I226" i="2"/>
  <c r="L225" i="2"/>
  <c r="I225" i="2"/>
  <c r="L224" i="2"/>
  <c r="I224" i="2"/>
  <c r="U61" i="4"/>
  <c r="S61" i="4"/>
  <c r="AB59" i="4"/>
  <c r="AB58" i="4"/>
  <c r="C25" i="3"/>
  <c r="C29" i="3"/>
  <c r="B24" i="3"/>
  <c r="B28" i="3"/>
  <c r="C28" i="3"/>
  <c r="D28" i="3" s="1"/>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67" i="2"/>
  <c r="G267"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D25" i="3" l="1"/>
  <c r="T62" i="4"/>
  <c r="O266" i="2"/>
  <c r="J266" i="2"/>
  <c r="N266" i="2"/>
  <c r="O265" i="2"/>
  <c r="N265" i="2"/>
  <c r="J265" i="2"/>
  <c r="O264" i="2"/>
  <c r="N264" i="2"/>
  <c r="J264" i="2"/>
  <c r="O263" i="2"/>
  <c r="N263" i="2"/>
  <c r="J263" i="2"/>
  <c r="O262" i="2"/>
  <c r="N262" i="2"/>
  <c r="J262" i="2"/>
  <c r="O261" i="2"/>
  <c r="N261" i="2"/>
  <c r="J261" i="2"/>
  <c r="O260" i="2"/>
  <c r="N260" i="2"/>
  <c r="J260" i="2"/>
  <c r="J259" i="2"/>
  <c r="N259" i="2"/>
  <c r="O259" i="2"/>
  <c r="O258" i="2"/>
  <c r="J258" i="2"/>
  <c r="N258" i="2"/>
  <c r="O257" i="2"/>
  <c r="N257" i="2"/>
  <c r="J257" i="2"/>
  <c r="O256" i="2"/>
  <c r="N256" i="2"/>
  <c r="J256" i="2"/>
  <c r="O255" i="2"/>
  <c r="N255" i="2"/>
  <c r="J255" i="2"/>
  <c r="J254" i="2"/>
  <c r="O254" i="2"/>
  <c r="N254" i="2"/>
  <c r="J253" i="2"/>
  <c r="O253" i="2"/>
  <c r="N253" i="2"/>
  <c r="O252" i="2"/>
  <c r="N252" i="2"/>
  <c r="J252" i="2"/>
  <c r="J251" i="2"/>
  <c r="O251" i="2"/>
  <c r="N251" i="2"/>
  <c r="O250" i="2"/>
  <c r="N250" i="2"/>
  <c r="J250" i="2"/>
  <c r="O249" i="2"/>
  <c r="N249" i="2"/>
  <c r="J249" i="2"/>
  <c r="O248" i="2"/>
  <c r="N248" i="2"/>
  <c r="J248" i="2"/>
  <c r="O247" i="2"/>
  <c r="N247" i="2"/>
  <c r="J247" i="2"/>
  <c r="J246" i="2"/>
  <c r="N246" i="2"/>
  <c r="O245" i="2"/>
  <c r="N245" i="2"/>
  <c r="J245" i="2"/>
  <c r="O244" i="2"/>
  <c r="N244" i="2"/>
  <c r="J244" i="2"/>
  <c r="O243" i="2"/>
  <c r="N243" i="2"/>
  <c r="J243" i="2"/>
  <c r="O242" i="2"/>
  <c r="N242" i="2"/>
  <c r="J242" i="2"/>
  <c r="O241" i="2"/>
  <c r="N241" i="2"/>
  <c r="J241" i="2"/>
  <c r="O240" i="2"/>
  <c r="N240" i="2"/>
  <c r="J240" i="2"/>
  <c r="O239" i="2"/>
  <c r="N239" i="2"/>
  <c r="J239" i="2"/>
  <c r="O238" i="2"/>
  <c r="N238" i="2"/>
  <c r="J238" i="2"/>
  <c r="O237" i="2"/>
  <c r="N237" i="2"/>
  <c r="J237" i="2"/>
  <c r="O236" i="2"/>
  <c r="N236" i="2"/>
  <c r="J236" i="2"/>
  <c r="O235" i="2"/>
  <c r="N235" i="2"/>
  <c r="J235" i="2"/>
  <c r="J234" i="2"/>
  <c r="O234" i="2"/>
  <c r="N234" i="2"/>
  <c r="O233" i="2"/>
  <c r="N233" i="2"/>
  <c r="J233" i="2"/>
  <c r="O232" i="2"/>
  <c r="N232" i="2"/>
  <c r="J232" i="2"/>
  <c r="O231" i="2"/>
  <c r="N231" i="2"/>
  <c r="J231" i="2"/>
  <c r="O230" i="2"/>
  <c r="N230" i="2"/>
  <c r="J230" i="2"/>
  <c r="AC58" i="4"/>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67"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3" i="4" l="1"/>
  <c r="AC62" i="4"/>
  <c r="O267" i="2"/>
  <c r="T60" i="4"/>
  <c r="AC59" i="4"/>
  <c r="N267" i="2"/>
  <c r="J267"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4" i="4" l="1"/>
  <c r="AC63" i="4"/>
  <c r="T61" i="4"/>
  <c r="AC61" i="4" s="1"/>
  <c r="AC60" i="4"/>
  <c r="L101" i="9"/>
  <c r="N102" i="9" s="1"/>
  <c r="E113" i="9" s="1"/>
  <c r="L89" i="9"/>
  <c r="M89" i="9" s="1"/>
  <c r="E111" i="9" s="1"/>
  <c r="T65" i="4" l="1"/>
  <c r="AC65" i="4" s="1"/>
  <c r="AC64" i="4"/>
  <c r="EE23" i="8" l="1"/>
  <c r="DN28" i="8"/>
  <c r="CX3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<sst xmlns="http://schemas.openxmlformats.org/spreadsheetml/2006/main" count="58849" uniqueCount="6565">
  <si>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</si>
  <si>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</si>
  <si>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</si>
  <si>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</si>
  <si>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</si>
  <si>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</si>
  <si>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</si>
  <si>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</si>
  <si>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</si>
  <si>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</si>
  <si>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</si>
  <si>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</si>
  <si>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</si>
  <si>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</si>
  <si>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</si>
  <si>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</si>
  <si>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</si>
  <si>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</si>
  <si>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</si>
  <si>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</si>
  <si>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</si>
  <si>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</si>
  <si>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</si>
  <si>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</si>
  <si>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</si>
  <si>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</si>
  <si>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</si>
  <si>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</si>
  <si>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</si>
  <si>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</si>
  <si>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</si>
  <si>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</si>
  <si>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</si>
  <si>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</si>
  <si>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</si>
  <si>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</si>
  <si>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</si>
  <si>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</si>
  <si>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</si>
  <si>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</si>
  <si>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</si>
  <si>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</si>
  <si>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</si>
  <si>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</si>
  <si>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</si>
  <si>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</si>
  <si>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</si>
  <si>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</si>
  <si>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</si>
  <si>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</si>
  <si>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</si>
  <si>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</si>
  <si>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</si>
  <si>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</si>
  <si>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</si>
  <si>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</si>
  <si>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</si>
  <si>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</si>
  <si>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</si>
  <si>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</si>
  <si>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</si>
  <si>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</si>
  <si>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</si>
  <si>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</si>
  <si>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</si>
  <si>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</si>
  <si>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</si>
  <si>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</si>
  <si>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</si>
  <si>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</si>
  <si>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</si>
  <si>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</si>
  <si>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</si>
  <si>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</si>
  <si>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</si>
  <si>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</si>
  <si>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</si>
  <si>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</si>
  <si>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</si>
  <si>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</si>
  <si>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</si>
  <si>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</si>
  <si>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</si>
  <si>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</si>
  <si>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</si>
  <si>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</si>
  <si>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</si>
  <si>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</si>
  <si>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</si>
  <si>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</si>
  <si>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</si>
  <si>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</si>
  <si>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</si>
  <si>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</si>
  <si>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</si>
  <si>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</si>
  <si>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</si>
  <si>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</si>
  <si>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</si>
  <si>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</si>
  <si>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</si>
  <si>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</si>
  <si>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</si>
  <si>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</si>
  <si>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</si>
  <si>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</si>
  <si>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</si>
  <si>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</si>
  <si>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</si>
  <si>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</si>
  <si>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</si>
  <si>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</si>
  <si>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</si>
  <si>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</si>
  <si>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</si>
  <si>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</si>
  <si>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</si>
  <si>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</si>
  <si>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</si>
  <si>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</si>
  <si>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</si>
  <si>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</si>
  <si>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</si>
  <si>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</si>
  <si>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</si>
  <si>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</si>
  <si>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</si>
  <si>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</si>
  <si>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</si>
  <si>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</si>
  <si>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</si>
  <si>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</si>
  <si>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</si>
  <si>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</si>
  <si>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</si>
  <si>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</si>
  <si>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</si>
  <si>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</si>
  <si>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</si>
  <si>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</si>
  <si>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</si>
  <si>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</si>
  <si>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</si>
  <si>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</si>
  <si>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</si>
  <si>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</si>
  <si>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</si>
  <si>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</si>
  <si>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</si>
  <si>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</si>
  <si>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</si>
  <si>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</si>
  <si>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</si>
  <si>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</si>
  <si>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</si>
  <si>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</si>
  <si>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</si>
  <si>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</si>
  <si>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</si>
  <si>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</si>
  <si>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</si>
  <si>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</si>
  <si>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</si>
  <si>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</si>
  <si>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</si>
  <si>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</si>
  <si>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</si>
  <si>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</si>
  <si>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</si>
  <si>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</si>
  <si>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</si>
  <si>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</si>
  <si>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</si>
  <si>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</si>
  <si>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</si>
  <si>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</si>
  <si>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</si>
  <si>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</si>
  <si>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</si>
  <si>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</si>
  <si>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</si>
  <si>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</si>
  <si>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</si>
  <si>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</si>
  <si>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</si>
  <si>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</si>
  <si>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</si>
  <si>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</si>
  <si>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</si>
  <si>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</si>
  <si>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</si>
  <si>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</si>
  <si>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</si>
  <si>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</si>
  <si>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</si>
  <si>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</si>
  <si>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</si>
  <si>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</si>
  <si>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</si>
  <si>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</si>
  <si>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</si>
  <si>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</si>
  <si>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</si>
  <si>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</si>
  <si>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</si>
  <si>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</si>
  <si>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</si>
  <si>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</si>
  <si>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</si>
  <si>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</si>
  <si>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</si>
  <si>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</si>
  <si>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</si>
  <si>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</si>
  <si>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</si>
  <si>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</si>
  <si>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</si>
  <si>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</si>
  <si>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</si>
  <si>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</si>
  <si>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</si>
  <si>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</si>
  <si>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</si>
  <si>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</si>
  <si>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</si>
  <si>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</si>
  <si>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</si>
  <si>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</si>
  <si>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</si>
  <si>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</si>
  <si>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</si>
  <si>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</si>
  <si>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</si>
  <si>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</si>
  <si>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</si>
  <si>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</si>
  <si>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</si>
  <si>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</si>
  <si>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</si>
  <si>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</si>
  <si>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</si>
  <si>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</si>
  <si>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</si>
  <si>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</si>
  <si>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</si>
  <si>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</si>
  <si>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</si>
  <si>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</si>
  <si>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</si>
  <si>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</si>
  <si>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</si>
  <si>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</si>
  <si>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</si>
  <si>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</si>
  <si>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</si>
  <si>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</si>
  <si>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</si>
  <si>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</si>
  <si>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</si>
  <si>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</si>
  <si>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</si>
  <si>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</si>
  <si>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</si>
  <si>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</si>
  <si>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</si>
  <si>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</si>
  <si>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</si>
  <si>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</si>
  <si>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</si>
  <si>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</si>
  <si>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</si>
  <si>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</si>
  <si>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</si>
  <si>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</si>
  <si>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</si>
  <si>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</si>
  <si>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</si>
  <si>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</si>
  <si>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</si>
  <si>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</si>
  <si>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</si>
  <si>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</si>
  <si>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</si>
  <si>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</si>
  <si>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</si>
  <si>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</si>
  <si>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</si>
  <si>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</si>
  <si>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</si>
  <si>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</si>
  <si>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</si>
  <si>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</si>
  <si>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</si>
  <si>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</si>
  <si>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</si>
  <si>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</si>
  <si>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</si>
  <si>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</si>
  <si>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</si>
  <si>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</si>
  <si>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</si>
  <si>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</si>
  <si>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</si>
  <si>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</si>
  <si>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</si>
  <si>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</si>
  <si>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</si>
  <si>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</si>
  <si>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</si>
  <si>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</si>
  <si>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</si>
  <si>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</si>
  <si>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</si>
  <si>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</si>
  <si>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</si>
  <si>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</si>
  <si>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</si>
  <si>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</si>
  <si>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</si>
  <si>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</si>
  <si>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</si>
  <si>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</si>
  <si>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</si>
  <si>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</si>
  <si>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</si>
  <si>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</si>
  <si>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</si>
  <si>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</si>
  <si>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</si>
  <si>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</si>
  <si>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</si>
  <si>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</si>
  <si>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</si>
  <si>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</si>
  <si>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</si>
  <si>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</si>
  <si>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</si>
  <si>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</si>
  <si>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</si>
  <si>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</si>
  <si>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</si>
  <si>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</si>
  <si>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</si>
  <si>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</si>
  <si>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</si>
  <si>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</si>
  <si>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</si>
  <si>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</si>
  <si>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</si>
  <si>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</si>
  <si>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</si>
  <si>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</si>
  <si>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</si>
  <si>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</si>
  <si>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</si>
  <si>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</si>
  <si>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</si>
  <si>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</si>
  <si>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</si>
  <si>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</si>
  <si>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</si>
  <si>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</si>
  <si>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</si>
  <si>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</si>
  <si>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</si>
  <si>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</si>
  <si>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</si>
  <si>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</si>
  <si>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</si>
  <si>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</si>
  <si>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</si>
  <si>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</si>
  <si>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</si>
  <si>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</si>
  <si>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</si>
  <si>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</si>
  <si>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</si>
  <si>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</si>
  <si>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</si>
  <si>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</si>
  <si>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</si>
  <si>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</si>
  <si>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</si>
  <si>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</si>
  <si>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</si>
  <si>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</si>
  <si>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</si>
  <si>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</si>
  <si>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</si>
  <si>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</si>
  <si>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</si>
  <si>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</si>
  <si>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</si>
  <si>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</si>
  <si>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</si>
  <si>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</si>
  <si>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</si>
  <si>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</si>
  <si>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</si>
  <si>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</si>
  <si>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</si>
  <si>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</si>
  <si>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</si>
  <si>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</si>
  <si>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</si>
  <si>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</si>
  <si>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</si>
  <si>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</si>
  <si>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</si>
  <si>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</si>
  <si>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</si>
  <si>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</si>
  <si>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</si>
  <si>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</si>
  <si>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</si>
  <si>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</si>
  <si>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</si>
  <si>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</si>
  <si>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</si>
  <si>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</si>
  <si>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</si>
  <si>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</si>
  <si>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</si>
  <si>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</si>
  <si>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</si>
  <si>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</si>
  <si>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</si>
  <si>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</si>
  <si>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</si>
  <si>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</si>
  <si>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</si>
  <si>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</si>
  <si>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</si>
  <si>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</si>
  <si>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</si>
  <si>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</si>
  <si>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</si>
  <si>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</si>
  <si>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</si>
  <si>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</si>
  <si>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</si>
  <si>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</si>
  <si>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</si>
  <si>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</si>
  <si>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</si>
  <si>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</si>
  <si>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</si>
  <si>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</si>
  <si>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</si>
  <si>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</si>
  <si>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</si>
  <si>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</si>
  <si>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</si>
  <si>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</si>
  <si>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</si>
  <si>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</si>
  <si>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</si>
  <si>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</si>
  <si>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</si>
  <si>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</si>
  <si>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</si>
  <si>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</si>
  <si>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</si>
  <si>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</si>
  <si>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</si>
  <si>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</si>
  <si>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</si>
  <si>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</si>
  <si>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</si>
  <si>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</si>
  <si>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</si>
  <si>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</si>
  <si>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</si>
  <si>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</si>
  <si>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</si>
  <si>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</si>
  <si>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</si>
  <si>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</si>
  <si>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</si>
  <si>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</si>
  <si>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</si>
  <si>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</si>
  <si>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</si>
  <si>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</si>
  <si>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</si>
  <si>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</si>
  <si>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</si>
  <si>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</si>
  <si>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</si>
  <si>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</si>
  <si>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</si>
  <si>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</si>
  <si>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</si>
  <si>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</si>
  <si>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</si>
  <si>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</si>
  <si>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</si>
  <si>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</si>
  <si>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</si>
  <si>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</si>
  <si>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</si>
  <si>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</si>
  <si>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</si>
  <si>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</si>
  <si>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</si>
  <si>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</si>
  <si>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</si>
  <si>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</si>
  <si>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</si>
  <si>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</si>
  <si>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</si>
  <si>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</si>
  <si>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</si>
  <si>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</si>
  <si>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</si>
  <si>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</si>
  <si>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</si>
  <si>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</si>
  <si>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</si>
  <si>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</si>
  <si>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</si>
  <si>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</si>
  <si>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</si>
  <si>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</si>
  <si>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</si>
  <si>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</si>
  <si>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</si>
  <si>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</si>
  <si>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</si>
  <si>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</si>
  <si>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</si>
  <si>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</si>
  <si>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</si>
  <si>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</si>
  <si>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</si>
  <si>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</si>
  <si>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</si>
  <si>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</si>
  <si>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</si>
  <si>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</si>
  <si>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</si>
  <si>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</si>
  <si>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</si>
  <si>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</si>
  <si>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</si>
  <si>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</si>
  <si>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</si>
  <si>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</si>
  <si>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</si>
  <si>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</si>
  <si>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</si>
  <si>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</si>
  <si>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</si>
  <si>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</si>
  <si>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</si>
  <si>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</si>
  <si>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</si>
  <si>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</si>
  <si>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</si>
  <si>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</si>
  <si>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</si>
  <si>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</si>
  <si>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</si>
  <si>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</si>
  <si>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</si>
  <si>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</si>
  <si>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</si>
  <si>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</si>
  <si>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</si>
  <si>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</si>
  <si>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</si>
  <si>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</si>
  <si>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</si>
  <si>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</si>
  <si>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</si>
  <si>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</si>
  <si>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</si>
  <si>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</si>
  <si>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</si>
  <si>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</si>
  <si>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</si>
  <si>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</si>
  <si>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</si>
  <si>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</si>
  <si>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</si>
  <si>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</si>
  <si>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</si>
  <si>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</si>
  <si>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</si>
  <si>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</si>
  <si>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</si>
  <si>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</si>
  <si>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</si>
  <si>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</si>
  <si>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</si>
  <si>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</si>
  <si>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</si>
  <si>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</si>
  <si>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</si>
  <si>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</si>
  <si>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</si>
  <si>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</si>
  <si>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</si>
  <si>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</si>
  <si>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</si>
  <si>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</si>
  <si>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</si>
  <si>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</si>
  <si>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</si>
  <si>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</si>
  <si>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</si>
  <si>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</si>
  <si>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</si>
  <si>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</si>
  <si>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</si>
  <si>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</si>
  <si>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</si>
  <si>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</si>
  <si>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</si>
  <si>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</si>
  <si>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</si>
  <si>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</si>
  <si>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</si>
  <si>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</si>
  <si>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</si>
  <si>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</si>
  <si>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</si>
  <si>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</si>
  <si>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</si>
  <si>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</si>
  <si>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</si>
  <si>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</si>
  <si>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</si>
  <si>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</si>
  <si>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</si>
  <si>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</si>
  <si>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</si>
  <si>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</si>
  <si>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</si>
  <si>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</si>
  <si>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</si>
  <si>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</si>
  <si>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</si>
  <si>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</si>
  <si>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</si>
  <si>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</si>
  <si>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</si>
  <si>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</si>
  <si>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</si>
  <si>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</si>
  <si>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</si>
  <si>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</si>
  <si>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</si>
  <si>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</si>
  <si>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</si>
  <si>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</si>
  <si>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</si>
  <si>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</si>
  <si>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</si>
  <si>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</si>
  <si>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</si>
  <si>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</si>
  <si>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</si>
  <si>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</si>
  <si>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</si>
  <si>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</si>
  <si>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</si>
  <si>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</si>
  <si>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</si>
  <si>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</si>
  <si>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</si>
  <si>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</si>
  <si>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</si>
  <si>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</si>
  <si>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</si>
  <si>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</si>
  <si>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</si>
  <si>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</si>
  <si>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</si>
  <si>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</si>
  <si>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</si>
  <si>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</si>
  <si>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</si>
  <si>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</si>
  <si>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</si>
  <si>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</si>
  <si>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</si>
  <si>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</si>
  <si>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</si>
  <si>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</si>
  <si>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</si>
  <si>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</si>
  <si>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</si>
  <si>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</si>
  <si>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</si>
  <si>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</si>
  <si>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</si>
  <si>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</si>
  <si>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</si>
  <si>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</si>
  <si>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</si>
  <si>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</si>
  <si>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</si>
  <si>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</si>
  <si>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</si>
  <si>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</si>
  <si>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</si>
  <si>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</si>
  <si>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</si>
  <si>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</si>
  <si>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</si>
  <si>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</si>
  <si>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</si>
  <si>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</si>
  <si>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</si>
  <si>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</si>
  <si>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</si>
  <si>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</si>
  <si>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</si>
  <si>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</si>
  <si>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</si>
  <si>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</si>
  <si>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</si>
  <si>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</si>
  <si>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</si>
  <si>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</si>
  <si>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</si>
  <si>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</si>
  <si>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</si>
  <si>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</si>
  <si>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</si>
  <si>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</si>
  <si>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</si>
  <si>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</si>
  <si>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</si>
  <si>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</si>
  <si>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</si>
  <si>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</si>
  <si>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</si>
  <si>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</si>
  <si>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</si>
  <si>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</si>
  <si>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</si>
  <si>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</si>
  <si>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</si>
  <si>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</si>
  <si>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</si>
  <si>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</si>
  <si>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</si>
  <si>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</si>
  <si>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</si>
  <si>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</si>
  <si>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</si>
  <si>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</si>
  <si>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</si>
  <si>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</si>
  <si>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</si>
  <si>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</si>
  <si>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</si>
  <si>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</si>
  <si>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</si>
  <si>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</si>
  <si>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</si>
  <si>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</si>
  <si>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</si>
  <si>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</si>
  <si>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</si>
  <si>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</si>
  <si>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</si>
  <si>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</si>
  <si>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</si>
  <si>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</si>
  <si>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</si>
  <si>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</si>
  <si>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</si>
  <si>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</si>
  <si>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</si>
  <si>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</si>
  <si>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</si>
  <si>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</si>
  <si>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</si>
  <si>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</si>
  <si>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</si>
  <si>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</si>
  <si>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</si>
  <si>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</si>
  <si>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</si>
  <si>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</si>
  <si>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</si>
  <si>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</si>
  <si>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</si>
  <si>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</si>
  <si>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</si>
  <si>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</si>
  <si>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</si>
  <si>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</si>
  <si>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</si>
  <si>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</si>
  <si>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</si>
  <si>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</si>
  <si>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</si>
  <si>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</si>
  <si>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</si>
  <si>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</si>
  <si>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</si>
  <si>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</si>
  <si>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</si>
  <si>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</si>
  <si>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</si>
  <si>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</si>
  <si>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</si>
  <si>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</si>
  <si>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</si>
  <si>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</si>
  <si>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</si>
  <si>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</si>
  <si>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</si>
  <si>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</si>
  <si>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</si>
  <si>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</si>
  <si>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</si>
  <si>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</si>
  <si>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</si>
  <si>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</si>
  <si>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</si>
  <si>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</si>
  <si>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</si>
  <si>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</si>
  <si>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</si>
  <si>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</si>
  <si>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</si>
  <si>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</si>
  <si>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</si>
  <si>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</si>
  <si>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</si>
  <si>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</si>
  <si>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</si>
  <si>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</si>
  <si>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</si>
  <si>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</si>
  <si>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</si>
  <si>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</si>
  <si>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</si>
  <si>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</si>
  <si>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</si>
  <si>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</si>
  <si>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</si>
  <si>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</si>
  <si>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</si>
  <si>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</si>
  <si>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</si>
  <si>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</si>
  <si>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</si>
  <si>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</si>
  <si>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</si>
  <si>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</si>
  <si>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</si>
  <si>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</si>
  <si>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</si>
  <si>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</si>
  <si>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</si>
  <si>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</si>
  <si>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</si>
  <si>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</si>
  <si>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</si>
  <si>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</si>
  <si>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</si>
  <si>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</si>
  <si>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</si>
  <si>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</si>
  <si>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</si>
  <si>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</si>
  <si>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</si>
  <si>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</si>
  <si>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</si>
  <si>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</si>
  <si>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</si>
  <si>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</si>
  <si>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</si>
  <si>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</si>
  <si>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</si>
  <si>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</si>
  <si>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</si>
  <si>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</si>
  <si>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</si>
  <si>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</si>
  <si>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</si>
  <si>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</si>
  <si>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</si>
  <si>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</si>
  <si>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</si>
  <si>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</si>
  <si>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</si>
  <si>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</si>
  <si>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</si>
  <si>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</si>
  <si>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</si>
  <si>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</si>
  <si>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</si>
  <si>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</si>
  <si>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</si>
  <si>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</si>
  <si>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</si>
  <si>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</si>
  <si>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</si>
  <si>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</si>
  <si>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</si>
  <si>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</si>
  <si>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</si>
  <si>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</si>
  <si>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</si>
  <si>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</si>
  <si>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</si>
  <si>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</si>
  <si>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</si>
  <si>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</si>
  <si>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</si>
  <si>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</si>
  <si>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</si>
  <si>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</si>
  <si>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</si>
  <si>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</si>
  <si>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</si>
  <si>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</si>
  <si>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</si>
  <si>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</si>
  <si>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</si>
  <si>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</si>
  <si>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</si>
  <si>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</si>
  <si>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</si>
  <si>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</si>
  <si>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</si>
  <si>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</si>
  <si>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</si>
  <si>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</si>
  <si>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</si>
  <si>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</si>
  <si>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</si>
  <si>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</si>
  <si>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</si>
  <si>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</si>
  <si>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</si>
  <si>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</si>
  <si>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</si>
  <si>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</si>
  <si>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</si>
  <si>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</si>
  <si>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</si>
  <si>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</si>
  <si>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</si>
  <si>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</si>
  <si>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</si>
  <si>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</si>
  <si>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</si>
  <si>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</si>
  <si>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</si>
  <si>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</si>
  <si>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</si>
  <si>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</si>
  <si>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</si>
  <si>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</si>
  <si>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</si>
  <si>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</si>
  <si>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</si>
  <si>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</si>
  <si>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</si>
  <si>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</si>
  <si>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</si>
  <si>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</si>
  <si>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</si>
  <si>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</si>
  <si>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</si>
  <si>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</si>
  <si>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</si>
  <si>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</si>
  <si>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</si>
  <si>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</si>
  <si>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</si>
  <si>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</si>
  <si>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</si>
  <si>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</si>
  <si>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</si>
  <si>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</si>
  <si>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</si>
  <si>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</si>
  <si>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</si>
  <si>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</si>
  <si>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</si>
  <si>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</si>
  <si>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</si>
  <si>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</si>
  <si>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</si>
  <si>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</si>
  <si>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</si>
  <si>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</si>
  <si>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</si>
  <si>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</si>
  <si>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</si>
  <si>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</si>
  <si>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</si>
  <si>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</si>
  <si>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</si>
  <si>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</si>
  <si>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</si>
  <si>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</si>
  <si>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</si>
  <si>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</si>
  <si>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</si>
  <si>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</si>
  <si>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</si>
  <si>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</si>
  <si>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</si>
  <si>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</si>
  <si>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</si>
  <si>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</si>
  <si>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</si>
  <si>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</si>
  <si>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</si>
  <si>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</si>
  <si>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</si>
  <si>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</si>
  <si>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</si>
  <si>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</si>
  <si>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</si>
  <si>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</si>
  <si>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</si>
  <si>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</si>
  <si>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</si>
  <si>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</si>
  <si>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</si>
  <si>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</si>
  <si>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</si>
  <si>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</si>
  <si>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</si>
  <si>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</si>
  <si>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</si>
  <si>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</si>
  <si>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</si>
  <si>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</si>
  <si>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</si>
  <si>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</si>
  <si>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</si>
  <si>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</si>
  <si>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</si>
  <si>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</si>
  <si>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</si>
  <si>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</si>
  <si>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</si>
  <si>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</si>
  <si>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</si>
  <si>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</si>
  <si>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</si>
  <si>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</si>
  <si>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</si>
  <si>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</si>
  <si>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</si>
  <si>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</si>
  <si>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</si>
  <si>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</si>
  <si>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</si>
  <si>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</si>
  <si>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</si>
  <si>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</si>
  <si>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</si>
  <si>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</si>
  <si>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</si>
  <si>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</si>
  <si>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</si>
  <si>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</si>
  <si>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</si>
  <si>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</si>
  <si>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</si>
  <si>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</si>
  <si>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</si>
  <si>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</si>
  <si>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</si>
  <si>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</si>
  <si>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</si>
  <si>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</si>
  <si>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</si>
  <si>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</si>
  <si>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</si>
  <si>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</si>
  <si>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</si>
  <si>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</si>
  <si>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</si>
  <si>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</si>
  <si>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</si>
  <si>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</si>
  <si>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</si>
  <si>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</si>
  <si>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</si>
  <si>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</si>
  <si>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</si>
  <si>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</si>
  <si>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</si>
  <si>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</si>
  <si>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</si>
  <si>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</si>
  <si>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</si>
  <si>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</si>
  <si>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</si>
  <si>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</si>
  <si>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</si>
  <si>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</si>
  <si>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</si>
  <si>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</si>
  <si>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</si>
  <si>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</si>
  <si>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</si>
  <si>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</si>
  <si>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</si>
  <si>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</si>
  <si>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</si>
  <si>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</si>
  <si>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</si>
  <si>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</si>
  <si>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</si>
  <si>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</si>
  <si>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</si>
  <si>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</si>
  <si>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</si>
  <si>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</si>
  <si>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</si>
  <si>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</si>
  <si>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</si>
  <si>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</si>
  <si>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</si>
  <si>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</si>
  <si>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</si>
  <si>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</si>
  <si>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</si>
  <si>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</si>
  <si>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</si>
  <si>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</si>
  <si>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</si>
  <si>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</si>
  <si>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</si>
  <si>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</si>
  <si>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</si>
  <si>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</si>
  <si>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</si>
  <si>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</si>
  <si>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</si>
  <si>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</si>
  <si>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</si>
  <si>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</si>
  <si>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</si>
  <si>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</si>
  <si>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</si>
  <si>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</si>
  <si>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</si>
  <si>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</si>
  <si>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</si>
  <si>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</si>
  <si>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</si>
  <si>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</si>
  <si>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</si>
  <si>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</si>
  <si>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</si>
  <si>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</si>
  <si>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</si>
  <si>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</si>
  <si>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</si>
  <si>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</si>
  <si>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</si>
  <si>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</si>
  <si>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</si>
  <si>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</si>
  <si>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</si>
  <si>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</si>
  <si>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</si>
  <si>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</si>
  <si>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</si>
  <si>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</si>
  <si>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</si>
  <si>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</si>
  <si>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</si>
  <si>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</si>
  <si>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</si>
  <si>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</si>
  <si>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</si>
  <si>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</si>
  <si>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</si>
  <si>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</si>
  <si>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</si>
  <si>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</si>
  <si>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</si>
  <si>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</si>
  <si>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</si>
  <si>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</si>
  <si>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</si>
  <si>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</si>
  <si>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</si>
  <si>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</si>
  <si>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</si>
  <si>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</si>
  <si>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</si>
  <si>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</si>
  <si>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</si>
  <si>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</si>
  <si>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</si>
  <si>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</si>
  <si>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</si>
  <si>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</si>
  <si>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</si>
  <si>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</si>
  <si>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</si>
  <si>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</si>
  <si>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</si>
  <si>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</si>
  <si>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</si>
  <si>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</si>
  <si>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</si>
  <si>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</si>
  <si>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</si>
  <si>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</si>
  <si>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</si>
  <si>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</si>
  <si>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</si>
  <si>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</si>
  <si>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</si>
  <si>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</si>
  <si>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</si>
  <si>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</si>
  <si>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</si>
  <si>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</si>
  <si>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</si>
  <si>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</si>
  <si>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</si>
  <si>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</si>
  <si>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</si>
  <si>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</si>
  <si>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</si>
  <si>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</si>
  <si>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</si>
  <si>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</si>
  <si>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</si>
  <si>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</si>
  <si>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</si>
  <si>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</si>
  <si>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</si>
  <si>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</si>
  <si>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</si>
  <si>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</si>
  <si>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</si>
  <si>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</si>
  <si>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</si>
  <si>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</si>
  <si>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</si>
  <si>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</si>
  <si>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</si>
  <si>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</si>
  <si>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</si>
  <si>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</si>
  <si>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</si>
  <si>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</si>
  <si>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</si>
  <si>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</si>
  <si>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</si>
  <si>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</si>
  <si>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</si>
  <si>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</si>
  <si>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</si>
  <si>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</si>
  <si>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</si>
  <si>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</si>
  <si>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</si>
  <si>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</si>
  <si>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</si>
  <si>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</si>
  <si>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</si>
  <si>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</si>
  <si>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</si>
  <si>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</si>
  <si>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</si>
  <si>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</si>
  <si>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</si>
  <si>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</si>
  <si>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</si>
  <si>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</si>
  <si>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</si>
  <si>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</si>
  <si>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</si>
  <si>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</si>
  <si>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</si>
  <si>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</si>
  <si>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</si>
  <si>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</si>
  <si>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</si>
  <si>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</si>
  <si>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</si>
  <si>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</si>
  <si>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</si>
  <si>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</si>
  <si>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</si>
  <si>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</si>
  <si>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</si>
  <si>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</si>
  <si>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</si>
  <si>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</si>
  <si>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</si>
  <si>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</si>
  <si>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</si>
  <si>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</si>
  <si>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</si>
  <si>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</si>
  <si>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</si>
  <si>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</si>
  <si>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</si>
  <si>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</si>
  <si>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</si>
  <si>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</si>
  <si>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</si>
  <si>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</si>
  <si>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</si>
  <si>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</si>
  <si>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</si>
  <si>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</si>
  <si>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</si>
  <si>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</si>
  <si>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</si>
  <si>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</si>
  <si>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</si>
  <si>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</si>
  <si>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</si>
  <si>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</si>
  <si>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</si>
  <si>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</si>
  <si>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</si>
  <si>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</si>
  <si>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</si>
  <si>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</si>
  <si>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</si>
  <si>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</si>
  <si>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</si>
  <si>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</si>
  <si>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</si>
  <si>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</si>
  <si>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</si>
  <si>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</si>
  <si>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</si>
  <si>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</si>
  <si>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</si>
  <si>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</si>
  <si>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</si>
  <si>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</si>
  <si>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</si>
  <si>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</si>
  <si>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</si>
  <si>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</si>
  <si>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</si>
  <si>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</si>
  <si>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</si>
  <si>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</si>
  <si>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</si>
  <si>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</si>
  <si>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</si>
  <si>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</si>
  <si>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</si>
  <si>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</si>
  <si>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</si>
  <si>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</si>
  <si>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</si>
  <si>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</si>
  <si>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</si>
  <si>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</si>
  <si>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</si>
  <si>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</si>
  <si>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</si>
  <si>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</si>
  <si>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</si>
  <si>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</si>
  <si>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</si>
  <si>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</si>
  <si>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</si>
  <si>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</si>
  <si>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</si>
  <si>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</si>
  <si>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</si>
  <si>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</si>
  <si>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</si>
  <si>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</si>
  <si>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</si>
  <si>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</si>
  <si>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</si>
  <si>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</si>
  <si>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</si>
  <si>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</si>
  <si>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</si>
  <si>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</si>
  <si>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</si>
  <si>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</si>
  <si>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</si>
  <si>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</si>
  <si>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</si>
  <si>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</si>
  <si>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</si>
  <si>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</si>
  <si>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</si>
  <si>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</si>
  <si>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</si>
  <si>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</si>
  <si>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</si>
  <si>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</si>
  <si>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</si>
  <si>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</si>
  <si>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</si>
  <si>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</si>
  <si>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</si>
  <si>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</si>
  <si>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</si>
  <si>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</si>
  <si>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</si>
  <si>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</si>
  <si>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</si>
  <si>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</si>
  <si>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</si>
  <si>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</si>
  <si>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</si>
  <si>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</si>
  <si>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</si>
  <si>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</si>
  <si>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</si>
  <si>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</si>
  <si>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</si>
  <si>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</si>
  <si>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</si>
  <si>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</si>
  <si>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</si>
  <si>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</si>
  <si>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</si>
  <si>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</si>
  <si>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</si>
  <si>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</si>
  <si>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</si>
  <si>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</si>
  <si>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</si>
  <si>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</si>
  <si>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</si>
  <si>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</si>
  <si>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</si>
  <si>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</si>
  <si>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</si>
  <si>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</si>
  <si>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</si>
  <si>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</si>
  <si>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</si>
  <si>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</si>
  <si>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</si>
  <si>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</si>
  <si>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</si>
  <si>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</si>
  <si>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</si>
  <si>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</si>
  <si>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</si>
  <si>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</si>
  <si>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</si>
  <si>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</si>
  <si>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</si>
  <si>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</si>
  <si>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</si>
  <si>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</si>
  <si>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</si>
  <si>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</si>
  <si>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</si>
  <si>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</si>
  <si>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</si>
  <si>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</si>
  <si>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</si>
  <si>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</si>
  <si>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</si>
  <si>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</si>
  <si>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</si>
  <si>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</si>
  <si>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</si>
  <si>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</si>
  <si>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</si>
  <si>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</si>
  <si>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</si>
  <si>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</si>
  <si>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</si>
  <si>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</si>
  <si>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</si>
  <si>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</si>
  <si>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</si>
  <si>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</si>
  <si>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</si>
  <si>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</si>
  <si>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</si>
  <si>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</si>
  <si>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</si>
  <si>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</si>
  <si>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</si>
  <si>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</si>
  <si>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</si>
  <si>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</si>
  <si>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</si>
  <si>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</si>
  <si>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</si>
  <si>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</si>
  <si>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</si>
  <si>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</si>
  <si>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</si>
  <si>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</si>
  <si>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</si>
  <si>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</si>
  <si>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</si>
  <si>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</si>
  <si>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</si>
  <si>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</si>
  <si>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</si>
  <si>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</si>
  <si>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</si>
  <si>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</si>
  <si>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</si>
  <si>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</si>
  <si>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</si>
  <si>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</si>
  <si>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</si>
  <si>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</si>
  <si>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</si>
  <si>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</si>
  <si>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</si>
  <si>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</si>
  <si>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</si>
  <si>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</si>
  <si>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</si>
  <si>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</si>
  <si>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</si>
  <si>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</si>
  <si>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</si>
  <si>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</si>
  <si>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</si>
  <si>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</si>
  <si>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</si>
  <si>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</si>
  <si>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</si>
  <si>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</si>
  <si>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</si>
  <si>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</si>
  <si>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</si>
  <si>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</si>
  <si>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</si>
  <si>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</si>
  <si>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</si>
  <si>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</si>
  <si>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</si>
  <si>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</si>
  <si>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</si>
  <si>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</si>
  <si>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</si>
  <si>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</si>
  <si>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</si>
  <si>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</si>
  <si>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</si>
  <si>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</si>
  <si>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</si>
  <si>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</si>
  <si>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</si>
  <si>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</si>
  <si>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</si>
  <si>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</si>
  <si>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</si>
  <si>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</si>
  <si>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</si>
  <si>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</si>
  <si>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</si>
  <si>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</si>
  <si>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</si>
  <si>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</si>
  <si>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</si>
  <si>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</si>
  <si>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</si>
  <si>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</si>
  <si>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</si>
  <si>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</si>
  <si>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</si>
  <si>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</si>
  <si>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</si>
  <si>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</si>
  <si>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</si>
  <si>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</si>
  <si>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</si>
  <si>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</si>
  <si>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</si>
  <si>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</si>
  <si>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</si>
  <si>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</si>
  <si>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</si>
  <si>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</si>
  <si>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</si>
  <si>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</si>
  <si>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</si>
  <si>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</si>
  <si>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</si>
  <si>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</si>
  <si>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</si>
  <si>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</si>
  <si>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</si>
  <si>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</si>
  <si>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</si>
  <si>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</si>
  <si>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</si>
  <si>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</si>
  <si>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</si>
  <si>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</si>
  <si>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</si>
  <si>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</si>
  <si>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</si>
  <si>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</si>
  <si>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</si>
  <si>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</si>
  <si>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</si>
  <si>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</si>
  <si>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</si>
  <si>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</si>
  <si>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</si>
  <si>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</si>
  <si>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</si>
  <si>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</si>
  <si>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</si>
  <si>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</si>
  <si>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</si>
  <si>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</si>
  <si>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</si>
  <si>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</si>
  <si>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</si>
  <si>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</si>
  <si>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</si>
  <si>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</si>
  <si>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</si>
  <si>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</si>
  <si>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</si>
  <si>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</si>
  <si>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</si>
  <si>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</si>
  <si>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</si>
  <si>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</si>
  <si>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</si>
  <si>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</si>
  <si>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</si>
  <si>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</si>
  <si>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</si>
  <si>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</si>
  <si>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</si>
  <si>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</si>
  <si>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</si>
  <si>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</si>
  <si>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</si>
  <si>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</si>
  <si>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</si>
  <si>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</si>
  <si>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</si>
  <si>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</si>
  <si>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</si>
  <si>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</si>
  <si>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</si>
  <si>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</si>
  <si>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</si>
  <si>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</si>
  <si>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</si>
  <si>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</si>
  <si>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</si>
  <si>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</si>
  <si>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</si>
  <si>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</si>
  <si>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</si>
  <si>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</si>
  <si>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</si>
  <si>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</si>
  <si>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</si>
  <si>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</si>
  <si>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</si>
  <si>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</si>
  <si>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</si>
  <si>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</si>
  <si>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</si>
  <si>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</si>
  <si>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</si>
  <si>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</si>
  <si>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</si>
  <si>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</si>
  <si>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</si>
  <si>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</si>
  <si>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</si>
  <si>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</si>
  <si>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</si>
  <si>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</si>
  <si>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</si>
  <si>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</si>
  <si>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</si>
  <si>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</si>
  <si>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</si>
  <si>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</si>
  <si>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</si>
  <si>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</si>
  <si>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</si>
  <si>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</si>
  <si>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</si>
  <si>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</si>
  <si>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</si>
  <si>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</si>
  <si>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</si>
  <si>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</si>
  <si>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</si>
  <si>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</si>
  <si>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</si>
  <si>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</si>
  <si>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</si>
  <si>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</si>
  <si>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</si>
  <si>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</si>
  <si>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</si>
  <si>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</si>
  <si>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</si>
  <si>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</si>
  <si>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</si>
  <si>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</si>
  <si>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</si>
  <si>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</si>
  <si>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</si>
  <si>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</si>
  <si>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</si>
  <si>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</si>
  <si>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</si>
  <si>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</si>
  <si>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</si>
  <si>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</si>
  <si>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</si>
  <si>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</si>
  <si>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</si>
  <si>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</si>
  <si>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</si>
  <si>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</si>
  <si>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</si>
  <si>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</si>
  <si>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</si>
  <si>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</si>
  <si>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</si>
  <si>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</si>
  <si>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</si>
  <si>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</si>
  <si>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</si>
  <si>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</si>
  <si>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</si>
  <si>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</si>
  <si>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</si>
  <si>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</si>
  <si>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</si>
  <si>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</si>
  <si>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</si>
  <si>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</si>
  <si>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</si>
  <si>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</si>
  <si>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</si>
  <si>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</si>
  <si>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</si>
  <si>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</si>
  <si>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</si>
  <si>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</si>
  <si>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</si>
  <si>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</si>
  <si>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</si>
  <si>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</si>
  <si>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</si>
  <si>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</si>
  <si>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</si>
  <si>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</si>
  <si>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</si>
  <si>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</si>
  <si>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</si>
  <si>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</si>
  <si>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</si>
  <si>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</si>
  <si>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</si>
  <si>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</si>
  <si>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</si>
  <si>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</si>
  <si>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</si>
  <si>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</si>
  <si>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</si>
  <si>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</si>
  <si>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</si>
  <si>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</si>
  <si>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</si>
  <si>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</si>
  <si>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</si>
  <si>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</si>
  <si>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</si>
  <si>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</si>
  <si>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</si>
  <si>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</si>
  <si>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</si>
  <si>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</si>
  <si>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</si>
  <si>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</si>
  <si>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</si>
  <si>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</si>
  <si>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</si>
  <si>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</si>
  <si>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</si>
  <si>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</si>
  <si>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</si>
  <si>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</si>
  <si>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</si>
  <si>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</si>
  <si>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</si>
  <si>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</si>
  <si>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</si>
  <si>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</si>
  <si>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</si>
  <si>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</si>
  <si>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</si>
  <si>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</si>
  <si>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</si>
  <si>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</si>
  <si>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</si>
  <si>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</si>
  <si>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</si>
  <si>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</si>
  <si>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</si>
  <si>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</si>
  <si>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</si>
  <si>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</si>
  <si>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</si>
  <si>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</si>
  <si>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</si>
  <si>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</si>
  <si>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</si>
  <si>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</si>
  <si>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</si>
  <si>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</si>
  <si>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</si>
  <si>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</si>
  <si>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</si>
  <si>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</si>
  <si>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</si>
  <si>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</si>
  <si>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</si>
  <si>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</si>
  <si>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</si>
  <si>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</si>
  <si>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</si>
  <si>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</si>
  <si>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</si>
  <si>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</si>
  <si>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</si>
  <si>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</si>
  <si>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</si>
  <si>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</si>
  <si>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</si>
  <si>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</si>
  <si>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</si>
  <si>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</si>
  <si>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</si>
  <si>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</si>
  <si>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</si>
  <si>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</si>
  <si>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</si>
  <si>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</si>
  <si>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</si>
  <si>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</si>
  <si>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</si>
  <si>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</si>
  <si>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</si>
  <si>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</si>
  <si>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</si>
  <si>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</si>
  <si>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</si>
  <si>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</si>
  <si>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</si>
  <si>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</si>
  <si>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</si>
  <si>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</si>
  <si>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</si>
  <si>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</si>
  <si>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</si>
  <si>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</si>
  <si>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</si>
  <si>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</si>
  <si>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</si>
  <si>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</si>
  <si>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</si>
  <si>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</si>
  <si>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</si>
  <si>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</si>
  <si>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</si>
  <si>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</si>
  <si>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</si>
  <si>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</si>
  <si>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</si>
  <si>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</si>
  <si>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</si>
  <si>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</si>
  <si>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</si>
  <si>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</si>
  <si>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</si>
  <si>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</si>
  <si>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</si>
  <si>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</si>
  <si>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</si>
  <si>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</si>
  <si>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</si>
  <si>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</si>
  <si>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</si>
  <si>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</si>
  <si>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</si>
  <si>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</si>
  <si>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</si>
  <si>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</si>
  <si>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</si>
  <si>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</si>
  <si>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</si>
  <si>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</si>
  <si>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</si>
  <si>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</si>
  <si>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</si>
  <si>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</si>
  <si>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</si>
  <si>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</si>
  <si>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</si>
  <si>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</si>
  <si>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</si>
  <si>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</si>
  <si>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</si>
  <si>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</si>
  <si>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</si>
  <si>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</si>
  <si>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</si>
  <si>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</si>
  <si>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</si>
  <si>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</si>
  <si>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</si>
  <si>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</si>
  <si>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</si>
  <si>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</si>
  <si>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</si>
  <si>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</si>
  <si>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</si>
  <si>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</si>
  <si>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</si>
  <si>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</si>
  <si>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</si>
  <si>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</si>
  <si>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</si>
  <si>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</si>
  <si>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</si>
  <si>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</si>
  <si>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</si>
  <si>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</si>
  <si>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</si>
  <si>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</si>
  <si>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</si>
  <si>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</si>
  <si>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</si>
  <si>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</si>
  <si>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</si>
  <si>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</si>
  <si>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</si>
  <si>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</si>
  <si>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</si>
  <si>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</si>
  <si>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</si>
  <si>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</si>
  <si>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</si>
  <si>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</si>
  <si>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</si>
  <si>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</si>
  <si>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</si>
  <si>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</si>
  <si>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</si>
  <si>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</si>
  <si>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</si>
  <si>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</si>
  <si>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</si>
  <si>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</si>
  <si>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</si>
  <si>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</si>
  <si>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</si>
  <si>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</si>
  <si>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</si>
  <si>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</si>
  <si>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</si>
  <si>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</si>
  <si>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</si>
  <si>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</si>
  <si>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</si>
  <si>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</si>
  <si>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</si>
  <si>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</si>
  <si>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</si>
  <si>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</si>
  <si>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</si>
  <si>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</si>
  <si>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</si>
  <si>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</si>
  <si>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</si>
  <si>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</si>
  <si>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</si>
  <si>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</si>
  <si>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</si>
  <si>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</si>
  <si>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</si>
  <si>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</si>
  <si>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</si>
  <si>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</si>
  <si>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</si>
  <si>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</si>
  <si>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</si>
  <si>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</si>
  <si>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</si>
  <si>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</si>
  <si>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</si>
  <si>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</si>
  <si>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</si>
  <si>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</si>
  <si>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</si>
  <si>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</si>
  <si>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</si>
  <si>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</si>
  <si>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</si>
  <si>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</si>
  <si>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</si>
  <si>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</si>
  <si>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</si>
  <si>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</si>
  <si>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</si>
  <si>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</si>
  <si>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</si>
  <si>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</si>
  <si>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</si>
  <si>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</si>
  <si>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</si>
  <si>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</si>
  <si>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</si>
  <si>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</si>
  <si>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</si>
  <si>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</si>
  <si>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</si>
  <si>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</si>
  <si>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</si>
  <si>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</si>
  <si>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</si>
  <si>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</si>
  <si>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</si>
  <si>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</si>
  <si>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</si>
  <si>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</si>
  <si>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</si>
  <si>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</si>
  <si>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</si>
  <si>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</si>
  <si>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</si>
  <si>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</si>
  <si>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</si>
  <si>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</si>
  <si>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</si>
  <si>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</si>
  <si>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</si>
  <si>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</si>
  <si>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</si>
  <si>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</si>
  <si>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</si>
  <si>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</si>
  <si>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</si>
  <si>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</si>
  <si>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</si>
  <si>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</si>
  <si>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</si>
  <si>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</si>
  <si>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</si>
  <si>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</si>
  <si>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</si>
  <si>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</si>
  <si>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</si>
  <si>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</si>
  <si>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</si>
  <si>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</si>
  <si>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</si>
  <si>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</si>
  <si>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</si>
  <si>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</si>
  <si>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</si>
  <si>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</si>
  <si>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</si>
  <si>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</si>
  <si>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</si>
  <si>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</si>
  <si>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</si>
  <si>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</si>
  <si>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</si>
  <si>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</si>
  <si>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</si>
  <si>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</si>
  <si>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</si>
  <si>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</si>
  <si>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</si>
  <si>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</si>
  <si>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</si>
  <si>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</si>
  <si>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</si>
  <si>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</si>
  <si>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</si>
  <si>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</si>
  <si>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</si>
  <si>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</si>
  <si>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</si>
  <si>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</si>
  <si>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</si>
  <si>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</si>
  <si>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</si>
  <si>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</si>
  <si>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</si>
  <si>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</si>
  <si>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</si>
  <si>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</si>
  <si>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</si>
  <si>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</si>
  <si>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</si>
  <si>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</si>
  <si>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</si>
  <si>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</si>
  <si>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</si>
  <si>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</si>
  <si>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</si>
  <si>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</si>
  <si>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</si>
  <si>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</si>
  <si>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</si>
  <si>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</si>
  <si>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</si>
  <si>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</si>
  <si>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</si>
  <si>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</si>
  <si>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</si>
  <si>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</si>
  <si>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</si>
  <si>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</si>
  <si>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</si>
  <si>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</si>
  <si>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</si>
  <si>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</si>
  <si>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</si>
  <si>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</si>
  <si>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</si>
  <si>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</si>
  <si>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</si>
  <si>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</si>
  <si>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</si>
  <si>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</si>
  <si>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</si>
  <si>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</si>
  <si>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</si>
  <si>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</si>
  <si>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</si>
  <si>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</si>
  <si>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</si>
  <si>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</si>
  <si>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</si>
  <si>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</si>
  <si>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</si>
  <si>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</si>
  <si>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</si>
  <si>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</si>
  <si>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</si>
  <si>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</si>
  <si>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</si>
  <si>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</si>
  <si>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</si>
  <si>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</si>
  <si>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</si>
  <si>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</si>
  <si>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</si>
  <si>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</si>
  <si>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</si>
  <si>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</si>
  <si>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</si>
  <si>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</si>
  <si>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</si>
  <si>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</si>
  <si>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</si>
  <si>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</si>
  <si>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</si>
  <si>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</si>
  <si>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</si>
  <si>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</si>
  <si>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</si>
  <si>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</si>
  <si>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</si>
  <si>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</si>
  <si>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</si>
  <si>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</si>
  <si>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</si>
  <si>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</si>
  <si>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</si>
  <si>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</si>
  <si>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</si>
  <si>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</si>
  <si>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</si>
  <si>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</si>
  <si>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</si>
  <si>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</si>
  <si>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</si>
  <si>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</si>
  <si>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</si>
  <si>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</si>
  <si>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</si>
  <si>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</si>
  <si>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</si>
  <si>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</si>
  <si>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</si>
  <si>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</si>
  <si>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</si>
  <si>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</si>
  <si>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</si>
  <si>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</si>
  <si>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</si>
  <si>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</si>
  <si>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</si>
  <si>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</si>
  <si>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</si>
  <si>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</si>
  <si>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</si>
  <si>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</si>
  <si>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</si>
  <si>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</si>
  <si>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</si>
  <si>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</si>
  <si>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</si>
  <si>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</si>
  <si>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</si>
  <si>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</si>
  <si>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</si>
  <si>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</si>
  <si>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</si>
  <si>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</si>
  <si>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</si>
  <si>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</si>
  <si>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</si>
  <si>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</si>
  <si>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</si>
  <si>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</si>
  <si>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</si>
  <si>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</si>
  <si>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</si>
  <si>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</si>
  <si>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</si>
  <si>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</si>
  <si>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</si>
  <si>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</si>
  <si>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</si>
  <si>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</si>
  <si>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</si>
  <si>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</si>
  <si>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</si>
  <si>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</si>
  <si>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</si>
  <si>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</si>
  <si>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</si>
  <si>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</si>
  <si>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</si>
  <si>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</si>
  <si>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</si>
  <si>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</si>
  <si>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</si>
  <si>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</si>
  <si>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</si>
  <si>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</si>
  <si>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</si>
  <si>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</si>
  <si>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</si>
  <si>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</si>
  <si>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</si>
  <si>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</si>
  <si>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</si>
  <si>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</si>
  <si>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</si>
  <si>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</si>
  <si>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</si>
  <si>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</si>
  <si>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</si>
  <si>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</si>
  <si>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</si>
  <si>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</si>
  <si>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</si>
  <si>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</si>
  <si>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</si>
  <si>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</si>
  <si>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</si>
  <si>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</si>
  <si>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</si>
  <si>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</si>
  <si>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</si>
  <si>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</si>
  <si>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</si>
  <si>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</si>
  <si>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</si>
  <si>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</si>
  <si>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</si>
  <si>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</si>
  <si>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</si>
  <si>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</si>
  <si>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</si>
  <si>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</si>
  <si>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</si>
  <si>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</si>
  <si>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</si>
  <si>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</si>
  <si>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</si>
  <si>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</si>
  <si>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</si>
  <si>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</si>
  <si>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</si>
  <si>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</si>
  <si>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</si>
  <si>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</si>
  <si>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</si>
  <si>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</si>
  <si>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</si>
  <si>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</si>
  <si>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</si>
  <si>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</si>
  <si>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</si>
  <si>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</si>
  <si>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</si>
  <si>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</si>
  <si>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</si>
  <si>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</si>
  <si>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</si>
  <si>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</si>
  <si>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</si>
  <si>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</si>
  <si>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</si>
  <si>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</si>
  <si>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</si>
  <si>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</si>
  <si>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</si>
  <si>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</si>
  <si>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</si>
  <si>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</si>
  <si>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</si>
  <si>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</si>
  <si>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</si>
  <si>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</si>
  <si>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</si>
  <si>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</si>
  <si>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</si>
  <si>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</si>
  <si>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</si>
  <si>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</si>
  <si>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</si>
  <si>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</si>
  <si>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</si>
  <si>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</si>
  <si>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</si>
  <si>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</si>
  <si>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</si>
  <si>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</si>
  <si>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</si>
  <si>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</si>
  <si>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</si>
  <si>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</si>
  <si>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</si>
  <si>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</si>
  <si>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</si>
  <si>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</si>
  <si>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</si>
  <si>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</si>
  <si>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</si>
  <si>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</si>
  <si>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</si>
  <si>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</si>
  <si>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</si>
  <si>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</si>
  <si>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</si>
  <si>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</si>
  <si>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</si>
  <si>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</si>
  <si>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</si>
  <si>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</si>
  <si>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</si>
  <si>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</si>
  <si>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</si>
  <si>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</si>
  <si>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</si>
  <si>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</si>
  <si>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</si>
  <si>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</si>
  <si>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</si>
  <si>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</si>
  <si>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</si>
  <si>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</si>
  <si>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</si>
  <si>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</si>
  <si>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</si>
  <si>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</si>
  <si>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</si>
  <si>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</si>
  <si>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</si>
  <si>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</si>
  <si>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</si>
  <si>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</si>
  <si>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</si>
  <si>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</si>
  <si>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</si>
  <si>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</si>
  <si>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</si>
  <si>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</si>
  <si>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</si>
  <si>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</si>
  <si>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</si>
  <si>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</si>
  <si>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</si>
  <si>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</si>
  <si>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</si>
  <si>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</si>
  <si>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</si>
  <si>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</si>
  <si>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</si>
  <si>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</si>
  <si>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</si>
  <si>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</si>
  <si>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</si>
  <si>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</si>
  <si>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</si>
  <si>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</si>
  <si>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</si>
  <si>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</si>
  <si>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</si>
  <si>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</si>
  <si>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</si>
  <si>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</si>
  <si>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</si>
  <si>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</si>
  <si>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</si>
  <si>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</si>
  <si>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</si>
  <si>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</si>
  <si>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</si>
  <si>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</si>
  <si>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</si>
  <si>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</si>
  <si>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</si>
  <si>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</si>
  <si>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</si>
  <si>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</si>
  <si>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</si>
  <si>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</si>
  <si>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</si>
  <si>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</si>
  <si>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</si>
  <si>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</si>
  <si>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</si>
  <si>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</si>
  <si>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</si>
  <si>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</si>
  <si>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</si>
  <si>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</si>
  <si>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</si>
  <si>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</si>
  <si>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</si>
  <si>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</si>
  <si>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</si>
  <si>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</si>
  <si>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</si>
  <si>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</si>
  <si>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</si>
  <si>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</si>
  <si>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</si>
  <si>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</si>
  <si>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</si>
  <si>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</si>
  <si>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</si>
  <si>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</si>
  <si>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</si>
  <si>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</si>
  <si>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</si>
  <si>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</si>
  <si>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</si>
  <si>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</si>
  <si>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</si>
  <si>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</si>
  <si>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</si>
  <si>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</si>
  <si>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</si>
  <si>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</si>
  <si>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</si>
  <si>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</si>
  <si>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</si>
  <si>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</si>
  <si>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</si>
  <si>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</si>
  <si>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</si>
  <si>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</si>
  <si>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</si>
  <si>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</si>
  <si>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</si>
  <si>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</si>
  <si>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</si>
  <si>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</si>
  <si>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</si>
  <si>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</si>
  <si>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</si>
  <si>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</si>
  <si>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</si>
  <si>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</si>
  <si>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</si>
  <si>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</si>
  <si>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</si>
  <si>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</si>
  <si>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</si>
  <si>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</si>
  <si>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</si>
  <si>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</si>
  <si>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</si>
  <si>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</si>
  <si>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</si>
  <si>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</si>
  <si>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</si>
  <si>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</si>
  <si>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</si>
  <si>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</si>
  <si>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</si>
  <si>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</si>
  <si>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</si>
  <si>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</si>
  <si>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</si>
  <si>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</si>
  <si>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</si>
  <si>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</si>
  <si>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</si>
  <si>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</si>
  <si>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</si>
  <si>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</si>
  <si>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</si>
  <si>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</si>
  <si>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</si>
  <si>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</si>
  <si>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</si>
  <si>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</si>
  <si>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</si>
  <si>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</si>
  <si>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</si>
  <si>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</si>
  <si>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</si>
  <si>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</si>
  <si>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</si>
  <si>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</si>
  <si>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</si>
  <si>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</si>
  <si>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</si>
  <si>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</si>
  <si>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</si>
  <si>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</si>
  <si>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</si>
  <si>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</si>
  <si>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</si>
  <si>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</si>
  <si>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</si>
  <si>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</si>
  <si>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</si>
  <si>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</si>
  <si>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</si>
  <si>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</si>
  <si>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</si>
  <si>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</si>
  <si>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</si>
  <si>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</si>
  <si>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</si>
  <si>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</si>
  <si>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</si>
  <si>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</si>
  <si>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</si>
  <si>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</si>
  <si>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</si>
  <si>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</si>
  <si>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</si>
  <si>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</si>
  <si>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</si>
  <si>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</si>
  <si>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</si>
  <si>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</si>
  <si>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</si>
  <si>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</si>
  <si>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</si>
  <si>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</si>
  <si>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</si>
  <si>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</si>
  <si>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</si>
  <si>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</si>
  <si>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</si>
  <si>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</si>
  <si>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</si>
  <si>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</si>
  <si>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</si>
  <si>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</si>
  <si>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</si>
  <si>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</si>
  <si>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</si>
  <si>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</si>
  <si>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</si>
  <si>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</si>
  <si>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</si>
  <si>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</si>
  <si>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</si>
  <si>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</si>
  <si>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</si>
  <si>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</si>
  <si>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</si>
  <si>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</si>
  <si>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</si>
  <si>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</si>
  <si>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</si>
  <si>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</si>
  <si>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</si>
  <si>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</si>
  <si>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</si>
  <si>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</si>
  <si>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</si>
  <si>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</si>
  <si>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</si>
  <si>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</si>
  <si>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</si>
  <si>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</si>
  <si>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</si>
  <si>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</si>
  <si>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</si>
  <si>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</si>
  <si>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</si>
  <si>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</si>
  <si>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</si>
  <si>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</si>
  <si>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</si>
  <si>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</si>
  <si>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</si>
  <si>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</si>
  <si>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</si>
  <si>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</si>
  <si>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</si>
  <si>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</si>
  <si>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</si>
  <si>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</si>
  <si>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</si>
  <si>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</si>
  <si>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</si>
  <si>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</si>
  <si>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</si>
  <si>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</si>
  <si>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</si>
  <si>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</si>
  <si>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</si>
  <si>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</si>
  <si>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</si>
  <si>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</si>
  <si>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</si>
  <si>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</si>
  <si>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</si>
  <si>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</si>
  <si>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</si>
  <si>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</si>
  <si>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</si>
  <si>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</si>
  <si>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</si>
  <si>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</si>
  <si>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</si>
  <si>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</si>
  <si>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</si>
  <si>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</si>
  <si>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</si>
  <si>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</si>
  <si>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</si>
  <si>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</si>
  <si>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</si>
  <si>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</si>
  <si>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</si>
  <si>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</si>
  <si>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</si>
  <si>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</si>
  <si>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</si>
  <si>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</si>
  <si>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</si>
  <si>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</si>
  <si>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</si>
  <si>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</si>
  <si>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</si>
  <si>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</si>
  <si>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</si>
  <si>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</si>
  <si>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</si>
  <si>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</si>
  <si>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</si>
  <si>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</si>
  <si>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</si>
  <si>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</si>
  <si>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</si>
  <si>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</si>
  <si>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</si>
  <si>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</si>
  <si>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</si>
  <si>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</si>
  <si>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</si>
  <si>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</si>
  <si>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</si>
  <si>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</si>
  <si>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</si>
  <si>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</si>
  <si>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</si>
  <si>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</si>
  <si>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</si>
  <si>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</si>
  <si>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</si>
  <si>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</si>
  <si>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</si>
  <si>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</si>
  <si>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</si>
  <si>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</si>
  <si>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</si>
  <si>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</si>
  <si>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</si>
  <si>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</si>
  <si>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</si>
  <si>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</si>
  <si>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</si>
  <si>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</si>
  <si>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</si>
  <si>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</si>
  <si>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</si>
  <si>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</si>
  <si>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</si>
  <si>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</si>
  <si>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</si>
  <si>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</si>
  <si>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</si>
  <si>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</si>
  <si>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</si>
  <si>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</si>
  <si>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</si>
  <si>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</si>
  <si>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</si>
  <si>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</si>
  <si>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</si>
  <si>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</si>
  <si>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</si>
  <si>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</si>
  <si>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</si>
  <si>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</si>
  <si>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</si>
  <si>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</si>
  <si>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</si>
  <si>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</si>
  <si>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</si>
  <si>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</si>
  <si>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</si>
  <si>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</si>
  <si>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</si>
  <si>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</si>
  <si>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</si>
  <si>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</si>
  <si>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</si>
  <si>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</si>
  <si>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</si>
  <si>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</si>
  <si>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</si>
  <si>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</si>
  <si>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</si>
  <si>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</si>
  <si>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</si>
  <si>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</si>
  <si>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</si>
  <si>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</si>
  <si>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</si>
  <si>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</si>
  <si>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</si>
  <si>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</si>
  <si>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</si>
  <si>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</si>
  <si>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</si>
  <si>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</si>
  <si>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</si>
  <si>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</si>
  <si>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</si>
  <si>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</si>
  <si>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</si>
  <si>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</si>
  <si>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</si>
  <si>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</si>
  <si>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</si>
  <si>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</si>
  <si>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</si>
  <si>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</si>
  <si>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</si>
  <si>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</si>
  <si>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</si>
  <si>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</si>
  <si>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</si>
  <si>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</si>
  <si>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</si>
  <si>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</si>
  <si>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</si>
  <si>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</si>
  <si>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</si>
  <si>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</si>
  <si>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</si>
  <si>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</si>
  <si>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</si>
  <si>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</si>
  <si>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</si>
  <si>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</si>
  <si>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</si>
  <si>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</si>
  <si>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</si>
  <si>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</si>
  <si>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</si>
  <si>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</si>
  <si>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</si>
  <si>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</si>
  <si>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</si>
  <si>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</si>
  <si>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</si>
  <si>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</si>
  <si>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</si>
  <si>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</si>
  <si>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</si>
  <si>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</si>
  <si>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</si>
  <si>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</si>
  <si>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</si>
  <si>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</si>
  <si>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</si>
  <si>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</si>
  <si>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</si>
  <si>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</si>
  <si>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</si>
  <si>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</si>
  <si>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</si>
  <si>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</si>
  <si>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</si>
  <si>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</si>
  <si>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</si>
  <si>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</si>
  <si>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</si>
  <si>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</si>
  <si>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</si>
  <si>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</si>
  <si>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</si>
  <si>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</si>
  <si>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</si>
  <si>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</si>
  <si>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</si>
  <si>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</si>
  <si>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</si>
  <si>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</si>
  <si>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</si>
  <si>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</si>
  <si>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</si>
  <si>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</si>
  <si>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</si>
  <si>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</si>
  <si>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</si>
  <si>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</si>
  <si>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</si>
  <si>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</si>
  <si>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</si>
  <si>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</si>
  <si>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</si>
  <si>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</si>
  <si>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</si>
  <si>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</si>
  <si>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</si>
  <si>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</si>
  <si>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</si>
  <si>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</si>
  <si>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</si>
  <si>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</si>
  <si>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</si>
  <si>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</si>
  <si>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</si>
  <si>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</si>
  <si>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</si>
  <si>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</si>
  <si>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</si>
  <si>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</si>
  <si>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</si>
  <si>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</si>
  <si>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</si>
  <si>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</si>
  <si>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</si>
  <si>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</si>
  <si>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</si>
  <si>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</si>
  <si>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</si>
  <si>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</si>
  <si>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</si>
  <si>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</si>
  <si>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</si>
  <si>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</si>
  <si>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</si>
  <si>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</si>
  <si>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</si>
  <si>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</si>
  <si>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</si>
  <si>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</si>
  <si>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</si>
  <si>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</si>
  <si>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</si>
  <si>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</si>
  <si>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</si>
  <si>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</si>
  <si>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</si>
  <si>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</si>
  <si>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</si>
  <si>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</si>
  <si>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</si>
  <si>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</si>
  <si>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</si>
  <si>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</si>
  <si>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</si>
  <si>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</si>
  <si>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</si>
  <si>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</si>
  <si>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</si>
  <si>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</si>
  <si>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</si>
  <si>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</si>
  <si>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</si>
  <si>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</si>
  <si>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</si>
  <si>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</si>
  <si>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</si>
  <si>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</si>
  <si>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</si>
  <si>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</si>
  <si>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</si>
  <si>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</si>
  <si>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</si>
  <si>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</si>
  <si>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</si>
  <si>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</si>
  <si>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</si>
  <si>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</si>
  <si>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</si>
  <si>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</si>
  <si>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</si>
  <si>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</si>
  <si>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</si>
  <si>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</si>
  <si>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</si>
  <si>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</si>
  <si>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</si>
  <si>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</si>
  <si>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</si>
  <si>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</si>
  <si>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</si>
  <si>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</si>
  <si>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</si>
  <si>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</si>
  <si>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</si>
  <si>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</si>
  <si>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</si>
  <si>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</si>
  <si>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</si>
  <si>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</si>
  <si>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</si>
  <si>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</si>
  <si>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</si>
  <si>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</si>
  <si>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</si>
  <si>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</si>
  <si>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</si>
  <si>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</si>
  <si>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</si>
  <si>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</si>
  <si>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</si>
  <si>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</si>
  <si>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</si>
  <si>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</si>
  <si>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</si>
  <si>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</si>
  <si>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</si>
  <si>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</si>
  <si>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</si>
  <si>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</si>
  <si>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</si>
  <si>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</si>
  <si>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</si>
  <si>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</si>
  <si>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</si>
  <si>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</si>
  <si>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</si>
  <si>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</si>
  <si>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</si>
  <si>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</si>
  <si>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</si>
  <si>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</si>
  <si>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</si>
  <si>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</si>
  <si>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</si>
  <si>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</si>
  <si>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</si>
  <si>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</si>
  <si>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</si>
  <si>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</si>
  <si>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</si>
  <si>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</si>
  <si>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</si>
  <si>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</si>
  <si>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</si>
  <si>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</si>
  <si>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</si>
  <si>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</si>
  <si>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</si>
  <si>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</si>
  <si>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</si>
  <si>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</si>
  <si>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</si>
  <si>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</si>
  <si>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</si>
  <si>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</si>
  <si>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</si>
  <si>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</si>
  <si>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</si>
  <si>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</si>
  <si>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</si>
  <si>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</si>
  <si>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</si>
  <si>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</si>
  <si>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</si>
  <si>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</si>
  <si>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</si>
  <si>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</si>
  <si>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</si>
  <si>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</si>
  <si>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</si>
  <si>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</si>
  <si>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</si>
  <si>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</si>
  <si>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</si>
  <si>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</si>
  <si>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</si>
  <si>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</si>
  <si>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</si>
  <si>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</si>
  <si>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</si>
  <si>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</si>
  <si>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</si>
  <si>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</si>
  <si>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</si>
  <si>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</si>
  <si>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</si>
  <si>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</si>
  <si>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</si>
  <si>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</si>
  <si>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</si>
  <si>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</si>
  <si>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</si>
  <si>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</si>
  <si>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</si>
  <si>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</si>
  <si>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</si>
  <si>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</si>
  <si>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</si>
  <si>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</si>
  <si>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</si>
  <si>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</si>
  <si>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</si>
  <si>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</si>
  <si>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</si>
  <si>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</si>
  <si>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</si>
  <si>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</si>
  <si>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</si>
  <si>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</si>
  <si>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</si>
  <si>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</si>
  <si>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</si>
  <si>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</si>
  <si>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</si>
  <si>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</si>
  <si>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</si>
  <si>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</si>
  <si>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</si>
  <si>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</si>
  <si>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</si>
  <si>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</si>
  <si>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</si>
  <si>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</si>
  <si>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</si>
  <si>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</si>
  <si>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</si>
  <si>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</si>
  <si>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</si>
  <si>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</si>
  <si>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</si>
  <si>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</si>
  <si>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</si>
  <si>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</si>
  <si>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</si>
  <si>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</si>
  <si>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</si>
  <si>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</si>
  <si>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</si>
  <si>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</si>
  <si>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</si>
  <si>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</si>
  <si>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</si>
  <si>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</si>
  <si>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</si>
  <si>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</si>
  <si>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</si>
  <si>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</si>
  <si>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</si>
  <si>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</si>
  <si>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</si>
  <si>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</si>
  <si>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</si>
  <si>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</si>
  <si>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</si>
  <si>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</si>
  <si>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</si>
  <si>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</si>
  <si>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</si>
  <si>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</si>
  <si>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</si>
  <si>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</si>
  <si>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</si>
  <si>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</si>
  <si>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</si>
  <si>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</si>
  <si>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</si>
  <si>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</si>
  <si>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</si>
  <si>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</si>
  <si>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</si>
  <si>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</si>
  <si>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</si>
  <si>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</si>
  <si>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</si>
  <si>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</si>
  <si>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</si>
  <si>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</si>
  <si>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</si>
  <si>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</si>
  <si>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</si>
  <si>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</si>
  <si>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</si>
  <si>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</si>
  <si>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</si>
  <si>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</si>
  <si>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</si>
  <si>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</si>
  <si>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</si>
  <si>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</si>
  <si>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</si>
  <si>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</si>
  <si>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</si>
  <si>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</si>
  <si>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</si>
  <si>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</si>
  <si>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</si>
  <si>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</si>
  <si>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</si>
  <si>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</si>
  <si>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</si>
  <si>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</si>
  <si>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</si>
  <si>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</si>
  <si>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</si>
  <si>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</si>
  <si>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</si>
  <si>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</si>
  <si>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</si>
  <si>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</si>
  <si>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</si>
  <si>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</si>
  <si>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</si>
  <si>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</si>
  <si>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</si>
  <si>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</si>
  <si>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</si>
  <si>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</si>
  <si>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</si>
  <si>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</si>
  <si>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</si>
  <si>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</si>
  <si>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</si>
  <si>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</si>
  <si>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</si>
  <si>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</si>
  <si>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</si>
  <si>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</si>
  <si>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</si>
  <si>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</si>
  <si>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</si>
  <si>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</si>
  <si>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</si>
  <si>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</si>
  <si>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</si>
  <si>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</si>
  <si>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</si>
  <si>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</si>
  <si>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</si>
  <si>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</si>
  <si>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</si>
  <si>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</si>
  <si>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</si>
  <si>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</si>
  <si>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</si>
  <si>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</si>
  <si>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</si>
  <si>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</si>
  <si>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</si>
  <si>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</si>
  <si>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</si>
  <si>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</si>
  <si>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</si>
  <si>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</si>
  <si>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</si>
  <si>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</si>
  <si>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</si>
  <si>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</si>
  <si>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</si>
  <si>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</si>
  <si>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</si>
  <si>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</si>
  <si>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</si>
  <si>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</si>
  <si>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</si>
  <si>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</si>
  <si>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</si>
  <si>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</si>
  <si>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</si>
  <si>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</si>
  <si>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</si>
  <si>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</si>
  <si>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</si>
  <si>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</si>
  <si>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</si>
  <si>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</si>
  <si>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</si>
  <si>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</si>
  <si>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</si>
  <si>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</si>
  <si>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</si>
  <si>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</si>
  <si>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</si>
  <si>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</si>
  <si>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</si>
  <si>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</si>
  <si>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</si>
  <si>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</si>
  <si>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</si>
  <si>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</si>
  <si>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</si>
  <si>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</si>
  <si>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</si>
  <si>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</si>
  <si>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</si>
  <si>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</si>
  <si>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</si>
  <si>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</si>
  <si>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</si>
  <si>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</si>
  <si>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</si>
  <si>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</si>
  <si>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</si>
  <si>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</si>
  <si>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</si>
  <si>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</si>
  <si>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</si>
  <si>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</si>
  <si>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</si>
  <si>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</si>
  <si>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</si>
  <si>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</si>
  <si>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</si>
  <si>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</si>
  <si>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</si>
  <si>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</si>
  <si>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</si>
  <si>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</si>
  <si>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</si>
  <si>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</si>
  <si>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</si>
  <si>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</si>
  <si>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</si>
  <si>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</si>
  <si>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</si>
  <si>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</si>
  <si>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</si>
  <si>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</si>
  <si>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</si>
  <si>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</si>
  <si>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</si>
  <si>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</si>
  <si>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</si>
  <si>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</si>
  <si>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</si>
  <si>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</si>
  <si>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</si>
  <si>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</si>
  <si>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</si>
  <si>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</si>
  <si>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</si>
  <si>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</si>
  <si>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</si>
  <si>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</si>
  <si>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</si>
  <si>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</si>
  <si>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</si>
  <si>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</si>
  <si>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</si>
  <si>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</si>
  <si>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</si>
  <si>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</si>
  <si>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</si>
  <si>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</si>
  <si>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</si>
  <si>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</si>
  <si>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</si>
  <si>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</si>
  <si>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</si>
  <si>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</si>
  <si>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</si>
  <si>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</si>
  <si>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</si>
  <si>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</si>
  <si>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</si>
  <si>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</si>
  <si>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</si>
  <si>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</si>
  <si>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</si>
  <si>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</si>
  <si>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</si>
  <si>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</si>
  <si>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</si>
  <si>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</si>
  <si>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</si>
  <si>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</si>
  <si>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</si>
  <si>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</si>
  <si>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</si>
  <si>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</si>
  <si>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</si>
  <si>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</si>
  <si>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</si>
  <si>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</si>
  <si>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</si>
  <si>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</si>
  <si>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</si>
  <si>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</si>
  <si>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</si>
  <si>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</si>
  <si>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</si>
  <si>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</si>
  <si>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</si>
  <si>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</si>
  <si>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</si>
  <si>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</si>
  <si>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</si>
  <si>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</si>
  <si>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</si>
  <si>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</si>
  <si>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</si>
  <si>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</si>
  <si>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</si>
  <si>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</si>
  <si>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</si>
  <si>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</si>
  <si>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</si>
  <si>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</si>
  <si>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</si>
  <si>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</si>
  <si>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</si>
  <si>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</si>
  <si>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</si>
  <si>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</si>
  <si>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</si>
  <si>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</si>
  <si>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</si>
  <si>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</si>
  <si>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</si>
  <si>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</si>
  <si>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</si>
  <si>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</si>
  <si>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</si>
  <si>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</si>
  <si>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</si>
  <si>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</si>
  <si>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</si>
  <si>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</si>
  <si>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</si>
  <si>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</si>
  <si>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</si>
  <si>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</si>
  <si>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</si>
  <si>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</si>
  <si>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</si>
  <si>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</si>
  <si>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</si>
  <si>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</si>
  <si>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</si>
  <si>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</si>
  <si>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</si>
  <si>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</si>
  <si>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</si>
  <si>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</si>
  <si>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</si>
  <si>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</si>
  <si>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</si>
  <si>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</si>
  <si>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</si>
  <si>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</si>
  <si>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</si>
  <si>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</si>
  <si>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</si>
  <si>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</si>
  <si>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</si>
  <si>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</si>
  <si>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</si>
  <si>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</si>
  <si>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</si>
  <si>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</si>
  <si>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</si>
  <si>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</si>
  <si>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</si>
  <si>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</si>
  <si>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</si>
  <si>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</si>
  <si>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</si>
  <si>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</si>
  <si>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</si>
  <si>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</si>
  <si>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</si>
  <si>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</si>
  <si>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</si>
  <si>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</si>
  <si>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</si>
  <si>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</si>
  <si>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</si>
  <si>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</si>
  <si>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</si>
  <si>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</si>
  <si>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</si>
  <si>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</si>
  <si>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</si>
  <si>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</si>
  <si>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</si>
  <si>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</si>
  <si>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</si>
  <si>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</si>
  <si>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</si>
  <si>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</si>
  <si>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</si>
  <si>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</si>
  <si>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</si>
  <si>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</si>
  <si>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</si>
  <si>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</si>
  <si>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</si>
  <si>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</si>
  <si>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</si>
  <si>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</si>
  <si>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</si>
  <si>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</si>
  <si>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</si>
  <si>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</si>
  <si>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</si>
  <si>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</si>
  <si>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</si>
  <si>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</si>
  <si>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</si>
  <si>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</si>
  <si>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</si>
  <si>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</si>
  <si>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</si>
  <si>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</si>
  <si>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</si>
  <si>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</si>
  <si>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</si>
  <si>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</si>
  <si>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</si>
  <si>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</si>
  <si>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</si>
  <si>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</si>
  <si>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</si>
  <si>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</si>
  <si>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</si>
  <si>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</si>
  <si>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</si>
  <si>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</si>
  <si>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</si>
  <si>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</si>
  <si>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</si>
  <si>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</si>
  <si>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</si>
  <si>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</si>
  <si>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</si>
  <si>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</si>
  <si>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</si>
  <si>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</si>
  <si>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</si>
  <si>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</si>
  <si>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</si>
  <si>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</si>
  <si>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</si>
  <si>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</si>
  <si>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</si>
  <si>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</si>
  <si>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</si>
  <si>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</si>
  <si>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</si>
  <si>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</si>
  <si>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</si>
  <si>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</si>
  <si>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</si>
  <si>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</si>
  <si>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</si>
  <si>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</si>
  <si>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</si>
  <si>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</si>
  <si>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</si>
  <si>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</si>
  <si>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</si>
  <si>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</si>
  <si>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</si>
  <si>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</si>
  <si>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</si>
  <si>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</si>
  <si>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</si>
  <si>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</si>
  <si>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</si>
  <si>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</si>
  <si>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</si>
  <si>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</si>
  <si>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</si>
  <si>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</si>
  <si>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</si>
  <si>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</si>
  <si>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</si>
  <si>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</si>
  <si>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</si>
  <si>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</si>
  <si>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</si>
  <si>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</si>
  <si>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</si>
  <si>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</si>
  <si>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</si>
  <si>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</si>
  <si>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</si>
  <si>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</si>
  <si>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</si>
  <si>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</si>
  <si>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</si>
  <si>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</si>
  <si>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</si>
  <si>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</si>
  <si>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</si>
  <si>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</si>
  <si>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</si>
  <si>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</si>
  <si>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</si>
  <si>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</si>
  <si>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</si>
  <si>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</si>
  <si>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</si>
  <si>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</si>
  <si>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</si>
  <si>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</si>
  <si>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</si>
  <si>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</si>
  <si>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</si>
  <si>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</si>
  <si>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</si>
  <si>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</si>
  <si>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</si>
  <si>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</si>
  <si>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</si>
  <si>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</si>
  <si>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</si>
  <si>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</si>
  <si>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</si>
  <si>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</si>
  <si>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</si>
  <si>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</si>
  <si>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</si>
  <si>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</si>
  <si>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</si>
  <si>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</si>
  <si>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</si>
  <si>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</si>
  <si>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</si>
  <si>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</si>
  <si>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</si>
  <si>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</si>
  <si>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</si>
  <si>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</si>
  <si>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</si>
  <si>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</si>
  <si>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</si>
  <si>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</si>
  <si>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</si>
  <si>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</si>
  <si>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</si>
  <si>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</si>
  <si>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</si>
  <si>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</si>
  <si>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</si>
  <si>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</si>
  <si>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</si>
  <si>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</si>
  <si>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</si>
  <si>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</si>
  <si>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</si>
  <si>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</si>
  <si>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</si>
  <si>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</si>
  <si>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</si>
  <si>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</si>
  <si>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</si>
  <si>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</si>
  <si>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</si>
  <si>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</si>
  <si>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</si>
  <si>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</si>
  <si>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</si>
  <si>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</si>
  <si>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</si>
  <si>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</si>
  <si>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</si>
  <si>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</si>
  <si>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</si>
  <si>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</si>
  <si>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</si>
  <si>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</si>
  <si>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</si>
  <si>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</si>
  <si>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</si>
  <si>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</si>
  <si>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</si>
  <si>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</si>
  <si>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</si>
  <si>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</si>
  <si>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</si>
  <si>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</si>
  <si>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</si>
  <si>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</si>
  <si>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</si>
  <si>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</si>
  <si>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</si>
  <si>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</si>
  <si>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</si>
  <si>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</si>
  <si>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</si>
  <si>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</si>
  <si>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</si>
  <si>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</si>
  <si>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</si>
  <si>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</si>
  <si>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</si>
  <si>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</si>
  <si>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</si>
  <si>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</si>
  <si>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</si>
  <si>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</si>
  <si>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</si>
  <si>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</si>
  <si>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</si>
  <si>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</si>
  <si>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</si>
  <si>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</si>
  <si>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</si>
  <si>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</si>
  <si>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</si>
  <si>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</si>
  <si>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</si>
  <si>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</si>
  <si>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</si>
  <si>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</si>
  <si>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</si>
  <si>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</si>
  <si>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</si>
  <si>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</si>
  <si>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</si>
  <si>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</si>
  <si>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</si>
  <si>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</si>
  <si>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</si>
  <si>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</si>
  <si>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</si>
  <si>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</si>
  <si>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</si>
  <si>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</si>
  <si>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</si>
  <si>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</si>
  <si>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</si>
  <si>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</si>
  <si>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</si>
  <si>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</si>
  <si>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</si>
  <si>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</si>
  <si>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</si>
  <si>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</si>
  <si>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</si>
  <si>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</si>
  <si>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</si>
  <si>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</si>
  <si>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</si>
  <si>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</si>
  <si>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</si>
  <si>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</si>
  <si>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</si>
  <si>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</si>
  <si>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</si>
  <si>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</si>
  <si>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</si>
  <si>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</si>
  <si>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</si>
  <si>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</si>
  <si>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</si>
  <si>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</si>
  <si>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</si>
  <si>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</si>
  <si>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</si>
  <si>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</si>
  <si>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</si>
  <si>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</si>
  <si>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</si>
  <si>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</si>
  <si>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</si>
  <si>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</si>
  <si>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</si>
  <si>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</si>
  <si>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</si>
  <si>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</si>
  <si>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</si>
  <si>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</si>
  <si>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</si>
  <si>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</si>
  <si>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</si>
  <si>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</si>
  <si>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</si>
  <si>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</si>
  <si>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</si>
  <si>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</si>
  <si>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</si>
  <si>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</si>
  <si>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</si>
  <si>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</si>
  <si>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</si>
  <si>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</si>
  <si>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</si>
  <si>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</si>
  <si>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</si>
  <si>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</si>
  <si>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</si>
  <si>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</si>
  <si>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</si>
  <si>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</si>
  <si>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</si>
  <si>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</si>
  <si>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</si>
  <si>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</si>
  <si>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</si>
  <si>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</si>
  <si>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</si>
  <si>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</si>
  <si>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</si>
  <si>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</si>
  <si>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</si>
  <si>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</si>
  <si>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</si>
  <si>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</si>
  <si>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</si>
  <si>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</si>
  <si>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</si>
  <si>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</si>
  <si>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</si>
  <si>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</si>
  <si>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</si>
  <si>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</si>
  <si>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</si>
  <si>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</si>
  <si>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</si>
  <si>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</si>
  <si>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</si>
  <si>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</si>
  <si>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</si>
  <si>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</si>
  <si>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</si>
  <si>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</si>
  <si>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</si>
  <si>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</si>
  <si>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</si>
  <si>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</si>
  <si>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</si>
  <si>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</si>
  <si>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</si>
  <si>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</si>
  <si>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</si>
  <si>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</si>
  <si>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</si>
  <si>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</si>
  <si>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</si>
  <si>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</si>
  <si>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</si>
  <si>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</si>
  <si>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</si>
  <si>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</si>
  <si>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</si>
  <si>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</si>
  <si>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</si>
  <si>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</si>
  <si>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</si>
  <si>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</si>
  <si>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</si>
  <si>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</si>
  <si>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</si>
  <si>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</si>
  <si>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</si>
  <si>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</si>
  <si>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</si>
  <si>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</si>
  <si>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</si>
  <si>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</si>
  <si>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</si>
  <si>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</si>
  <si>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</si>
  <si>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</si>
  <si>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</si>
  <si>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</si>
  <si>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</si>
  <si>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</si>
  <si>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</si>
  <si>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</si>
  <si>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</si>
  <si>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</si>
  <si>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</si>
  <si>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</si>
  <si>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</si>
  <si>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</si>
  <si>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</si>
  <si>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</si>
  <si>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</si>
  <si>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</si>
  <si>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</si>
  <si>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</si>
  <si>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</si>
  <si>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</si>
  <si>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</si>
  <si>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</si>
  <si>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</si>
  <si>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</si>
  <si>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</si>
  <si>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</si>
  <si>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</si>
  <si>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</si>
  <si>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</si>
  <si>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</si>
  <si>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</si>
  <si>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</si>
  <si>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</si>
  <si>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</si>
  <si>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</si>
  <si>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</si>
  <si>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</si>
  <si>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</si>
  <si>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</si>
  <si>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</si>
  <si>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</si>
  <si>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</si>
  <si>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</si>
  <si>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</si>
  <si>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</si>
  <si>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</si>
  <si>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</si>
  <si>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</si>
  <si>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</si>
  <si>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</si>
  <si>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</si>
  <si>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</si>
  <si>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</si>
  <si>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</si>
  <si>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</si>
  <si>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</si>
  <si>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</si>
  <si>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</si>
  <si>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</si>
  <si>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</si>
  <si>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</si>
  <si>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</si>
  <si>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</si>
  <si>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</si>
  <si>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</si>
  <si>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</si>
  <si>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</si>
  <si>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</si>
  <si>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</si>
  <si>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</si>
  <si>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</si>
  <si>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</si>
  <si>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</si>
  <si>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</si>
  <si>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</si>
  <si>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</si>
  <si>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</si>
  <si>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</si>
  <si>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</si>
  <si>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</si>
  <si>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</si>
  <si>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</si>
  <si>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</si>
  <si>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</si>
  <si>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</si>
  <si>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</si>
  <si>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</si>
  <si>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</si>
  <si>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</si>
  <si>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</si>
  <si>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</si>
  <si>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</si>
  <si>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</si>
  <si>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</si>
  <si>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</si>
  <si>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</si>
  <si>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</si>
  <si>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</si>
  <si>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</si>
  <si>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</si>
  <si>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</si>
  <si>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</si>
  <si>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</si>
  <si>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</si>
  <si>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</si>
  <si>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</si>
  <si>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</si>
  <si>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</si>
  <si>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</si>
  <si>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</si>
  <si>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</si>
  <si>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</si>
  <si>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</si>
  <si>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</si>
  <si>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</si>
  <si>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</si>
  <si>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</si>
  <si>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</si>
  <si>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</si>
  <si>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</si>
  <si>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</si>
  <si>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</si>
  <si>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</si>
  <si>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</si>
  <si>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</si>
  <si>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</si>
  <si>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</si>
  <si>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</si>
  <si>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</si>
  <si>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</si>
  <si>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</si>
  <si>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</si>
  <si>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</si>
  <si>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</si>
  <si>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</si>
  <si>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</si>
  <si>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</si>
  <si>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</si>
  <si>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</si>
  <si>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</si>
  <si>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</si>
  <si>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</si>
  <si>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</si>
  <si>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</si>
  <si>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</si>
  <si>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</si>
  <si>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</si>
  <si>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</si>
  <si>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</si>
  <si>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</si>
  <si>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</si>
  <si>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</si>
  <si>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</si>
  <si>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</si>
  <si>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</si>
  <si>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</si>
  <si>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</si>
  <si>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</si>
  <si>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</si>
  <si>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</si>
  <si>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</si>
  <si>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</si>
  <si>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</si>
  <si>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</si>
  <si>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</si>
  <si>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</si>
  <si>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</si>
  <si>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</si>
  <si>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</si>
  <si>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</si>
  <si>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</si>
  <si>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</si>
  <si>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</si>
  <si>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</si>
  <si>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</si>
  <si>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</si>
  <si>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</si>
  <si>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</si>
  <si>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</si>
  <si>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</si>
  <si>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</si>
  <si>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</si>
  <si>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</si>
  <si>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</si>
  <si>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</si>
  <si>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</si>
  <si>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</si>
  <si>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</si>
  <si>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</si>
  <si>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</si>
  <si>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</si>
  <si>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</si>
  <si>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</si>
  <si>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</si>
  <si>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</si>
  <si>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</si>
  <si>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</si>
  <si>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</si>
  <si>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</si>
  <si>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</si>
  <si>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</si>
  <si>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</si>
  <si>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</si>
  <si>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</si>
  <si>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</si>
  <si>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</si>
  <si>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</si>
  <si>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</si>
  <si>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</si>
  <si>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</si>
  <si>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</si>
  <si>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</si>
  <si>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</si>
  <si>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</si>
  <si>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</si>
  <si>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</si>
  <si>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</si>
  <si>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</si>
  <si>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</si>
  <si>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</si>
  <si>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</si>
  <si>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</si>
  <si>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</si>
  <si>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</si>
  <si>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</si>
  <si>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</si>
  <si>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</si>
  <si>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</si>
  <si>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</si>
  <si>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</si>
  <si>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</si>
  <si>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</si>
  <si>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</si>
  <si>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</si>
  <si>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</si>
  <si>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</si>
  <si>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</si>
  <si>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</si>
  <si>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</si>
  <si>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</si>
  <si>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</si>
  <si>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</si>
  <si>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</si>
  <si>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</si>
  <si>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</si>
  <si>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</si>
  <si>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</si>
  <si>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</si>
  <si>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</si>
  <si>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</si>
  <si>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</si>
  <si>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</si>
  <si>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</si>
  <si>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</si>
  <si>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</si>
  <si>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</si>
  <si>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</si>
  <si>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</si>
  <si>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</si>
  <si>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</si>
  <si>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</si>
  <si>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</si>
  <si>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</si>
  <si>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</si>
  <si>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</si>
  <si>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</si>
  <si>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</si>
  <si>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</si>
  <si>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</si>
  <si>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</si>
  <si>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</si>
  <si>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</si>
  <si>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</si>
  <si>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</si>
  <si>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</si>
  <si>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</si>
  <si>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</si>
  <si>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</si>
  <si>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</si>
  <si>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</si>
  <si>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</si>
  <si>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</si>
  <si>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</si>
  <si>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</si>
  <si>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</si>
  <si>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</si>
  <si>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</si>
  <si>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</si>
  <si>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</si>
  <si>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</si>
  <si>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</si>
  <si>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</si>
  <si>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</si>
  <si>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</si>
  <si>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</si>
  <si>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</si>
  <si>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</si>
  <si>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</si>
  <si>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</si>
  <si>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</si>
  <si>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</si>
  <si>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</si>
  <si>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</si>
  <si>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</si>
  <si>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</si>
  <si>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</si>
  <si>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</si>
  <si>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</si>
  <si>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</si>
  <si>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</si>
  <si>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</si>
  <si>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</si>
  <si>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</si>
  <si>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</si>
  <si>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</si>
  <si>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</si>
  <si>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</si>
  <si>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</si>
  <si>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</si>
  <si>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</si>
  <si>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</si>
  <si>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</si>
  <si>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</si>
  <si>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</si>
  <si>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</si>
  <si>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</si>
  <si>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</si>
  <si>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</si>
  <si>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</si>
  <si>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</si>
  <si>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</si>
  <si>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</si>
  <si>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</si>
  <si>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</si>
  <si>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</si>
  <si>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</si>
  <si>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</si>
  <si>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</si>
  <si>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</si>
  <si>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</si>
  <si>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</si>
  <si>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</si>
  <si>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</si>
  <si>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</si>
  <si>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</si>
  <si>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</si>
  <si>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</si>
  <si>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</si>
  <si>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</si>
  <si>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</si>
  <si>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</si>
  <si>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</si>
  <si>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</si>
  <si>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</si>
  <si>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</si>
  <si>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</si>
  <si>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</si>
  <si>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</si>
  <si>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</si>
  <si>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</si>
  <si>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</si>
  <si>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</si>
  <si>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</si>
  <si>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</si>
  <si>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</si>
  <si>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</si>
  <si>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</si>
  <si>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</si>
  <si>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</si>
  <si>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</si>
  <si>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</si>
  <si>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</si>
  <si>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</si>
  <si>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</si>
  <si>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</si>
  <si>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</si>
  <si>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</si>
  <si>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</si>
  <si>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</si>
  <si>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</si>
  <si>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</si>
  <si>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</si>
  <si>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</si>
  <si>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</si>
  <si>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</si>
  <si>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</si>
  <si>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</si>
  <si>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</si>
  <si>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</si>
  <si>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</si>
  <si>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</si>
  <si>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</si>
  <si>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</si>
  <si>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</si>
  <si>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</si>
  <si>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</si>
  <si>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</si>
  <si>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</si>
  <si>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</si>
  <si>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</si>
  <si>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</si>
  <si>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</si>
  <si>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</si>
  <si>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</si>
  <si>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</si>
  <si>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</si>
  <si>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</si>
  <si>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</si>
  <si>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</si>
  <si>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</si>
  <si>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</si>
  <si>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</si>
  <si>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</si>
  <si>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</si>
  <si>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</si>
  <si>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</si>
  <si>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</si>
  <si>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</si>
  <si>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</si>
  <si>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</si>
  <si>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</si>
  <si>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</si>
  <si>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</si>
  <si>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</si>
  <si>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</si>
  <si>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</si>
  <si>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</si>
  <si>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</si>
  <si>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</si>
  <si>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</si>
  <si>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</si>
  <si>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</si>
  <si>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</si>
  <si>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</si>
  <si>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</si>
  <si>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</si>
  <si>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</si>
  <si>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</si>
  <si>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</si>
  <si>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</si>
  <si>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</si>
  <si>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</si>
  <si>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</si>
  <si>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</si>
  <si>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</si>
  <si>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</si>
  <si>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</si>
  <si>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</si>
  <si>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</si>
  <si>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</si>
  <si>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</si>
  <si>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</si>
  <si>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</si>
  <si>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</si>
  <si>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</si>
  <si>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</si>
  <si>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</si>
  <si>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</si>
  <si>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</si>
  <si>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</si>
  <si>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</si>
  <si>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</si>
  <si>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</si>
  <si>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</si>
  <si>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</si>
  <si>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</si>
  <si>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</si>
  <si>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</si>
  <si>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</si>
  <si>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</si>
  <si>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</si>
  <si>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</si>
  <si>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</si>
  <si>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</si>
  <si>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</si>
  <si>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</si>
  <si>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</si>
  <si>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</si>
  <si>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</si>
  <si>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</si>
  <si>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</si>
  <si>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</si>
  <si>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</si>
  <si>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</si>
  <si>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</si>
  <si>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</si>
  <si>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</si>
  <si>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</si>
  <si>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</si>
  <si>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</si>
  <si>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</si>
  <si>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</si>
  <si>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</si>
  <si>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</si>
  <si>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</si>
  <si>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</si>
  <si>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</si>
  <si>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</si>
  <si>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</si>
  <si>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</si>
  <si>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</si>
  <si>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</si>
  <si>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</si>
  <si>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</si>
  <si>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</si>
  <si>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</si>
  <si>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</si>
  <si>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</si>
  <si>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</si>
  <si>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</si>
  <si>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</si>
  <si>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</si>
  <si>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</si>
  <si>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</si>
  <si>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</si>
  <si>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</si>
  <si>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</si>
  <si>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</si>
  <si>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</si>
  <si>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</si>
  <si>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</si>
  <si>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</si>
  <si>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</si>
  <si>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</si>
  <si>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</si>
  <si>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</si>
  <si>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</si>
  <si>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</si>
  <si>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</si>
  <si>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</si>
  <si>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</si>
  <si>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</si>
  <si>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</si>
  <si>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</si>
  <si>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</si>
  <si>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</si>
  <si>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</si>
  <si>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</si>
  <si>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</si>
  <si>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</si>
  <si>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</si>
  <si>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</si>
  <si>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</si>
  <si>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</si>
  <si>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</si>
  <si>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</si>
  <si>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</si>
  <si>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</si>
  <si>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</si>
  <si>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</si>
  <si>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</si>
  <si>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</si>
  <si>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</si>
  <si>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</si>
  <si>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</si>
  <si>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</si>
  <si>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</si>
  <si>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</si>
  <si>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</si>
  <si>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</si>
  <si>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</si>
  <si>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</si>
  <si>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</si>
  <si>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</si>
  <si>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</si>
  <si>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</si>
  <si>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</si>
  <si>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</si>
  <si>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</si>
  <si>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</si>
  <si>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</si>
  <si>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</si>
  <si>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</si>
  <si>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</si>
  <si>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</si>
  <si>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</si>
  <si>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</si>
  <si>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</si>
  <si>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</si>
  <si>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</si>
  <si>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</si>
  <si>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</si>
  <si>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</si>
  <si>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</si>
  <si>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</si>
  <si>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</si>
  <si>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</si>
  <si>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</si>
  <si>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</si>
  <si>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</si>
  <si>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</si>
  <si>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</si>
  <si>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</si>
  <si>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</si>
  <si>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</si>
  <si>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</si>
  <si>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</si>
  <si>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</si>
  <si>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</si>
  <si>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</si>
  <si>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</si>
  <si>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</si>
  <si>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</si>
  <si>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</si>
  <si>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</si>
  <si>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</si>
  <si>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</si>
  <si>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</si>
  <si>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</si>
  <si>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</si>
  <si>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</si>
  <si>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</si>
  <si>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</si>
  <si>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</si>
  <si>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</si>
  <si>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</si>
  <si>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</si>
  <si>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</si>
  <si>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</si>
  <si>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</si>
  <si>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</si>
  <si>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</si>
  <si>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</si>
  <si>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</si>
  <si>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</si>
  <si>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</si>
  <si>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</si>
  <si>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</si>
  <si>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</si>
  <si>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</si>
  <si>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</si>
  <si>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</si>
  <si>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</si>
  <si>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</si>
  <si>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</si>
  <si>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</si>
  <si>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</si>
  <si>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</si>
  <si>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</si>
  <si>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</si>
  <si>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</si>
  <si>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</si>
  <si>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</si>
  <si>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</si>
  <si>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</si>
  <si>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</si>
  <si>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</si>
  <si>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</si>
  <si>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</si>
  <si>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</si>
  <si>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</si>
  <si>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</si>
  <si>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</si>
  <si>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</si>
  <si>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</si>
  <si>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</si>
  <si>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</si>
  <si>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</si>
  <si>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</si>
  <si>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</si>
  <si>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</si>
  <si>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</si>
  <si>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</si>
  <si>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</si>
  <si>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</si>
  <si>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</si>
  <si>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</si>
  <si>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</si>
  <si>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</si>
  <si>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</si>
  <si>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</si>
  <si>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</si>
  <si>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</si>
  <si>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</si>
  <si>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</si>
  <si>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</si>
  <si>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</si>
  <si>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</si>
  <si>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</si>
  <si>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</si>
  <si>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</si>
  <si>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</si>
  <si>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</si>
  <si>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</si>
  <si>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</si>
  <si>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</si>
  <si>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</si>
  <si>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</si>
  <si>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</si>
  <si>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</si>
  <si>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</si>
  <si>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</si>
  <si>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</si>
  <si>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</si>
  <si>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</si>
  <si>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</si>
  <si>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</si>
  <si>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</si>
  <si>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</si>
  <si>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</si>
  <si>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</si>
  <si>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</si>
  <si>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</si>
  <si>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</si>
  <si>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</si>
  <si>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</si>
  <si>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</si>
  <si>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</si>
  <si>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</si>
  <si>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</si>
  <si>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</si>
  <si>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</si>
  <si>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</si>
  <si>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</si>
  <si>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</si>
  <si>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</si>
  <si>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</si>
  <si>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</si>
  <si>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</si>
  <si>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</si>
  <si>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</si>
  <si>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</si>
  <si>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</si>
  <si>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</si>
  <si>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</si>
  <si>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</si>
  <si>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</si>
  <si>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</si>
  <si>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</si>
  <si>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</si>
  <si>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</si>
  <si>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</si>
  <si>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</si>
  <si>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</si>
  <si>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</si>
  <si>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</si>
  <si>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</si>
  <si>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</si>
  <si>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</si>
  <si>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</si>
  <si>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</si>
  <si>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</si>
  <si>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</si>
  <si>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</si>
  <si>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</si>
  <si>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</si>
  <si>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</si>
  <si>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</si>
  <si>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</si>
  <si>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</si>
  <si>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</si>
  <si>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</si>
  <si>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</si>
  <si>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</si>
  <si>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</si>
  <si>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</si>
  <si>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</si>
  <si>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</si>
  <si>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</si>
  <si>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</si>
  <si>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</si>
  <si>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</si>
  <si>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</si>
  <si>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</si>
  <si>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</si>
  <si>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</si>
  <si>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</si>
  <si>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</si>
  <si>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</si>
  <si>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</si>
  <si>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</si>
  <si>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</si>
  <si>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</si>
  <si>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</si>
  <si>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</si>
  <si>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</si>
  <si>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</si>
  <si>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</si>
  <si>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</si>
  <si>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</si>
  <si>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</si>
  <si>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</si>
  <si>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</si>
  <si>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</si>
  <si>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</si>
  <si>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</si>
  <si>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</si>
  <si>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</si>
  <si>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</si>
  <si>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</si>
  <si>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</si>
  <si>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</si>
  <si>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</si>
  <si>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</si>
  <si>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</si>
  <si>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</si>
  <si>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</si>
  <si>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</si>
  <si>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</si>
  <si>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</si>
  <si>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</si>
  <si>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</si>
  <si>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</si>
  <si>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</si>
  <si>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</si>
  <si>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</si>
  <si>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</si>
  <si>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</si>
  <si>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</si>
  <si>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</si>
  <si>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</si>
  <si>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</si>
  <si>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</si>
  <si>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</si>
  <si>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</si>
  <si>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</si>
  <si>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</si>
  <si>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</si>
  <si>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</si>
  <si>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</si>
  <si>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</si>
  <si>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</si>
  <si>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</si>
  <si>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</si>
  <si>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</si>
  <si>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</si>
  <si>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</si>
  <si>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</si>
  <si>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</si>
  <si>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</si>
  <si>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</si>
  <si>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</si>
  <si>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</si>
  <si>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</si>
  <si>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</si>
  <si>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</si>
  <si>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</si>
  <si>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</si>
  <si>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</si>
  <si>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</si>
  <si>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</si>
  <si>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</si>
  <si>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</si>
  <si>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</si>
  <si>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</si>
  <si>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</si>
  <si>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</si>
  <si>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</si>
  <si>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</si>
  <si>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</si>
  <si>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</si>
  <si>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</si>
  <si>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</si>
  <si>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</si>
  <si>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</si>
  <si>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</si>
  <si>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</si>
  <si>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</si>
  <si>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</si>
  <si>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</si>
  <si>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</si>
  <si>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</si>
  <si>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</si>
  <si>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</si>
  <si>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</si>
  <si>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</si>
  <si>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</si>
  <si>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</si>
  <si>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</si>
  <si>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</si>
  <si>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</si>
  <si>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</si>
  <si>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</si>
  <si>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</si>
  <si>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</si>
  <si>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</si>
  <si>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</si>
  <si>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</si>
  <si>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</si>
  <si>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</si>
  <si>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</si>
  <si>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</si>
  <si>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</si>
  <si>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</si>
  <si>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</si>
  <si>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</si>
  <si>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</si>
  <si>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</si>
  <si>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</si>
  <si>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</si>
  <si>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</si>
  <si>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</si>
  <si>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</si>
  <si>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</si>
  <si>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</si>
  <si>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</si>
  <si>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</si>
  <si>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</si>
  <si>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</si>
  <si>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</si>
  <si>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</si>
  <si>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</si>
  <si>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</si>
  <si>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</si>
  <si>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</si>
  <si>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</si>
  <si>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</si>
  <si>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</si>
  <si>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</si>
  <si>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</si>
  <si>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</si>
  <si>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</si>
  <si>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</si>
  <si>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</si>
  <si>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</si>
  <si>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</si>
  <si>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</si>
  <si>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</si>
  <si>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</si>
  <si>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</si>
  <si>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</si>
  <si>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</si>
  <si>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</si>
  <si>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</si>
  <si>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</si>
  <si>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</si>
  <si>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</si>
  <si>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</si>
  <si>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</si>
  <si>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</si>
  <si>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</si>
  <si>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</si>
  <si>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</si>
  <si>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</si>
  <si>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</si>
  <si>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</si>
  <si>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</si>
  <si>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</si>
  <si>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</si>
  <si>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</si>
  <si>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</si>
  <si>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</si>
  <si>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</si>
  <si>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</si>
  <si>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</si>
  <si>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</si>
  <si>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</si>
  <si>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</si>
  <si>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</si>
  <si>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</si>
  <si>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</si>
  <si>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</si>
  <si>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</si>
  <si>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</si>
  <si>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</si>
  <si>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</si>
  <si>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</si>
  <si>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</si>
  <si>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</si>
  <si>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</si>
  <si>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</si>
  <si>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</si>
  <si>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</si>
  <si>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</si>
  <si>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</si>
  <si>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</si>
  <si>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</si>
  <si>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</si>
  <si>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</si>
  <si>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</si>
  <si>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</si>
  <si>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</si>
  <si>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</si>
  <si>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</si>
  <si>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</si>
  <si>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</si>
  <si>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</si>
  <si>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</si>
  <si>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</si>
  <si>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</si>
  <si>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</si>
  <si>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</si>
  <si>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</si>
  <si>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</si>
  <si>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</si>
  <si>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</si>
  <si>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</si>
  <si>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</si>
  <si>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</si>
  <si>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</si>
  <si>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</si>
  <si>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</si>
  <si>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</si>
  <si>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</si>
  <si>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</si>
  <si>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</si>
  <si>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</si>
  <si>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</si>
  <si>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</si>
  <si>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</si>
  <si>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</si>
  <si>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</si>
  <si>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</si>
  <si>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</si>
  <si>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</si>
  <si>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</si>
  <si>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</si>
  <si>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</si>
  <si>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</si>
  <si>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</si>
  <si>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</si>
  <si>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</si>
  <si>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</si>
  <si>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</si>
  <si>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</si>
  <si>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</si>
  <si>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</si>
  <si>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</si>
  <si>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</si>
  <si>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</si>
  <si>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</si>
  <si>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</si>
  <si>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</si>
  <si>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</si>
  <si>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</si>
  <si>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</si>
  <si>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</si>
  <si>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</si>
  <si>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</si>
  <si>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</si>
  <si>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</si>
  <si>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</si>
  <si>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</si>
  <si>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</si>
  <si>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</si>
  <si>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</si>
  <si>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</si>
  <si>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</si>
  <si>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</si>
  <si>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</si>
  <si>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</si>
  <si>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</si>
  <si>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</si>
  <si>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</si>
  <si>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</si>
  <si>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</si>
  <si>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</si>
  <si>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</si>
  <si>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</si>
  <si>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</si>
  <si>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</si>
  <si>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</si>
  <si>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</si>
  <si>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</si>
  <si>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</si>
  <si>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</si>
  <si>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</si>
  <si>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</si>
  <si>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</si>
  <si>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</si>
  <si>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</si>
  <si>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</si>
  <si>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</si>
  <si>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</si>
  <si>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</si>
  <si>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</si>
  <si>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</si>
  <si>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</si>
  <si>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</si>
  <si>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</si>
  <si>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</si>
  <si>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</si>
  <si>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</si>
  <si>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</si>
  <si>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</si>
  <si>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</si>
  <si>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</si>
  <si>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</si>
  <si>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</si>
  <si>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</si>
  <si>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</si>
  <si>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</si>
  <si>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</si>
  <si>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</si>
  <si>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</si>
  <si>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</si>
  <si>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</si>
  <si>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</si>
  <si>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</si>
  <si>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</si>
  <si>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</si>
  <si>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</si>
  <si>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</si>
  <si>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</si>
  <si>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</si>
  <si>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</si>
  <si>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</si>
  <si>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</si>
  <si>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</si>
  <si>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</si>
  <si>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</si>
  <si>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</si>
  <si>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</si>
  <si>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</si>
  <si>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</si>
  <si>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</si>
  <si>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</si>
  <si>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</si>
  <si>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</si>
  <si>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</si>
  <si>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</si>
  <si>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</si>
  <si>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</si>
  <si>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</si>
  <si>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</si>
  <si>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</si>
  <si>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</si>
  <si>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</si>
  <si>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</si>
  <si>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</si>
  <si>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</si>
  <si>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</si>
  <si>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</si>
  <si>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</si>
  <si>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</si>
  <si>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</si>
  <si>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</si>
  <si>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</si>
  <si>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</si>
  <si>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</si>
  <si>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</si>
  <si>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</si>
  <si>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</si>
  <si>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</si>
  <si>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</si>
  <si>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</si>
  <si>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</si>
  <si>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</si>
  <si>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</si>
  <si>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</si>
  <si>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</si>
  <si>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</si>
  <si>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</si>
  <si>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</si>
  <si>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</si>
  <si>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</si>
  <si>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</si>
  <si>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</si>
  <si>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</si>
  <si>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</si>
  <si>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</si>
  <si>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</si>
  <si>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</si>
  <si>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</si>
  <si>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</si>
  <si>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</si>
  <si>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</si>
  <si>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</si>
  <si>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</si>
  <si>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</si>
  <si>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</si>
  <si>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</si>
  <si>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</si>
  <si>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</si>
  <si>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</si>
  <si>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</si>
  <si>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</si>
  <si>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</si>
  <si>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</si>
  <si>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</si>
  <si>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</si>
  <si>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</si>
  <si>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</si>
  <si>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</si>
  <si>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</si>
  <si>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</si>
  <si>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</si>
  <si>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</si>
  <si>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</si>
  <si>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</si>
  <si>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</si>
  <si>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</si>
  <si>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</si>
  <si>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</si>
  <si>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</si>
  <si>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</si>
  <si>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</si>
  <si>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</si>
  <si>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</si>
  <si>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</si>
  <si>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</si>
  <si>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</si>
  <si>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</si>
  <si>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</si>
  <si>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</si>
  <si>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</si>
  <si>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</si>
  <si>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</si>
  <si>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</si>
  <si>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</si>
  <si>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</si>
  <si>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</si>
  <si>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</si>
  <si>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</si>
  <si>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</si>
  <si>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</si>
  <si>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</si>
  <si>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</si>
  <si>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</si>
  <si>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</si>
  <si>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</si>
  <si>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</si>
  <si>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</si>
  <si>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</si>
  <si>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</si>
  <si>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</si>
  <si>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</si>
  <si>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</si>
  <si>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</si>
  <si>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</si>
  <si>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</si>
  <si>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</si>
  <si>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</si>
  <si>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</si>
  <si>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</si>
  <si>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</si>
  <si>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</si>
  <si>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</si>
  <si>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</si>
  <si>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</si>
  <si>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</si>
  <si>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</si>
  <si>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</si>
  <si>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</si>
  <si>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</si>
  <si>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</si>
  <si>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</si>
  <si>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</si>
  <si>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</si>
  <si>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</si>
  <si>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</si>
  <si>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</si>
  <si>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</si>
  <si>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</si>
  <si>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</si>
  <si>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</si>
  <si>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</si>
  <si>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</si>
  <si>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</si>
  <si>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</si>
  <si>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</si>
  <si>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</si>
  <si>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</si>
  <si>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</si>
  <si>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</si>
  <si>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</si>
  <si>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</si>
  <si>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</si>
  <si>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</si>
  <si>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</si>
  <si>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</si>
  <si>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</si>
  <si>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</si>
  <si>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</si>
  <si>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</si>
  <si>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</si>
  <si>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</si>
  <si>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</si>
  <si>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</si>
  <si>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</si>
  <si>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</si>
  <si>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</si>
  <si>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</si>
  <si>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</si>
  <si>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</si>
  <si>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</si>
  <si>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</si>
  <si>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</si>
  <si>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</si>
  <si>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</si>
  <si>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</si>
  <si>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</si>
  <si>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</si>
  <si>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</si>
  <si>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</si>
  <si>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</si>
  <si>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</si>
  <si>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</si>
  <si>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</si>
  <si>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</si>
  <si>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</si>
  <si>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</si>
  <si>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</si>
  <si>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</si>
  <si>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</si>
  <si>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</si>
  <si>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</si>
  <si>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</si>
  <si>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</si>
  <si>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</si>
  <si>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</si>
  <si>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</si>
  <si>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</si>
  <si>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</si>
  <si>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</si>
  <si>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</si>
  <si>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</si>
  <si>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</si>
  <si>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</si>
  <si>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</si>
  <si>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</si>
  <si>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</si>
  <si>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</si>
  <si>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</si>
  <si>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</si>
  <si>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</si>
  <si>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</si>
  <si>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</si>
  <si>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</si>
  <si>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</si>
  <si>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</si>
  <si>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</si>
  <si>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</si>
  <si>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</si>
  <si>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</si>
  <si>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</si>
  <si>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</si>
  <si>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</si>
  <si>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</si>
  <si>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</si>
  <si>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</si>
  <si>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</si>
  <si>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</si>
  <si>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</si>
  <si>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</si>
  <si>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</si>
  <si>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</si>
  <si>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</si>
  <si>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</si>
  <si>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</si>
  <si>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</si>
  <si>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</si>
  <si>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</si>
  <si>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</si>
  <si>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</si>
  <si>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</si>
  <si>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</si>
  <si>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</si>
  <si>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</si>
  <si>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</si>
  <si>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</si>
  <si>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</si>
  <si>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</si>
  <si>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</si>
  <si>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</si>
  <si>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</si>
  <si>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</si>
  <si>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</si>
  <si>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</si>
  <si>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</si>
  <si>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</si>
  <si>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</si>
  <si>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</si>
  <si>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</si>
  <si>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</si>
  <si>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</si>
  <si>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</si>
  <si>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</si>
  <si>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</si>
  <si>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</si>
  <si>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</si>
  <si>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</si>
  <si>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</si>
  <si>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</si>
  <si>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</si>
  <si>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</si>
  <si>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</si>
  <si>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</si>
  <si>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</si>
  <si>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</si>
  <si>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</si>
  <si>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</si>
  <si>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</si>
  <si>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</si>
  <si>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</si>
  <si>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</si>
  <si>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</si>
  <si>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</si>
  <si>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</si>
  <si>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</si>
  <si>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</si>
  <si>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</si>
  <si>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</si>
  <si>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</si>
  <si>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</si>
  <si>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</si>
  <si>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</si>
  <si>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</si>
  <si>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</si>
  <si>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</si>
  <si>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</si>
  <si>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</si>
  <si>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</si>
  <si>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</si>
  <si>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</si>
  <si>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</si>
  <si>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</si>
  <si>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</si>
  <si>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</si>
  <si>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</si>
  <si>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</si>
  <si>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</si>
  <si>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</si>
  <si>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</si>
  <si>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</si>
  <si>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</si>
  <si>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</si>
  <si>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</si>
  <si>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</si>
  <si>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</si>
  <si>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</si>
  <si>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</si>
  <si>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</si>
  <si>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</si>
  <si>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</si>
  <si>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</si>
  <si>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</si>
  <si>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</si>
  <si>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</si>
  <si>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</si>
  <si>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</si>
  <si>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</si>
  <si>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</si>
  <si>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</si>
  <si>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</si>
  <si>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</si>
  <si>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</si>
  <si>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</si>
  <si>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</si>
  <si>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</si>
  <si>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</si>
  <si>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</si>
  <si>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</si>
  <si>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</si>
  <si>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</si>
  <si>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</si>
  <si>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</si>
  <si>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</si>
  <si>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</si>
  <si>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</si>
  <si>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</si>
  <si>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</si>
  <si>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</si>
  <si>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</si>
  <si>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</si>
  <si>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</si>
  <si>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</si>
  <si>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</si>
  <si>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</si>
  <si>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</si>
  <si>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</si>
  <si>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</si>
  <si>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</si>
  <si>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</si>
  <si>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</si>
  <si>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</si>
  <si>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</si>
  <si>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</si>
  <si>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</si>
  <si>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</si>
  <si>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</si>
  <si>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</si>
  <si>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</si>
  <si>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</si>
  <si>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</si>
  <si>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</si>
  <si>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</si>
  <si>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</si>
  <si>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</si>
  <si>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</si>
  <si>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</si>
  <si>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</si>
  <si>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</si>
  <si>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</si>
  <si>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</si>
  <si>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</si>
  <si>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</si>
  <si>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</si>
  <si>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</si>
  <si>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</si>
  <si>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</si>
  <si>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</si>
  <si>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</si>
  <si>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</si>
  <si>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</si>
  <si>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</si>
  <si>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</si>
  <si>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</si>
  <si>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</si>
  <si>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</si>
  <si>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</si>
  <si>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</si>
  <si>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</si>
  <si>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</si>
  <si>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</si>
  <si>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</si>
  <si>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</si>
  <si>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</si>
  <si>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</si>
  <si>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</si>
  <si>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</si>
  <si>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</si>
  <si>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</si>
  <si>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</si>
  <si>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</si>
  <si>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</si>
  <si>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</si>
  <si>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</si>
  <si>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</si>
  <si>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</si>
  <si>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</si>
  <si>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</si>
  <si>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</si>
  <si>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</si>
  <si>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</si>
  <si>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</si>
  <si>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</si>
  <si>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</si>
  <si>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</si>
  <si>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</si>
  <si>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</si>
  <si>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</si>
  <si>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</si>
  <si>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</si>
  <si>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</si>
  <si>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</si>
  <si>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</si>
  <si>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</si>
  <si>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</si>
  <si>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</si>
  <si>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</si>
  <si>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</si>
  <si>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</si>
  <si>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</si>
  <si>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</si>
  <si>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</si>
  <si>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</si>
  <si>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</si>
  <si>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</si>
  <si>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</si>
  <si>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</si>
  <si>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</si>
  <si>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</si>
  <si>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</si>
  <si>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</si>
  <si>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</si>
  <si>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</si>
  <si>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</si>
  <si>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</si>
  <si>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</si>
  <si>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</si>
  <si>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</si>
  <si>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</si>
  <si>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</si>
  <si>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</si>
  <si>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</si>
  <si>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</si>
  <si>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</si>
  <si>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</si>
  <si>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</si>
  <si>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</si>
  <si>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</si>
  <si>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</si>
  <si>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</si>
  <si>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</si>
  <si>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</si>
  <si>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</si>
  <si>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</si>
  <si>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</si>
  <si>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</si>
  <si>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</si>
  <si>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</si>
  <si>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</si>
  <si>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</si>
  <si>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</si>
  <si>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</si>
  <si>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</si>
  <si>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</si>
  <si>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</si>
  <si>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</si>
  <si>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</si>
  <si>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</si>
  <si>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</si>
  <si>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</si>
  <si>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</si>
  <si>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</si>
  <si>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</si>
  <si>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</si>
  <si>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</si>
  <si>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</si>
  <si>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</si>
  <si>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</si>
  <si>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</si>
  <si>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</si>
  <si>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</si>
  <si>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</si>
  <si>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</si>
  <si>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</si>
  <si>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</si>
  <si>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</si>
  <si>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</si>
  <si>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</si>
  <si>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</si>
  <si>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</si>
  <si>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</si>
  <si>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</si>
  <si>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</si>
  <si>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</si>
  <si>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</si>
  <si>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</si>
  <si>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</si>
  <si>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</si>
  <si>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</si>
  <si>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</si>
  <si>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</si>
  <si>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</si>
  <si>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</si>
  <si>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</si>
  <si>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</si>
  <si>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</si>
  <si>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</si>
  <si>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</si>
  <si>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</si>
  <si>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</si>
  <si>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</si>
  <si>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</si>
  <si>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</si>
  <si>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</si>
  <si>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</si>
  <si>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</si>
  <si>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</si>
  <si>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</si>
  <si>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</si>
  <si>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</si>
  <si>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</si>
  <si>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</si>
  <si>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</si>
  <si>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</si>
  <si>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</si>
  <si>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</si>
  <si>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</si>
  <si>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</si>
  <si>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</si>
  <si>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</si>
  <si>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</si>
  <si>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</si>
  <si>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</si>
  <si>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</si>
  <si>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</si>
  <si>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</si>
  <si>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</si>
  <si>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</si>
  <si>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</si>
  <si>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</si>
  <si>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</si>
  <si>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</si>
  <si>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</si>
  <si>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</si>
  <si>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</si>
  <si>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</si>
  <si>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</si>
  <si>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</si>
  <si>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</si>
  <si>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</si>
  <si>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</si>
  <si>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</si>
  <si>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</si>
  <si>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</si>
  <si>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</si>
  <si>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</si>
  <si>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</si>
  <si>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</si>
  <si>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</si>
  <si>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</si>
  <si>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</si>
  <si>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</si>
  <si>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</si>
  <si>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</si>
  <si>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</si>
  <si>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</si>
  <si>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</si>
  <si>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</si>
  <si>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</si>
  <si>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</si>
  <si>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</si>
  <si>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</si>
  <si>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</si>
  <si>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</si>
  <si>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</si>
  <si>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</si>
  <si>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</si>
  <si>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</si>
  <si>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</si>
  <si>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</si>
  <si>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</si>
  <si>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</si>
  <si>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</si>
  <si>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</si>
  <si>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</si>
  <si>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</si>
  <si>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</si>
  <si>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</si>
  <si>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</si>
  <si>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</si>
  <si>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</si>
  <si>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</si>
  <si>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</si>
  <si>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</si>
  <si>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</si>
  <si>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</si>
  <si>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</si>
  <si>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</si>
  <si>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</si>
  <si>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</si>
  <si>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</si>
  <si>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</si>
  <si>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</si>
  <si>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</si>
  <si>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</si>
  <si>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</si>
  <si>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</si>
  <si>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</si>
  <si>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</si>
  <si>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</si>
  <si>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</si>
  <si>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</si>
  <si>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</si>
  <si>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</si>
  <si>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</si>
  <si>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</si>
  <si>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</si>
  <si>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</si>
  <si>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</si>
  <si>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</si>
  <si>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</si>
  <si>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</si>
  <si>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</si>
  <si>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</si>
  <si>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</si>
  <si>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</si>
  <si>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</si>
  <si>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</si>
  <si>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</si>
  <si>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</si>
  <si>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</si>
  <si>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</si>
  <si>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</si>
  <si>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</si>
  <si>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</si>
  <si>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</si>
  <si>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</si>
  <si>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</si>
  <si>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</si>
  <si>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</si>
  <si>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</si>
  <si>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</si>
  <si>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</si>
  <si>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</si>
  <si>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</si>
  <si>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</si>
  <si>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</si>
  <si>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</si>
  <si>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</si>
  <si>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</si>
  <si>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</si>
  <si>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</si>
  <si>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</si>
  <si>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</si>
  <si>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</si>
  <si>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</si>
  <si>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</si>
  <si>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</si>
  <si>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</si>
  <si>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</si>
  <si>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</si>
  <si>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</si>
  <si>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</si>
  <si>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</si>
  <si>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</si>
  <si>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</si>
  <si>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</si>
  <si>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</si>
  <si>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</si>
  <si>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</si>
  <si>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</si>
  <si>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</si>
  <si>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</si>
  <si>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</si>
  <si>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</si>
  <si>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</si>
  <si>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</si>
  <si>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</si>
  <si>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</si>
  <si>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</si>
  <si>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</si>
  <si>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</si>
  <si>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</si>
  <si>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</si>
  <si>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</si>
  <si>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</si>
  <si>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</si>
  <si>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</si>
  <si>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</si>
  <si>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</si>
  <si>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</si>
  <si>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</si>
  <si>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</si>
  <si>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</si>
  <si>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</si>
  <si>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</si>
  <si>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</si>
  <si>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</si>
  <si>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</si>
  <si>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</si>
  <si>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</si>
  <si>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</si>
  <si>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</si>
  <si>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</si>
  <si>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</si>
  <si>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</si>
  <si>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</si>
  <si>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</si>
  <si>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</si>
  <si>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</si>
  <si>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</si>
  <si>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</si>
  <si>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</si>
  <si>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</si>
  <si>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</si>
  <si>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</si>
  <si>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</si>
  <si>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</si>
  <si>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</si>
  <si>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</si>
  <si>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</si>
  <si>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</si>
  <si>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</si>
  <si>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</si>
  <si>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</si>
  <si>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</si>
  <si>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</si>
  <si>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</si>
  <si>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</si>
  <si>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</si>
  <si>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</si>
  <si>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</si>
  <si>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</si>
  <si>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</si>
  <si>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</si>
  <si>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</si>
  <si>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</si>
  <si>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</si>
  <si>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</si>
  <si>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</si>
  <si>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</si>
  <si>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</si>
  <si>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</si>
  <si>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</si>
  <si>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</si>
  <si>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</si>
  <si>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</si>
  <si>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</si>
  <si>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</si>
  <si>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</si>
  <si>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</si>
  <si>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</si>
  <si>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</si>
  <si>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</si>
  <si>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</si>
  <si>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</si>
  <si>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</si>
  <si>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</si>
  <si>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</si>
  <si>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</si>
  <si>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</si>
  <si>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</si>
  <si>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</si>
  <si>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</si>
  <si>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</si>
  <si>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</si>
  <si>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</si>
  <si>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</si>
  <si>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</si>
  <si>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</si>
  <si>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</si>
  <si>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</si>
  <si>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</si>
  <si>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</si>
  <si>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</si>
  <si>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</si>
  <si>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</si>
  <si>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</si>
  <si>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</si>
  <si>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</si>
  <si>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</si>
  <si>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</si>
  <si>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</si>
  <si>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</si>
  <si>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</si>
  <si>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</si>
  <si>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</si>
  <si>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</si>
  <si>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</si>
  <si>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</si>
  <si>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</si>
  <si>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</si>
  <si>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</si>
  <si>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</si>
  <si>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</si>
  <si>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</si>
  <si>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</si>
  <si>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</si>
  <si>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</si>
  <si>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</si>
  <si>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</si>
  <si>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</si>
  <si>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</si>
  <si>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</si>
  <si>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</si>
  <si>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</si>
  <si>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</si>
  <si>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</si>
  <si>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</si>
  <si>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</si>
  <si>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</si>
  <si>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</si>
  <si>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</si>
  <si>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</si>
  <si>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</si>
  <si>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</si>
  <si>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</si>
  <si>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</si>
  <si>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</si>
  <si>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</si>
  <si>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</si>
  <si>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</si>
  <si>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</si>
  <si>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</si>
  <si>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</si>
  <si>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</si>
  <si>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</si>
  <si>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</si>
  <si>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</si>
  <si>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</si>
  <si>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</si>
  <si>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</si>
  <si>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</si>
  <si>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</si>
  <si>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</si>
  <si>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</si>
  <si>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</si>
  <si>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</si>
  <si>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</si>
  <si>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</si>
  <si>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</si>
  <si>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</si>
  <si>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</si>
  <si>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</si>
  <si>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</si>
  <si>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</si>
  <si>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</si>
  <si>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</si>
  <si>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</si>
  <si>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</si>
  <si>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</si>
  <si>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</si>
  <si>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</si>
  <si>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</si>
  <si>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</si>
  <si>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</si>
  <si>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</si>
  <si>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</si>
  <si>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</si>
  <si>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</si>
  <si>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</si>
  <si>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</si>
  <si>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</si>
  <si>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</si>
  <si>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</si>
  <si>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</si>
  <si>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</si>
  <si>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</si>
  <si>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</si>
  <si>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</si>
  <si>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</si>
  <si>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</si>
  <si>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</si>
  <si>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</si>
  <si>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</si>
  <si>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</si>
  <si>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</si>
  <si>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</si>
  <si>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</si>
  <si>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</si>
  <si>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</si>
  <si>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</si>
  <si>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</si>
  <si>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</si>
  <si>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</si>
  <si>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</si>
  <si>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</si>
  <si>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</si>
  <si>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</si>
  <si>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</si>
  <si>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</si>
  <si>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</si>
  <si>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</si>
  <si>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</si>
  <si>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</si>
  <si>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</si>
  <si>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</si>
  <si>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</si>
  <si>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</si>
  <si>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</si>
  <si>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</si>
  <si>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</si>
  <si>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</si>
  <si>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</si>
  <si>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</si>
  <si>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</si>
  <si>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</si>
  <si>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</si>
  <si>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</si>
  <si>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</si>
  <si>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</si>
  <si>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</si>
  <si>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</si>
  <si>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</si>
  <si>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</si>
  <si>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</si>
  <si>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</si>
  <si>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</si>
  <si>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</si>
  <si>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</si>
  <si>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</si>
  <si>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</si>
  <si>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</si>
  <si>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</si>
  <si>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</si>
  <si>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</si>
  <si>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</si>
  <si>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</si>
  <si>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</si>
  <si>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</si>
  <si>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</si>
  <si>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</si>
  <si>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</si>
  <si>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</si>
  <si>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</si>
  <si>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</si>
  <si>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</si>
  <si>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</si>
  <si>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</si>
  <si>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</si>
  <si>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</si>
  <si>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</si>
  <si>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</si>
  <si>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</si>
  <si>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</si>
  <si>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</si>
  <si>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</si>
  <si>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</si>
  <si>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</si>
  <si>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</si>
  <si>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</si>
  <si>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</si>
  <si>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</si>
  <si>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</si>
  <si>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</si>
  <si>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</si>
  <si>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</si>
  <si>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</si>
  <si>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</si>
  <si>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</si>
  <si>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</si>
  <si>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</si>
  <si>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</si>
  <si>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</si>
  <si>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</si>
  <si>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</si>
  <si>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</si>
  <si>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</si>
  <si>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</si>
  <si>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</si>
  <si>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</si>
  <si>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</si>
  <si>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</si>
  <si>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</si>
  <si>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</si>
  <si>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</si>
  <si>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</si>
  <si>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</si>
  <si>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</si>
  <si>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</si>
  <si>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</si>
  <si>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</si>
  <si>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</si>
  <si>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</si>
  <si>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</si>
  <si>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</si>
  <si>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</si>
  <si>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</si>
  <si>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</si>
  <si>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</si>
  <si>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</si>
  <si>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</si>
  <si>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</si>
  <si>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</si>
  <si>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</si>
  <si>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</si>
  <si>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</si>
  <si>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</si>
  <si>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</si>
  <si>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</si>
  <si>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</si>
  <si>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</si>
  <si>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</si>
  <si>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</si>
  <si>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</si>
  <si>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</si>
  <si>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</si>
  <si>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</si>
  <si>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</si>
  <si>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</si>
  <si>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</si>
  <si>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</si>
  <si>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</si>
  <si>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</si>
  <si>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</si>
  <si>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</si>
  <si>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</si>
  <si>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</si>
  <si>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</si>
  <si>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</si>
  <si>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</si>
  <si>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</si>
  <si>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</si>
  <si>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</si>
  <si>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</si>
  <si>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</si>
  <si>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</si>
  <si>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</si>
  <si>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</si>
  <si>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</si>
  <si>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</si>
  <si>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</si>
  <si>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</si>
  <si>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</si>
  <si>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</si>
  <si>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</si>
  <si>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</si>
  <si>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</si>
  <si>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</si>
  <si>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</si>
  <si>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</si>
  <si>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</si>
  <si>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</si>
  <si>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</si>
  <si>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</si>
  <si>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</si>
  <si>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</si>
  <si>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</si>
  <si>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</si>
  <si>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</si>
  <si>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</si>
  <si>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</si>
  <si>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</si>
  <si>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</si>
  <si>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</si>
  <si>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</si>
  <si>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</si>
  <si>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</si>
  <si>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</si>
  <si>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</si>
  <si>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</si>
  <si>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</si>
  <si>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</si>
  <si>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</si>
  <si>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</si>
  <si>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</si>
  <si>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</si>
  <si>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</si>
  <si>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</si>
  <si>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</si>
  <si>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</si>
  <si>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</si>
  <si>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</si>
  <si>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</si>
  <si>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</si>
  <si>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</si>
  <si>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</si>
  <si>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</si>
  <si>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</si>
  <si>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</si>
  <si>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</si>
  <si>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</si>
  <si>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</si>
  <si>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</si>
  <si>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</si>
  <si>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</si>
  <si>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</si>
  <si>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</si>
  <si>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</si>
  <si>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</si>
  <si>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</si>
  <si>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</si>
  <si>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</si>
  <si>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</si>
  <si>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</si>
  <si>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</si>
  <si>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</si>
  <si>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</si>
  <si>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</si>
  <si>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</si>
  <si>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</si>
  <si>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</si>
  <si>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</si>
  <si>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</si>
  <si>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</si>
  <si>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</si>
  <si>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</si>
  <si>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</si>
  <si>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</si>
  <si>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</si>
  <si>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</si>
  <si>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</si>
  <si>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</si>
  <si>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</si>
  <si>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</si>
  <si>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</si>
  <si>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</si>
  <si>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</si>
  <si>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</si>
  <si>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</si>
  <si>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</si>
  <si>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</si>
  <si>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</si>
  <si>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</si>
  <si>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</si>
  <si>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</si>
  <si>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</si>
  <si>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</si>
  <si>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</si>
  <si>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</si>
  <si>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</si>
  <si>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</si>
  <si>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</si>
  <si>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</si>
  <si>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</si>
  <si>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</si>
  <si>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</si>
  <si>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</si>
  <si>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</si>
  <si>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</si>
  <si>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</si>
  <si>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</si>
  <si>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</si>
  <si>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</si>
  <si>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</si>
  <si>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</si>
  <si>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</si>
  <si>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</si>
  <si>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</si>
  <si>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</si>
  <si>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</si>
  <si>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</si>
  <si>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</si>
  <si>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</si>
  <si>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</si>
  <si>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</si>
  <si>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</si>
  <si>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</si>
  <si>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</si>
  <si>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</si>
  <si>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</si>
  <si>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</si>
  <si>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</si>
  <si>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</si>
  <si>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</si>
  <si>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</si>
  <si>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</si>
  <si>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</si>
  <si>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</si>
  <si>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</si>
  <si>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</si>
  <si>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</si>
  <si>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</si>
  <si>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</si>
  <si>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</si>
  <si>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</si>
  <si>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</si>
  <si>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</si>
  <si>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</si>
  <si>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</si>
  <si>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</si>
  <si>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</si>
  <si>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</si>
  <si>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</si>
  <si>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</si>
  <si>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</si>
  <si>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</si>
  <si>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</si>
  <si>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</si>
  <si>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</si>
  <si>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</si>
  <si>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</si>
  <si>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</si>
  <si>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</si>
  <si>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</si>
  <si>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</si>
  <si>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</si>
  <si>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</si>
  <si>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</si>
  <si>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</si>
  <si>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</si>
  <si>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</si>
  <si>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</si>
  <si>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</si>
  <si>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</si>
  <si>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</si>
  <si>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</si>
  <si>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</si>
  <si>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</si>
  <si>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</si>
  <si>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</si>
  <si>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</si>
  <si>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</si>
  <si>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</si>
  <si>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</si>
  <si>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</si>
  <si>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</si>
  <si>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</si>
  <si>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</si>
  <si>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</si>
  <si>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</si>
  <si>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</si>
  <si>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</si>
  <si>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</si>
  <si>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</si>
  <si>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</si>
  <si>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</si>
  <si>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</si>
  <si>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</si>
  <si>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</si>
  <si>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</si>
  <si>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</si>
  <si>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</si>
  <si>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</si>
  <si>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</si>
  <si>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</si>
  <si>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</si>
  <si>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</si>
  <si>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</si>
  <si>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</si>
  <si>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</si>
  <si>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</si>
  <si>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</si>
  <si>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</si>
  <si>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</si>
  <si>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</si>
  <si>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</si>
  <si>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</si>
  <si>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</si>
  <si>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</si>
  <si>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</si>
  <si>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</si>
  <si>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</si>
  <si>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</si>
  <si>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</si>
  <si>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</si>
  <si>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</si>
  <si>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</si>
  <si>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</si>
  <si>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</si>
  <si>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</si>
  <si>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</si>
  <si>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</si>
  <si>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</si>
  <si>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</si>
  <si>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</si>
  <si>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</si>
  <si>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</si>
  <si>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</si>
  <si>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</si>
  <si>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</si>
  <si>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</si>
  <si>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</si>
  <si>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</si>
  <si>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</si>
  <si>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</si>
  <si>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</si>
  <si>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</si>
  <si>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</si>
  <si>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</si>
  <si>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</si>
  <si>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</si>
  <si>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</si>
  <si>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</si>
  <si>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</si>
  <si>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</si>
  <si>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</si>
  <si>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</si>
  <si>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</si>
  <si>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</si>
  <si>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</si>
  <si>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</si>
  <si>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</si>
  <si>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</si>
  <si>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</si>
  <si>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</si>
  <si>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</si>
  <si>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</si>
  <si>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</si>
  <si>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</si>
  <si>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</si>
  <si>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</si>
  <si>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</si>
  <si>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</si>
  <si>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</si>
  <si>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</si>
  <si>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</si>
  <si>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</si>
  <si>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</si>
  <si>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</si>
  <si>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</si>
  <si>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</si>
  <si>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</si>
  <si>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</si>
  <si>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</si>
  <si>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</si>
  <si>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</si>
  <si>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</si>
  <si>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</si>
  <si>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</si>
  <si>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</si>
  <si>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</si>
  <si>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</si>
  <si>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</si>
  <si>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</si>
  <si>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</si>
  <si>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</si>
  <si>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</si>
  <si>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</si>
  <si>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</si>
  <si>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</si>
  <si>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</si>
  <si>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</si>
  <si>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</si>
  <si>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</si>
  <si>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</si>
  <si>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</si>
  <si>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</si>
  <si>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</si>
  <si>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</si>
  <si>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</si>
  <si>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</si>
  <si>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</si>
  <si>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</si>
  <si>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</si>
  <si>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</si>
  <si>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</si>
  <si>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</si>
  <si>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</si>
  <si>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</si>
  <si>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</si>
  <si>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</si>
  <si>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</si>
  <si>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</si>
  <si>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</si>
  <si>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</si>
  <si>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</si>
  <si>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</si>
  <si>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</si>
  <si>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</si>
  <si>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</si>
  <si>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</si>
  <si>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</si>
  <si>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</si>
  <si>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</si>
  <si>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</si>
  <si>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</si>
  <si>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</si>
  <si>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</si>
  <si>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</si>
  <si>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</si>
  <si>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</si>
  <si>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</si>
  <si>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</si>
  <si>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</si>
  <si>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</si>
  <si>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</si>
  <si>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</si>
  <si>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</si>
  <si>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</si>
  <si>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</si>
  <si>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</si>
  <si>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</si>
  <si>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</si>
  <si>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</si>
  <si>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</si>
  <si>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</si>
  <si>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</si>
  <si>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</si>
  <si>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</si>
  <si>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</si>
  <si>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</si>
  <si>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</si>
  <si>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</si>
  <si>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</si>
  <si>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</si>
  <si>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</si>
  <si>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</si>
  <si>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</si>
  <si>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</si>
  <si>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</si>
  <si>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</si>
  <si>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</si>
  <si>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</si>
  <si>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</si>
  <si>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</si>
  <si>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</si>
  <si>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</si>
  <si>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</si>
  <si>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</si>
  <si>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</si>
  <si>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</si>
  <si>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</si>
  <si>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</si>
  <si>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</si>
  <si>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</si>
  <si>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</si>
  <si>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</si>
  <si>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</si>
  <si>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</si>
  <si>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</si>
  <si>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</si>
  <si>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</si>
  <si>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</si>
  <si>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</si>
  <si>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</si>
  <si>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</si>
  <si>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</si>
  <si>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</si>
  <si>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</si>
  <si>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</si>
  <si>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</si>
  <si>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</si>
  <si>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</si>
  <si>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</si>
  <si>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</si>
  <si>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</si>
  <si>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</si>
  <si>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</si>
  <si>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</si>
  <si>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</si>
  <si>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</si>
  <si>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</si>
  <si>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</si>
  <si>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</si>
  <si>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</si>
  <si>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</si>
  <si>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</si>
  <si>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</si>
  <si>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</si>
  <si>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</si>
  <si>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</si>
  <si>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</si>
  <si>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</si>
  <si>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</si>
  <si>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</si>
  <si>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</si>
  <si>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</si>
  <si>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</si>
  <si>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</si>
  <si>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</si>
  <si>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</si>
  <si>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</si>
  <si>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</si>
  <si>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</si>
  <si>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</si>
  <si>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</si>
  <si>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</si>
  <si>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</si>
  <si>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</si>
  <si>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</si>
  <si>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</si>
  <si>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</si>
  <si>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</si>
  <si>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</si>
  <si>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</si>
  <si>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</si>
  <si>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</si>
  <si>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</si>
  <si>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</si>
  <si>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</si>
  <si>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</si>
  <si>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</si>
  <si>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</si>
  <si>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</si>
  <si>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</si>
  <si>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</si>
  <si>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</si>
  <si>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</si>
  <si>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</si>
  <si>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</si>
  <si>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</si>
  <si>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</si>
  <si>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</si>
  <si>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</si>
  <si>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</si>
  <si>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</si>
  <si>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</si>
  <si>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</si>
  <si>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</si>
  <si>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</si>
  <si>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</si>
  <si>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</si>
  <si>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</si>
  <si>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</si>
  <si>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</si>
  <si>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</si>
  <si>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</si>
  <si>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</si>
  <si>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</si>
  <si>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</si>
  <si>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</si>
  <si>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</si>
  <si>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</si>
  <si>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</si>
  <si>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</si>
  <si>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</si>
  <si>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</si>
  <si>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</si>
  <si>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</si>
  <si>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</si>
  <si>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</si>
  <si>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</si>
  <si>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</si>
  <si>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</si>
  <si>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</si>
  <si>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</si>
  <si>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</si>
  <si>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</si>
  <si>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</si>
  <si>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</si>
  <si>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</si>
  <si>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</si>
  <si>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</si>
  <si>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</si>
  <si>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</si>
  <si>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</si>
  <si>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</si>
  <si>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</si>
  <si>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</si>
  <si>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</si>
  <si>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</si>
  <si>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</si>
  <si>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</si>
  <si>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</si>
  <si>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</si>
  <si>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</si>
  <si>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</si>
  <si>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</si>
  <si>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</si>
  <si>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</si>
  <si>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</si>
  <si>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</si>
  <si>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</si>
  <si>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</si>
  <si>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</si>
  <si>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</si>
  <si>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</si>
  <si>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</si>
  <si>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</si>
  <si>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</si>
  <si>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</si>
  <si>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</si>
  <si>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</si>
  <si>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</si>
  <si>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</si>
  <si>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</si>
  <si>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</si>
  <si>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</si>
  <si>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</si>
  <si>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</si>
  <si>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</si>
  <si>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</si>
  <si>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</si>
  <si>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</si>
  <si>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</si>
  <si>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</si>
  <si>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</si>
  <si>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</si>
  <si>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</si>
  <si>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</si>
  <si>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</si>
  <si>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</si>
  <si>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</si>
  <si>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</si>
  <si>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</si>
  <si>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</si>
  <si>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</si>
  <si>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</si>
  <si>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</si>
  <si>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</si>
  <si>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</si>
  <si>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</si>
  <si>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</si>
  <si>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</si>
  <si>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</si>
  <si>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</si>
  <si>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</si>
  <si>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</si>
  <si>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</si>
  <si>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</si>
  <si>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</si>
  <si>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</si>
  <si>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</si>
  <si>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</si>
  <si>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</si>
  <si>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</si>
  <si>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</si>
  <si>
    <t>Forte Vale</t>
  </si>
  <si>
    <t>Gifutil</t>
  </si>
  <si>
    <t>Onyx Importadora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</si>
</sst>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4" fillId="0" borderId="5" xfId="0" quotePrefix="1" applyFont="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164" fontId="29" fillId="0" borderId="20" xfId="0" applyNumberFormat="1" applyFont="1" applyBorder="1" applyAlignment="1">
      <alignment horizontal="center"/>
    </xf>
    <xf numFmtId="0" fontId="0" fillId="0" borderId="20" xfId="0" applyBorder="1"/>
    <xf numFmtId="0" fontId="19" fillId="0" borderId="5" xfId="0" applyFont="1" applyBorder="1" applyAlignment="1">
      <alignment horizontal="center" vertical="center"/>
    </xf>
    <xf numFmtId="0" fontId="0" fillId="0" borderId="37" xfId="0" applyBorder="1"/>
    <xf numFmtId="0" fontId="0" fillId="0" borderId="2" xfId="0" applyBorder="1"/>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numFmt numFmtId="34" formatCode="_-&quot;R$&quot;\ * #,##0.00_-;\-&quot;R$&quot;\ * #,##0.00_-;_-&quot;R$&quot;\ * &quot;-&quot;??_-;_-@_-"/>
    </dxf>
    <dxf>
      <alignment horizontal="center"/>
    </dxf>
    <dxf>
      <alignment horizontal="center"/>
    </dxf>
    <dxf>
      <numFmt numFmtId="164" formatCode="&quot;R$&quot;\ #,##0.00"/>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292">
      <pivotArea outline="0" collapsedLevelsAreSubtotals="1" fieldPosition="0"/>
    </format>
    <format dxfId="291">
      <pivotArea dataOnly="0" labelOnly="1" fieldPosition="0">
        <references count="1">
          <reference field="18" count="0"/>
        </references>
      </pivotArea>
    </format>
    <format dxfId="29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89">
      <pivotArea outline="0" collapsedLevelsAreSubtotals="1" fieldPosition="0"/>
    </format>
    <format dxfId="288">
      <pivotArea dataOnly="0" labelOnly="1" fieldPosition="0">
        <references count="1">
          <reference field="18" count="0"/>
        </references>
      </pivotArea>
    </format>
    <format dxfId="287">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294">
      <pivotArea dataOnly="0" labelOnly="1" fieldPosition="0">
        <references count="1">
          <reference field="6" count="1">
            <x v="441"/>
          </reference>
        </references>
      </pivotArea>
    </format>
    <format dxfId="29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30">
      <pivotArea type="all" dataOnly="0" outline="0" fieldPosition="0"/>
    </format>
    <format dxfId="329">
      <pivotArea field="18" type="button" dataOnly="0" labelOnly="1" outline="0" axis="axisRow"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field="18" type="button" dataOnly="0" labelOnly="1" outline="0" axis="axisRow" fieldPosition="0"/>
    </format>
    <format dxfId="325">
      <pivotArea dataOnly="0" labelOnly="1" outline="0" fieldPosition="0">
        <references count="1">
          <reference field="4294967294" count="2">
            <x v="0"/>
            <x v="1"/>
          </reference>
        </references>
      </pivotArea>
    </format>
    <format dxfId="324">
      <pivotArea collapsedLevelsAreSubtotals="1" fieldPosition="0">
        <references count="1">
          <reference field="18" count="1">
            <x v="0"/>
          </reference>
        </references>
      </pivotArea>
    </format>
    <format dxfId="323">
      <pivotArea collapsedLevelsAreSubtotals="1" fieldPosition="0">
        <references count="1">
          <reference field="18" count="1">
            <x v="1"/>
          </reference>
        </references>
      </pivotArea>
    </format>
    <format dxfId="322">
      <pivotArea collapsedLevelsAreSubtotals="1" fieldPosition="0">
        <references count="1">
          <reference field="18" count="1">
            <x v="2"/>
          </reference>
        </references>
      </pivotArea>
    </format>
    <format dxfId="321">
      <pivotArea collapsedLevelsAreSubtotals="1" fieldPosition="0">
        <references count="1">
          <reference field="18" count="1">
            <x v="3"/>
          </reference>
        </references>
      </pivotArea>
    </format>
    <format dxfId="320">
      <pivotArea collapsedLevelsAreSubtotals="1" fieldPosition="0">
        <references count="1">
          <reference field="18" count="1">
            <x v="4"/>
          </reference>
        </references>
      </pivotArea>
    </format>
    <format dxfId="319">
      <pivotArea collapsedLevelsAreSubtotals="1" fieldPosition="0">
        <references count="1">
          <reference field="18" count="1">
            <x v="5"/>
          </reference>
        </references>
      </pivotArea>
    </format>
    <format dxfId="318">
      <pivotArea collapsedLevelsAreSubtotals="1" fieldPosition="0">
        <references count="1">
          <reference field="18" count="1">
            <x v="6"/>
          </reference>
        </references>
      </pivotArea>
    </format>
    <format dxfId="317">
      <pivotArea collapsedLevelsAreSubtotals="1" fieldPosition="0">
        <references count="1">
          <reference field="18" count="1">
            <x v="7"/>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9"/>
          </reference>
        </references>
      </pivotArea>
    </format>
    <format dxfId="314">
      <pivotArea collapsedLevelsAreSubtotals="1" fieldPosition="0">
        <references count="1">
          <reference field="18" count="1">
            <x v="10"/>
          </reference>
        </references>
      </pivotArea>
    </format>
    <format dxfId="313">
      <pivotArea outline="0" collapsedLevelsAreSubtotals="1" fieldPosition="0">
        <references count="1">
          <reference field="4294967294" count="1" selected="0">
            <x v="1"/>
          </reference>
        </references>
      </pivotArea>
    </format>
    <format dxfId="312">
      <pivotArea collapsedLevelsAreSubtotals="1" fieldPosition="0">
        <references count="2">
          <reference field="4294967294" count="1" selected="0">
            <x v="0"/>
          </reference>
          <reference field="18" count="1">
            <x v="0"/>
          </reference>
        </references>
      </pivotArea>
    </format>
    <format dxfId="311">
      <pivotArea collapsedLevelsAreSubtotals="1" fieldPosition="0">
        <references count="2">
          <reference field="4294967294" count="1" selected="0">
            <x v="0"/>
          </reference>
          <reference field="18" count="1">
            <x v="1"/>
          </reference>
        </references>
      </pivotArea>
    </format>
    <format dxfId="310">
      <pivotArea collapsedLevelsAreSubtotals="1" fieldPosition="0">
        <references count="2">
          <reference field="4294967294" count="1" selected="0">
            <x v="0"/>
          </reference>
          <reference field="18" count="1">
            <x v="2"/>
          </reference>
        </references>
      </pivotArea>
    </format>
    <format dxfId="309">
      <pivotArea collapsedLevelsAreSubtotals="1" fieldPosition="0">
        <references count="2">
          <reference field="4294967294" count="1" selected="0">
            <x v="0"/>
          </reference>
          <reference field="18" count="1">
            <x v="3"/>
          </reference>
        </references>
      </pivotArea>
    </format>
    <format dxfId="308">
      <pivotArea collapsedLevelsAreSubtotals="1" fieldPosition="0">
        <references count="2">
          <reference field="4294967294" count="1" selected="0">
            <x v="0"/>
          </reference>
          <reference field="18" count="1">
            <x v="4"/>
          </reference>
        </references>
      </pivotArea>
    </format>
    <format dxfId="307">
      <pivotArea collapsedLevelsAreSubtotals="1" fieldPosition="0">
        <references count="2">
          <reference field="4294967294" count="1" selected="0">
            <x v="0"/>
          </reference>
          <reference field="18" count="1">
            <x v="5"/>
          </reference>
        </references>
      </pivotArea>
    </format>
    <format dxfId="306">
      <pivotArea collapsedLevelsAreSubtotals="1" fieldPosition="0">
        <references count="2">
          <reference field="4294967294" count="1" selected="0">
            <x v="0"/>
          </reference>
          <reference field="18" count="1">
            <x v="6"/>
          </reference>
        </references>
      </pivotArea>
    </format>
    <format dxfId="305">
      <pivotArea collapsedLevelsAreSubtotals="1" fieldPosition="0">
        <references count="2">
          <reference field="4294967294" count="1" selected="0">
            <x v="0"/>
          </reference>
          <reference field="18" count="1">
            <x v="7"/>
          </reference>
        </references>
      </pivotArea>
    </format>
    <format dxfId="304">
      <pivotArea collapsedLevelsAreSubtotals="1" fieldPosition="0">
        <references count="2">
          <reference field="4294967294" count="1" selected="0">
            <x v="0"/>
          </reference>
          <reference field="18" count="1">
            <x v="8"/>
          </reference>
        </references>
      </pivotArea>
    </format>
    <format dxfId="303">
      <pivotArea collapsedLevelsAreSubtotals="1" fieldPosition="0">
        <references count="2">
          <reference field="4294967294" count="1" selected="0">
            <x v="0"/>
          </reference>
          <reference field="18" count="1">
            <x v="9"/>
          </reference>
        </references>
      </pivotArea>
    </format>
    <format dxfId="302">
      <pivotArea collapsedLevelsAreSubtotals="1" fieldPosition="0">
        <references count="2">
          <reference field="4294967294" count="1" selected="0">
            <x v="0"/>
          </reference>
          <reference field="18" count="1">
            <x v="10"/>
          </reference>
        </references>
      </pivotArea>
    </format>
    <format dxfId="301">
      <pivotArea collapsedLevelsAreSubtotals="1" fieldPosition="0">
        <references count="2">
          <reference field="4294967294" count="1" selected="0">
            <x v="0"/>
          </reference>
          <reference field="18" count="1">
            <x v="11"/>
          </reference>
        </references>
      </pivotArea>
    </format>
    <format dxfId="300">
      <pivotArea outline="0" collapsedLevelsAreSubtotals="1" fieldPosition="0"/>
    </format>
    <format dxfId="299">
      <pivotArea dataOnly="0" labelOnly="1" fieldPosition="0">
        <references count="1">
          <reference field="18" count="0"/>
        </references>
      </pivotArea>
    </format>
    <format dxfId="298">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97">
      <pivotArea outline="0" collapsedLevelsAreSubtotals="1" fieldPosition="0"/>
    </format>
    <format dxfId="296">
      <pivotArea dataOnly="0" labelOnly="1" fieldPosition="0">
        <references count="1">
          <reference field="18" count="0"/>
        </references>
      </pivotArea>
    </format>
    <format dxfId="29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74">
      <pivotArea outline="0" collapsedLevelsAreSubtotals="1" fieldPosition="0"/>
    </format>
    <format dxfId="173">
      <pivotArea outline="0" fieldPosition="0">
        <references count="1">
          <reference field="4294967294" count="3" selected="0">
            <x v="1"/>
            <x v="2"/>
            <x v="3"/>
          </reference>
        </references>
      </pivotArea>
    </format>
    <format dxfId="172">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78">
      <pivotArea field="21" type="button" dataOnly="0" labelOnly="1" outline="0" axis="axisRow" fieldPosition="0"/>
    </format>
    <format dxfId="177">
      <pivotArea dataOnly="0" labelOnly="1" outline="0" axis="axisValues" fieldPosition="0"/>
    </format>
    <format dxfId="176">
      <pivotArea grandRow="1" outline="0" collapsedLevelsAreSubtotals="1" fieldPosition="0"/>
    </format>
    <format dxfId="17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82">
      <pivotArea grandRow="1" outline="0" collapsedLevelsAreSubtotals="1" fieldPosition="0"/>
    </format>
    <format dxfId="181">
      <pivotArea dataOnly="0" labelOnly="1" grandRow="1" outline="0" fieldPosition="0"/>
    </format>
    <format dxfId="180">
      <pivotArea field="21" type="button" dataOnly="0" labelOnly="1" outline="0" axis="axisRow" fieldPosition="0"/>
    </format>
    <format dxfId="179">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88">
      <pivotArea dataOnly="0" labelOnly="1" outline="0" axis="axisValues" fieldPosition="0"/>
    </format>
    <format dxfId="187">
      <pivotArea field="21" type="button" dataOnly="0" labelOnly="1" outline="0" axis="axisRow" fieldPosition="0"/>
    </format>
    <format dxfId="186">
      <pivotArea field="4" type="button" dataOnly="0" labelOnly="1" outline="0" axis="axisRow" fieldPosition="1"/>
    </format>
    <format dxfId="185">
      <pivotArea dataOnly="0" labelOnly="1" outline="0" axis="axisValues" fieldPosition="0"/>
    </format>
    <format dxfId="184">
      <pivotArea grandRow="1" outline="0" collapsedLevelsAreSubtotals="1" fieldPosition="0"/>
    </format>
    <format dxfId="18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89">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00">
      <pivotArea type="all" dataOnly="0" outline="0" fieldPosition="0"/>
    </format>
    <format dxfId="99">
      <pivotArea outline="0" collapsedLevelsAreSubtotals="1" fieldPosition="0"/>
    </format>
    <format dxfId="98">
      <pivotArea field="18" type="button" dataOnly="0" labelOnly="1" outline="0" axis="axisRow" fieldPosition="0"/>
    </format>
    <format dxfId="97">
      <pivotArea dataOnly="0" labelOnly="1" fieldPosition="0">
        <references count="1">
          <reference field="18" count="11">
            <x v="3"/>
            <x v="4"/>
            <x v="5"/>
            <x v="6"/>
            <x v="7"/>
            <x v="8"/>
            <x v="9"/>
            <x v="10"/>
            <x v="11"/>
            <x v="12"/>
            <x v="13"/>
          </reference>
        </references>
      </pivotArea>
    </format>
    <format dxfId="96">
      <pivotArea dataOnly="0" labelOnly="1" grandRow="1" outline="0" fieldPosition="0"/>
    </format>
    <format dxfId="95">
      <pivotArea dataOnly="0" labelOnly="1" outline="0" fieldPosition="0">
        <references count="1">
          <reference field="4294967294" count="2">
            <x v="0"/>
            <x v="1"/>
          </reference>
        </references>
      </pivotArea>
    </format>
    <format dxfId="94">
      <pivotArea type="all" dataOnly="0" outline="0" fieldPosition="0"/>
    </format>
    <format dxfId="93">
      <pivotArea outline="0" collapsedLevelsAreSubtotals="1" fieldPosition="0"/>
    </format>
    <format dxfId="92">
      <pivotArea field="18" type="button" dataOnly="0" labelOnly="1" outline="0" axis="axisRow" fieldPosition="0"/>
    </format>
    <format dxfId="91">
      <pivotArea dataOnly="0" labelOnly="1" fieldPosition="0">
        <references count="1">
          <reference field="18" count="11">
            <x v="3"/>
            <x v="4"/>
            <x v="5"/>
            <x v="6"/>
            <x v="7"/>
            <x v="8"/>
            <x v="9"/>
            <x v="10"/>
            <x v="11"/>
            <x v="12"/>
            <x v="13"/>
          </reference>
        </references>
      </pivotArea>
    </format>
    <format dxfId="90">
      <pivotArea dataOnly="0" labelOnly="1" grandRow="1" outline="0" fieldPosition="0"/>
    </format>
    <format dxfId="89">
      <pivotArea dataOnly="0" labelOnly="1" outline="0" fieldPosition="0">
        <references count="1">
          <reference field="4294967294" count="2">
            <x v="0"/>
            <x v="1"/>
          </reference>
        </references>
      </pivotArea>
    </format>
    <format dxfId="88">
      <pivotArea collapsedLevelsAreSubtotals="1" fieldPosition="0">
        <references count="1">
          <reference field="18" count="1">
            <x v="13"/>
          </reference>
        </references>
      </pivotArea>
    </format>
    <format dxfId="87">
      <pivotArea collapsedLevelsAreSubtotals="1" fieldPosition="0">
        <references count="1">
          <reference field="18" count="1">
            <x v="12"/>
          </reference>
        </references>
      </pivotArea>
    </format>
    <format dxfId="86">
      <pivotArea collapsedLevelsAreSubtotals="1" fieldPosition="0">
        <references count="1">
          <reference field="18" count="1">
            <x v="11"/>
          </reference>
        </references>
      </pivotArea>
    </format>
    <format dxfId="85">
      <pivotArea collapsedLevelsAreSubtotals="1" fieldPosition="0">
        <references count="1">
          <reference field="18" count="1">
            <x v="10"/>
          </reference>
        </references>
      </pivotArea>
    </format>
    <format dxfId="84">
      <pivotArea collapsedLevelsAreSubtotals="1" fieldPosition="0">
        <references count="1">
          <reference field="18" count="1">
            <x v="9"/>
          </reference>
        </references>
      </pivotArea>
    </format>
    <format dxfId="83">
      <pivotArea collapsedLevelsAreSubtotals="1" fieldPosition="0">
        <references count="1">
          <reference field="18" count="1">
            <x v="8"/>
          </reference>
        </references>
      </pivotArea>
    </format>
    <format dxfId="82">
      <pivotArea collapsedLevelsAreSubtotals="1" fieldPosition="0">
        <references count="1">
          <reference field="18" count="1">
            <x v="7"/>
          </reference>
        </references>
      </pivotArea>
    </format>
    <format dxfId="81">
      <pivotArea collapsedLevelsAreSubtotals="1" fieldPosition="0">
        <references count="1">
          <reference field="18" count="1">
            <x v="6"/>
          </reference>
        </references>
      </pivotArea>
    </format>
    <format dxfId="80">
      <pivotArea collapsedLevelsAreSubtotals="1" fieldPosition="0">
        <references count="1">
          <reference field="18" count="1">
            <x v="5"/>
          </reference>
        </references>
      </pivotArea>
    </format>
    <format dxfId="79">
      <pivotArea collapsedLevelsAreSubtotals="1" fieldPosition="0">
        <references count="1">
          <reference field="18" count="1">
            <x v="4"/>
          </reference>
        </references>
      </pivotArea>
    </format>
    <format dxfId="78">
      <pivotArea collapsedLevelsAreSubtotals="1" fieldPosition="0">
        <references count="1">
          <reference field="18" count="1">
            <x v="3"/>
          </reference>
        </references>
      </pivotArea>
    </format>
    <format dxfId="77">
      <pivotArea dataOnly="0" labelOnly="1" fieldPosition="0">
        <references count="1">
          <reference field="18" count="11">
            <x v="3"/>
            <x v="4"/>
            <x v="5"/>
            <x v="6"/>
            <x v="7"/>
            <x v="8"/>
            <x v="9"/>
            <x v="10"/>
            <x v="11"/>
            <x v="12"/>
            <x v="13"/>
          </reference>
        </references>
      </pivotArea>
    </format>
    <format dxfId="76">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26">
      <pivotArea field="5" type="button" dataOnly="0" labelOnly="1" outline="0" axis="axisRow" fieldPosition="0"/>
    </format>
    <format dxfId="125">
      <pivotArea dataOnly="0" labelOnly="1" outline="0" fieldPosition="0">
        <references count="1">
          <reference field="4294967294" count="2">
            <x v="0"/>
            <x v="1"/>
          </reference>
        </references>
      </pivotArea>
    </format>
    <format dxfId="124">
      <pivotArea field="5" type="button" dataOnly="0" labelOnly="1" outline="0" axis="axisRow" fieldPosition="0"/>
    </format>
    <format dxfId="123">
      <pivotArea dataOnly="0" labelOnly="1" outline="0" fieldPosition="0">
        <references count="1">
          <reference field="4294967294" count="2">
            <x v="0"/>
            <x v="1"/>
          </reference>
        </references>
      </pivotArea>
    </format>
    <format dxfId="122">
      <pivotArea type="all" dataOnly="0" outline="0" fieldPosition="0"/>
    </format>
    <format dxfId="121">
      <pivotArea dataOnly="0" labelOnly="1" grandRow="1" outline="0" fieldPosition="0"/>
    </format>
    <format dxfId="120">
      <pivotArea grandRow="1" outline="0" collapsedLevelsAreSubtotals="1" fieldPosition="0"/>
    </format>
    <format dxfId="119">
      <pivotArea dataOnly="0" labelOnly="1" grandRow="1" outline="0" fieldPosition="0"/>
    </format>
    <format dxfId="118">
      <pivotArea grandRow="1" outline="0" collapsedLevelsAreSubtotals="1" fieldPosition="0"/>
    </format>
    <format dxfId="117">
      <pivotArea dataOnly="0" labelOnly="1" grandRow="1" outline="0" fieldPosition="0"/>
    </format>
    <format dxfId="116">
      <pivotArea grandRow="1" outline="0" collapsedLevelsAreSubtotals="1" fieldPosition="0"/>
    </format>
    <format dxfId="115">
      <pivotArea dataOnly="0" labelOnly="1" grandRow="1" outline="0" fieldPosition="0"/>
    </format>
    <format dxfId="114">
      <pivotArea field="5" type="button" dataOnly="0" labelOnly="1" outline="0" axis="axisRow" fieldPosition="0"/>
    </format>
    <format dxfId="113">
      <pivotArea dataOnly="0" labelOnly="1" outline="0" fieldPosition="0">
        <references count="1">
          <reference field="4294967294" count="2">
            <x v="0"/>
            <x v="1"/>
          </reference>
        </references>
      </pivotArea>
    </format>
    <format dxfId="112">
      <pivotArea type="all" dataOnly="0" outline="0" fieldPosition="0"/>
    </format>
    <format dxfId="111">
      <pivotArea outline="0" collapsedLevelsAreSubtotals="1" fieldPosition="0"/>
    </format>
    <format dxfId="110">
      <pivotArea field="5" type="button" dataOnly="0" labelOnly="1" outline="0" axis="axisRow" fieldPosition="0"/>
    </format>
    <format dxfId="109">
      <pivotArea dataOnly="0" labelOnly="1" fieldPosition="0">
        <references count="1">
          <reference field="5" count="0"/>
        </references>
      </pivotArea>
    </format>
    <format dxfId="108">
      <pivotArea dataOnly="0" labelOnly="1" grandRow="1" outline="0" fieldPosition="0"/>
    </format>
    <format dxfId="107">
      <pivotArea dataOnly="0" labelOnly="1" outline="0" fieldPosition="0">
        <references count="1">
          <reference field="4294967294" count="2">
            <x v="0"/>
            <x v="1"/>
          </reference>
        </references>
      </pivotArea>
    </format>
    <format dxfId="106">
      <pivotArea type="all" dataOnly="0" outline="0" fieldPosition="0"/>
    </format>
    <format dxfId="105">
      <pivotArea outline="0" collapsedLevelsAreSubtotals="1" fieldPosition="0"/>
    </format>
    <format dxfId="104">
      <pivotArea field="5" type="button" dataOnly="0" labelOnly="1" outline="0" axis="axisRow" fieldPosition="0"/>
    </format>
    <format dxfId="103">
      <pivotArea dataOnly="0" labelOnly="1" fieldPosition="0">
        <references count="1">
          <reference field="5" count="0"/>
        </references>
      </pivotArea>
    </format>
    <format dxfId="102">
      <pivotArea dataOnly="0" labelOnly="1" grandRow="1" outline="0" fieldPosition="0"/>
    </format>
    <format dxfId="10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46">
      <pivotArea field="4" type="button" dataOnly="0" labelOnly="1" outline="0" axis="axisRow" fieldPosition="0"/>
    </format>
    <format dxfId="145">
      <pivotArea dataOnly="0" labelOnly="1" outline="0" axis="axisValues" fieldPosition="0"/>
    </format>
    <format dxfId="144">
      <pivotArea grandRow="1" outline="0" collapsedLevelsAreSubtotals="1" fieldPosition="0"/>
    </format>
    <format dxfId="143">
      <pivotArea dataOnly="0" labelOnly="1" grandRow="1" outline="0" fieldPosition="0"/>
    </format>
    <format dxfId="142">
      <pivotArea type="all" dataOnly="0" outline="0" fieldPosition="0"/>
    </format>
    <format dxfId="141">
      <pivotArea outline="0" collapsedLevelsAreSubtotals="1" fieldPosition="0"/>
    </format>
    <format dxfId="140">
      <pivotArea field="4" type="button" dataOnly="0" labelOnly="1" outline="0" axis="axisRow" fieldPosition="0"/>
    </format>
    <format dxfId="139">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38">
      <pivotArea dataOnly="0" labelOnly="1" grandRow="1" outline="0" fieldPosition="0"/>
    </format>
    <format dxfId="137">
      <pivotArea dataOnly="0" labelOnly="1" outline="0" axis="axisValues" fieldPosition="0"/>
    </format>
    <format dxfId="136">
      <pivotArea type="all" dataOnly="0" outline="0" fieldPosition="0"/>
    </format>
    <format dxfId="135">
      <pivotArea outline="0" collapsedLevelsAreSubtotals="1" fieldPosition="0"/>
    </format>
    <format dxfId="134">
      <pivotArea field="4" type="button" dataOnly="0" labelOnly="1" outline="0" axis="axisRow" fieldPosition="0"/>
    </format>
    <format dxfId="133">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32">
      <pivotArea dataOnly="0" labelOnly="1" grandRow="1" outline="0" fieldPosition="0"/>
    </format>
    <format dxfId="131">
      <pivotArea dataOnly="0" labelOnly="1" outline="0" axis="axisValues" fieldPosition="0"/>
    </format>
    <format dxfId="130">
      <pivotArea field="4" type="button" dataOnly="0" labelOnly="1" outline="0" axis="axisRow" fieldPosition="0"/>
    </format>
    <format dxfId="129">
      <pivotArea dataOnly="0" labelOnly="1" outline="0" axis="axisValues" fieldPosition="0"/>
    </format>
    <format dxfId="128">
      <pivotArea grandRow="1" outline="0" collapsedLevelsAreSubtotals="1" fieldPosition="0"/>
    </format>
    <format dxfId="127">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71">
      <pivotArea type="all" dataOnly="0" outline="0" fieldPosition="0"/>
    </format>
    <format dxfId="170">
      <pivotArea outline="0" collapsedLevelsAreSubtotals="1" fieldPosition="0"/>
    </format>
    <format dxfId="169">
      <pivotArea type="origin" dataOnly="0" labelOnly="1" outline="0" fieldPosition="0"/>
    </format>
    <format dxfId="168">
      <pivotArea field="5" type="button" dataOnly="0" labelOnly="1" outline="0" axis="axisCol" fieldPosition="0"/>
    </format>
    <format dxfId="167">
      <pivotArea type="topRight" dataOnly="0" labelOnly="1" outline="0" fieldPosition="0"/>
    </format>
    <format dxfId="166">
      <pivotArea field="2" type="button" dataOnly="0" labelOnly="1" outline="0" axis="axisRow" fieldPosition="0"/>
    </format>
    <format dxfId="165">
      <pivotArea dataOnly="0" labelOnly="1" fieldPosition="0">
        <references count="1">
          <reference field="2" count="0"/>
        </references>
      </pivotArea>
    </format>
    <format dxfId="164">
      <pivotArea dataOnly="0" labelOnly="1" grandRow="1" outline="0" fieldPosition="0"/>
    </format>
    <format dxfId="163">
      <pivotArea dataOnly="0" labelOnly="1" fieldPosition="0">
        <references count="1">
          <reference field="5" count="0"/>
        </references>
      </pivotArea>
    </format>
    <format dxfId="162">
      <pivotArea dataOnly="0" labelOnly="1" grandCol="1" outline="0" fieldPosition="0"/>
    </format>
    <format dxfId="161">
      <pivotArea type="origin" dataOnly="0" labelOnly="1" outline="0" fieldPosition="0"/>
    </format>
    <format dxfId="160">
      <pivotArea field="5" type="button" dataOnly="0" labelOnly="1" outline="0" axis="axisCol" fieldPosition="0"/>
    </format>
    <format dxfId="159">
      <pivotArea type="topRight" dataOnly="0" labelOnly="1" outline="0" fieldPosition="0"/>
    </format>
    <format dxfId="158">
      <pivotArea field="2" type="button" dataOnly="0" labelOnly="1" outline="0" axis="axisRow" fieldPosition="0"/>
    </format>
    <format dxfId="157">
      <pivotArea dataOnly="0" labelOnly="1" fieldPosition="0">
        <references count="1">
          <reference field="5" count="0"/>
        </references>
      </pivotArea>
    </format>
    <format dxfId="156">
      <pivotArea dataOnly="0" labelOnly="1" grandCol="1" outline="0" fieldPosition="0"/>
    </format>
    <format dxfId="155">
      <pivotArea type="origin" dataOnly="0" labelOnly="1" outline="0" fieldPosition="0"/>
    </format>
    <format dxfId="154">
      <pivotArea field="5" type="button" dataOnly="0" labelOnly="1" outline="0" axis="axisCol" fieldPosition="0"/>
    </format>
    <format dxfId="153">
      <pivotArea type="topRight" dataOnly="0" labelOnly="1" outline="0" fieldPosition="0"/>
    </format>
    <format dxfId="152">
      <pivotArea field="2" type="button" dataOnly="0" labelOnly="1" outline="0" axis="axisRow" fieldPosition="0"/>
    </format>
    <format dxfId="151">
      <pivotArea dataOnly="0" labelOnly="1" fieldPosition="0">
        <references count="1">
          <reference field="5" count="0"/>
        </references>
      </pivotArea>
    </format>
    <format dxfId="150">
      <pivotArea dataOnly="0" labelOnly="1" grandCol="1" outline="0" fieldPosition="0"/>
    </format>
    <format dxfId="149">
      <pivotArea grandRow="1" outline="0" collapsedLevelsAreSubtotals="1" fieldPosition="0"/>
    </format>
    <format dxfId="148">
      <pivotArea dataOnly="0" labelOnly="1" grandRow="1" outline="0" fieldPosition="0"/>
    </format>
    <format dxfId="147">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26">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9">
      <pivotArea outline="0" collapsedLevelsAreSubtotals="1" fieldPosition="0"/>
    </format>
    <format dxfId="28">
      <pivotArea dataOnly="0" labelOnly="1" fieldPosition="0">
        <references count="1">
          <reference field="1" count="0"/>
        </references>
      </pivotArea>
    </format>
    <format dxfId="2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67" totalsRowCount="1" headerRowDxfId="394" dataDxfId="392" headerRowBorderDxfId="393" tableBorderDxfId="391" totalsRowBorderDxfId="390">
  <autoFilter ref="A1:V266" xr:uid="{00000000-0009-0000-0100-000001000000}">
    <filterColumn colId="0">
      <dynamicFilter type="thisMonth" val="46235" maxVal="46266"/>
    </filterColumn>
    <filterColumn colId="2">
      <filters>
        <filter val="Rayssa Karapeticov"/>
      </filters>
    </filterColumn>
    <filterColumn colId="5">
      <filters>
        <filter val="Melhoria"/>
        <filter val="Treinamentos e Implantações"/>
      </filters>
    </filterColumn>
  </autoFilter>
  <tableColumns count="22">
    <tableColumn id="1" xr3:uid="{00000000-0010-0000-0000-000001000000}" name="Data" totalsRowLabel="Total" dataDxfId="389" totalsRowDxfId="388"/>
    <tableColumn id="2" xr3:uid="{00000000-0010-0000-0000-000002000000}" name="Ticket" dataDxfId="387" totalsRowDxfId="386"/>
    <tableColumn id="3" xr3:uid="{00000000-0010-0000-0000-000003000000}" name="Vendedor" dataDxfId="385" totalsRowDxfId="384"/>
    <tableColumn id="4" xr3:uid="{00000000-0010-0000-0000-000004000000}" name="Cliente" dataDxfId="383" totalsRowDxfId="382"/>
    <tableColumn id="5" xr3:uid="{00000000-0010-0000-0000-000005000000}" name="Produto" dataDxfId="381" totalsRowDxfId="380"/>
    <tableColumn id="6" xr3:uid="{00000000-0010-0000-0000-000006000000}" name="TipoReceita" dataDxfId="379" totalsRowDxfId="378"/>
    <tableColumn id="7" xr3:uid="{00000000-0010-0000-0000-000007000000}" name="Qtde" totalsRowFunction="sum" dataDxfId="377" totalsRowDxfId="376"/>
    <tableColumn id="8" xr3:uid="{00000000-0010-0000-0000-000008000000}" name="VlrUnitário" dataDxfId="375" totalsRowDxfId="374"/>
    <tableColumn id="9" xr3:uid="{00000000-0010-0000-0000-000009000000}" name="VlrTotal" totalsRowFunction="sum" dataDxfId="373" totalsRowDxfId="372"/>
    <tableColumn id="21" xr3:uid="{00000000-0010-0000-0000-000015000000}" name="Vlr Meta" totalsRowFunction="sum" dataDxfId="371" totalsRowDxfId="370"/>
    <tableColumn id="10" xr3:uid="{00000000-0010-0000-0000-00000A000000}" name="%Comissão" dataDxfId="369" totalsRowDxfId="368" dataCellStyle="Porcentagem"/>
    <tableColumn id="11" xr3:uid="{00000000-0010-0000-0000-00000B000000}" name="%ComissãoSupervisor" dataDxfId="367" totalsRowDxfId="366" dataCellStyle="Porcentagem"/>
    <tableColumn id="12" xr3:uid="{00000000-0010-0000-0000-00000C000000}" name="Base" dataDxfId="365" totalsRowDxfId="364"/>
    <tableColumn id="13" xr3:uid="{00000000-0010-0000-0000-00000D000000}" name="ComissãoVendedor " totalsRowFunction="sum" dataDxfId="363" totalsRowDxfId="362"/>
    <tableColumn id="14" xr3:uid="{00000000-0010-0000-0000-00000E000000}" name="ComissãoSupervisor" totalsRowFunction="sum" dataDxfId="361" totalsRowDxfId="360"/>
    <tableColumn id="15" xr3:uid="{00000000-0010-0000-0000-00000F000000}" name="Clicksign" dataDxfId="359" totalsRowDxfId="358"/>
    <tableColumn id="16" xr3:uid="{00000000-0010-0000-0000-000010000000}" name="Contrato_Termo Aditivo" dataDxfId="357" totalsRowDxfId="356"/>
    <tableColumn id="17" xr3:uid="{00000000-0010-0000-0000-000011000000}" name="Obs" dataDxfId="355" totalsRowDxfId="354"/>
    <tableColumn id="18" xr3:uid="{00000000-0010-0000-0000-000012000000}" name="Parcelas" dataDxfId="353" totalsRowDxfId="352"/>
    <tableColumn id="22" xr3:uid="{00000000-0010-0000-0000-000016000000}" name="Data Contrato" dataDxfId="351" totalsRowDxfId="350"/>
    <tableColumn id="19" xr3:uid="{00000000-0010-0000-0000-000013000000}" name="Contrato" dataDxfId="349" totalsRowDxfId="348"/>
    <tableColumn id="20" xr3:uid="{00000000-0010-0000-0000-000014000000}" name="SDR_RESPONSÁVEL" totalsRowFunction="count" dataDxfId="347" totalsRowDxfId="3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5" totalsRowShown="0" headerRowDxfId="345">
  <autoFilter ref="M1:AC65" xr:uid="{00000000-0009-0000-0100-000002000000}"/>
  <tableColumns count="17">
    <tableColumn id="1" xr3:uid="{00000000-0010-0000-0100-000001000000}" name="Ano" dataDxfId="344"/>
    <tableColumn id="15" xr3:uid="{00000000-0010-0000-0100-00000F000000}" name="Mês" dataDxfId="343"/>
    <tableColumn id="2" xr3:uid="{00000000-0010-0000-0100-000002000000}" name="Vendedor"/>
    <tableColumn id="16" xr3:uid="{00000000-0010-0000-0100-000010000000}" name="Lead" dataDxfId="342"/>
    <tableColumn id="3" xr3:uid="{00000000-0010-0000-0100-000003000000}" name="Propsota" dataDxfId="341"/>
    <tableColumn id="4" xr3:uid="{00000000-0010-0000-0100-000004000000}" name="Apresentação" dataDxfId="340"/>
    <tableColumn id="5" xr3:uid="{00000000-0010-0000-0100-000005000000}" name="Meta Individual" dataDxfId="339"/>
    <tableColumn id="6" xr3:uid="{00000000-0010-0000-0100-000006000000}" name="Meta Equipe" dataDxfId="338"/>
    <tableColumn id="7" xr3:uid="{00000000-0010-0000-0100-000007000000}" name="Meta Projetos" dataDxfId="337"/>
    <tableColumn id="17" xr3:uid="{00000000-0010-0000-0100-000011000000}" name="OBLead" dataDxfId="336"/>
    <tableColumn id="8" xr3:uid="{00000000-0010-0000-0100-000008000000}" name="OB Proposta "/>
    <tableColumn id="9" xr3:uid="{00000000-0010-0000-0100-000009000000}" name="OB Apresentação"/>
    <tableColumn id="10" xr3:uid="{00000000-0010-0000-0100-00000A000000}" name="OB Individual" dataDxfId="335"/>
    <tableColumn id="11" xr3:uid="{00000000-0010-0000-0100-00000B000000}" name="OBEquipe" dataDxfId="334"/>
    <tableColumn id="12" xr3:uid="{00000000-0010-0000-0100-00000C000000}" name="OB Projetos" dataDxfId="333"/>
    <tableColumn id="13" xr3:uid="{00000000-0010-0000-0100-00000D000000}" name="OBI" dataDxfId="332" dataCellStyle="Porcentagem">
      <calculatedColumnFormula>metas[[#This Row],[Meta Individual]]/metas[[#This Row],[OB Individual]]</calculatedColumnFormula>
    </tableColumn>
    <tableColumn id="14" xr3:uid="{00000000-0010-0000-0100-00000E000000}" name="OBE" dataDxfId="331"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86">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85"/>
    <tableColumn id="3" xr3:uid="{00000000-0010-0000-0200-000003000000}" name="Produto"/>
    <tableColumn id="4" xr3:uid="{00000000-0010-0000-0200-000004000000}" name="Responsável" dataDxfId="284"/>
    <tableColumn id="5" xr3:uid="{00000000-0010-0000-0200-000005000000}" name="Vlr Projeto" dataDxfId="283"/>
    <tableColumn id="6" xr3:uid="{00000000-0010-0000-0200-000006000000}" name="Mensalidade" dataDxfId="282"/>
    <tableColumn id="7" xr3:uid="{00000000-0010-0000-0200-000007000000}" name="Horas" dataDxfId="281"/>
    <tableColumn id="8" xr3:uid="{00000000-0010-0000-0200-000008000000}" name="Pipeline"/>
    <tableColumn id="9" xr3:uid="{00000000-0010-0000-0200-000009000000}" name="Temperatura" dataDxfId="280"/>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79" dataDxfId="278">
  <autoFilter ref="A1:U61" xr:uid="{00000000-0009-0000-0100-000004000000}"/>
  <tableColumns count="21">
    <tableColumn id="1" xr3:uid="{00000000-0010-0000-0300-000001000000}" name="Data" totalsRowLabel="Total" dataDxfId="277" totalsRowDxfId="276"/>
    <tableColumn id="2" xr3:uid="{00000000-0010-0000-0300-000002000000}" name="Ticket" dataDxfId="275" totalsRowDxfId="274"/>
    <tableColumn id="3" xr3:uid="{00000000-0010-0000-0300-000003000000}" name="Vendedor" dataDxfId="273" totalsRowDxfId="272"/>
    <tableColumn id="4" xr3:uid="{00000000-0010-0000-0300-000004000000}" name="Cliente" dataDxfId="271" totalsRowDxfId="270"/>
    <tableColumn id="5" xr3:uid="{00000000-0010-0000-0300-000005000000}" name="Produto" dataDxfId="269" totalsRowDxfId="268"/>
    <tableColumn id="6" xr3:uid="{00000000-0010-0000-0300-000006000000}" name="TipoReceita" dataDxfId="267" totalsRowDxfId="266"/>
    <tableColumn id="7" xr3:uid="{00000000-0010-0000-0300-000007000000}" name="Qtde" dataDxfId="265" totalsRowDxfId="264"/>
    <tableColumn id="8" xr3:uid="{00000000-0010-0000-0300-000008000000}" name="VlrUnitário" dataDxfId="263" totalsRowDxfId="262"/>
    <tableColumn id="9" xr3:uid="{00000000-0010-0000-0300-000009000000}" name="VlrTotal" totalsRowFunction="sum" dataDxfId="261" totalsRowDxfId="260"/>
    <tableColumn id="10" xr3:uid="{00000000-0010-0000-0300-00000A000000}" name="Vlr Meta" totalsRowFunction="sum" dataDxfId="259" totalsRowDxfId="258"/>
    <tableColumn id="11" xr3:uid="{00000000-0010-0000-0300-00000B000000}" name="%Comissão" dataDxfId="257" totalsRowDxfId="256" dataCellStyle="Porcentagem"/>
    <tableColumn id="12" xr3:uid="{00000000-0010-0000-0300-00000C000000}" name="%ComissãoSupervisor" dataDxfId="255" totalsRowDxfId="254" dataCellStyle="Porcentagem"/>
    <tableColumn id="13" xr3:uid="{00000000-0010-0000-0300-00000D000000}" name="Base" dataDxfId="253" totalsRowDxfId="252"/>
    <tableColumn id="14" xr3:uid="{00000000-0010-0000-0300-00000E000000}" name="ComissãoVendedor " totalsRowFunction="sum" dataDxfId="251" totalsRowDxfId="250"/>
    <tableColumn id="15" xr3:uid="{00000000-0010-0000-0300-00000F000000}" name="ComissãoSupervisor" totalsRowFunction="sum" dataDxfId="249" totalsRowDxfId="248"/>
    <tableColumn id="16" xr3:uid="{00000000-0010-0000-0300-000010000000}" name="Clicksign" dataDxfId="247" totalsRowDxfId="246"/>
    <tableColumn id="17" xr3:uid="{00000000-0010-0000-0300-000011000000}" name="Contrato_Termo Aditivo" dataDxfId="245" totalsRowDxfId="244"/>
    <tableColumn id="18" xr3:uid="{00000000-0010-0000-0300-000012000000}" name="Obs" dataDxfId="243" totalsRowDxfId="242"/>
    <tableColumn id="19" xr3:uid="{00000000-0010-0000-0300-000013000000}" name="Parcelas" dataDxfId="241" totalsRowDxfId="240"/>
    <tableColumn id="20" xr3:uid="{00000000-0010-0000-0300-000014000000}" name="Contrato" dataDxfId="239" totalsRowDxfId="238"/>
    <tableColumn id="21" xr3:uid="{00000000-0010-0000-0300-000015000000}" name="SDR_RESPONSÁVEL" totalsRowFunction="count" dataDxfId="237" totalsRowDxfId="23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35" dataDxfId="233" totalsRowDxfId="231" headerRowBorderDxfId="234" tableBorderDxfId="232" totalsRowBorderDxfId="230">
  <autoFilter ref="A1:T39" xr:uid="{00000000-0009-0000-0100-000005000000}"/>
  <tableColumns count="20">
    <tableColumn id="1" xr3:uid="{00000000-0010-0000-0400-000001000000}" name="Data" totalsRowLabel="Total" dataDxfId="229" totalsRowDxfId="228"/>
    <tableColumn id="2" xr3:uid="{00000000-0010-0000-0400-000002000000}" name="Ticket" dataDxfId="227" totalsRowDxfId="226"/>
    <tableColumn id="3" xr3:uid="{00000000-0010-0000-0400-000003000000}" name="Vendedor" dataDxfId="225" totalsRowDxfId="224"/>
    <tableColumn id="4" xr3:uid="{00000000-0010-0000-0400-000004000000}" name="Cliente" dataDxfId="223" totalsRowDxfId="222"/>
    <tableColumn id="5" xr3:uid="{00000000-0010-0000-0400-000005000000}" name="Produto" dataDxfId="221" totalsRowDxfId="220"/>
    <tableColumn id="6" xr3:uid="{00000000-0010-0000-0400-000006000000}" name="TipoReceita" dataDxfId="219" totalsRowDxfId="218"/>
    <tableColumn id="7" xr3:uid="{00000000-0010-0000-0400-000007000000}" name="Qtde" dataDxfId="217" totalsRowDxfId="216"/>
    <tableColumn id="8" xr3:uid="{00000000-0010-0000-0400-000008000000}" name="VlrUnitário" dataDxfId="215" totalsRowDxfId="214"/>
    <tableColumn id="9" xr3:uid="{00000000-0010-0000-0400-000009000000}" name="VlrTotal" totalsRowFunction="sum" dataDxfId="213" totalsRowDxfId="212"/>
    <tableColumn id="10" xr3:uid="{00000000-0010-0000-0400-00000A000000}" name="%Comissão" dataDxfId="211" totalsRowDxfId="210" dataCellStyle="Porcentagem"/>
    <tableColumn id="11" xr3:uid="{00000000-0010-0000-0400-00000B000000}" name="%ComissãoSupervisor" dataDxfId="209" totalsRowDxfId="208" dataCellStyle="Porcentagem"/>
    <tableColumn id="12" xr3:uid="{00000000-0010-0000-0400-00000C000000}" name="Base" dataDxfId="207" totalsRowDxfId="206"/>
    <tableColumn id="13" xr3:uid="{00000000-0010-0000-0400-00000D000000}" name="ComissãoVendedor " totalsRowFunction="sum" dataDxfId="205" totalsRowDxfId="204"/>
    <tableColumn id="14" xr3:uid="{00000000-0010-0000-0400-00000E000000}" name="ComissãoSupervisor" totalsRowFunction="sum" dataDxfId="203" totalsRowDxfId="202"/>
    <tableColumn id="15" xr3:uid="{00000000-0010-0000-0400-00000F000000}" name="Clicksign" dataDxfId="201" totalsRowDxfId="200"/>
    <tableColumn id="16" xr3:uid="{00000000-0010-0000-0400-000010000000}" name="Contrato_Termo Aditivo" dataDxfId="199" totalsRowDxfId="198"/>
    <tableColumn id="17" xr3:uid="{00000000-0010-0000-0400-000011000000}" name="Obs" dataDxfId="197" totalsRowDxfId="196"/>
    <tableColumn id="18" xr3:uid="{00000000-0010-0000-0400-000012000000}" name="Parcelas" dataDxfId="195" totalsRowDxfId="194"/>
    <tableColumn id="19" xr3:uid="{00000000-0010-0000-0400-000013000000}" name="Contrato" dataDxfId="193" totalsRowDxfId="192"/>
    <tableColumn id="20" xr3:uid="{00000000-0010-0000-0400-000014000000}" name="SDR_RESPONSÁVEL" totalsRowFunction="count" dataDxfId="191" totalsRowDxfId="19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75" dataDxfId="73" totalsRowDxfId="71" headerRowBorderDxfId="74" tableBorderDxfId="72" totalsRowBorderDxfId="70">
  <autoFilter ref="A1:T472" xr:uid="{00000000-0009-0000-0100-000006000000}"/>
  <tableColumns count="20">
    <tableColumn id="1" xr3:uid="{00000000-0010-0000-0500-000001000000}" name="Data" dataDxfId="69" totalsRowDxfId="68"/>
    <tableColumn id="2" xr3:uid="{00000000-0010-0000-0500-000002000000}" name="Ticket" dataDxfId="67" totalsRowDxfId="66"/>
    <tableColumn id="20" xr3:uid="{00000000-0010-0000-0500-000014000000}" name="Vendedor" dataDxfId="65" totalsRowDxfId="64"/>
    <tableColumn id="21" xr3:uid="{00000000-0010-0000-0500-000015000000}" name="Cliente" dataDxfId="63" totalsRowDxfId="62"/>
    <tableColumn id="4" xr3:uid="{00000000-0010-0000-0500-000004000000}" name="Produto" dataDxfId="61" totalsRowDxfId="60"/>
    <tableColumn id="22" xr3:uid="{00000000-0010-0000-0500-000016000000}" name="TipoReceita" dataDxfId="59" totalsRowDxfId="58"/>
    <tableColumn id="5" xr3:uid="{00000000-0010-0000-0500-000005000000}" name="Qtde" totalsRowFunction="sum" dataDxfId="57" totalsRowDxfId="56"/>
    <tableColumn id="6" xr3:uid="{00000000-0010-0000-0500-000006000000}" name="VlrUnitário" dataDxfId="55" totalsRowDxfId="54"/>
    <tableColumn id="7" xr3:uid="{00000000-0010-0000-0500-000007000000}" name="VlrTotal" totalsRowFunction="sum" dataDxfId="53" totalsRowDxfId="52"/>
    <tableColumn id="8" xr3:uid="{00000000-0010-0000-0500-000008000000}" name="%Comissão" dataDxfId="51" totalsRowDxfId="50"/>
    <tableColumn id="24" xr3:uid="{00000000-0010-0000-0500-000018000000}" name="%ComissãoSupervisor" dataDxfId="49" totalsRowDxfId="48" dataCellStyle="Porcentagem"/>
    <tableColumn id="23" xr3:uid="{00000000-0010-0000-0500-000017000000}" name="Base" dataDxfId="47" totalsRowDxfId="46"/>
    <tableColumn id="12" xr3:uid="{00000000-0010-0000-0500-00000C000000}" name="ComissãoVendedor " totalsRowFunction="sum" dataDxfId="45" totalsRowDxfId="44"/>
    <tableColumn id="19" xr3:uid="{00000000-0010-0000-0500-000013000000}" name="ComissãoSupervisor" totalsRowFunction="sum" dataDxfId="43" totalsRowDxfId="42">
      <calculatedColumnFormula>I2*K2</calculatedColumnFormula>
    </tableColumn>
    <tableColumn id="13" xr3:uid="{00000000-0010-0000-0500-00000D000000}" name="Clicksign" dataDxfId="41" totalsRowDxfId="40"/>
    <tableColumn id="15" xr3:uid="{00000000-0010-0000-0500-00000F000000}" name="Contrato_Termo Aditivo" dataDxfId="39" totalsRowDxfId="38"/>
    <tableColumn id="18" xr3:uid="{00000000-0010-0000-0500-000012000000}" name="Obs" dataDxfId="37" totalsRowDxfId="36"/>
    <tableColumn id="3" xr3:uid="{00000000-0010-0000-0500-000003000000}" name="Parcelas" dataDxfId="35" totalsRowDxfId="34"/>
    <tableColumn id="9" xr3:uid="{00000000-0010-0000-0500-000009000000}" name="Contrato" dataDxfId="33" totalsRowDxfId="32"/>
    <tableColumn id="10" xr3:uid="{00000000-0010-0000-0500-00000A000000}" name="SDR_RESPONSÁVEL" totalsRowFunction="count" dataDxfId="31" totalsRowDxfId="30"/>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25" dataDxfId="24">
  <autoFilter ref="A867:F1039" xr:uid="{00000000-0009-0000-0100-000007000000}">
    <filterColumn colId="0">
      <filters>
        <dateGroupItem year="2026" dateTimeGrouping="year"/>
      </filters>
    </filterColumn>
  </autoFilter>
  <tableColumns count="6">
    <tableColumn id="1" xr3:uid="{00000000-0010-0000-0600-000001000000}" name="Mês" dataDxfId="23"/>
    <tableColumn id="2" xr3:uid="{00000000-0010-0000-0600-000002000000}" name="Vendedor" dataDxfId="22"/>
    <tableColumn id="3" xr3:uid="{00000000-0010-0000-0600-000003000000}" name="Comissão" dataDxfId="21"/>
    <tableColumn id="4" xr3:uid="{00000000-0010-0000-0600-000004000000}" name="Pago em" dataDxfId="20"/>
    <tableColumn id="5" xr3:uid="{00000000-0010-0000-0600-000005000000}" name="Count" dataDxfId="19"/>
    <tableColumn id="6" xr3:uid="{00000000-0010-0000-0600-000006000000}" name="Ano" dataDxfId="18"/>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21" sqref="C21"/>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69"/>
  <sheetViews>
    <sheetView showGridLines="0" zoomScaleNormal="100" workbookViewId="0">
      <pane xSplit="5" ySplit="1" topLeftCell="F252" activePane="bottomRight" state="frozen"/>
      <selection pane="topRight" activeCell="F1" sqref="F1"/>
      <selection pane="bottomLeft" activeCell="A3" sqref="A3"/>
      <selection pane="bottomRight" activeCell="C256" sqref="C256"/>
    </sheetView>
  </sheetViews>
  <sheetFormatPr defaultRowHeight="14.4" x14ac:dyDescent="0.3"/>
  <cols>
    <col min="1" max="1" width="13.5546875" customWidth="1"/>
    <col min="2" max="2" width="20.44140625" customWidth="1"/>
    <col min="3" max="3" width="19.88671875" customWidth="1"/>
    <col min="4" max="4" width="18" bestFit="1" customWidth="1"/>
    <col min="5" max="5" width="21.5546875" customWidth="1"/>
    <col min="6" max="6" width="27.6640625" customWidth="1"/>
    <col min="7" max="7" width="10"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28</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3">
      <c r="A229" s="10">
        <v>46205</v>
      </c>
      <c r="B229" s="11">
        <v>138575</v>
      </c>
      <c r="C229" s="11" t="s">
        <v>22</v>
      </c>
      <c r="D229" s="11" t="s">
        <v>86</v>
      </c>
      <c r="E229" s="11" t="s">
        <v>138</v>
      </c>
      <c r="F229" s="11" t="s">
        <v>30</v>
      </c>
      <c r="G229" s="12">
        <v>3</v>
      </c>
      <c r="H229" s="13">
        <v>57.5</v>
      </c>
      <c r="I229" s="14">
        <f>vendas2026[[#This Row],[Qtde]]*vendas2026[[#This Row],[VlrUnitário]]</f>
        <v>172.5</v>
      </c>
      <c r="J229" s="390">
        <f>vendas2026[[#This Row],[VlrTotal]]</f>
        <v>172.5</v>
      </c>
      <c r="K229" s="392">
        <v>1</v>
      </c>
      <c r="L229" s="15">
        <v>0</v>
      </c>
      <c r="M229" s="14" t="s">
        <v>26</v>
      </c>
      <c r="N229" s="23">
        <f>vendas2026[[#This Row],[VlrTotal]]*vendas2026[[#This Row],[%Comissão]]</f>
        <v>172.5</v>
      </c>
      <c r="O229" s="14">
        <f>vendas2026[[#This Row],[VlrTotal]]*vendas2026[[#This Row],[%ComissãoSupervisor]]</f>
        <v>0</v>
      </c>
      <c r="P229" s="11" t="s">
        <v>27</v>
      </c>
      <c r="Q229" s="11" t="s">
        <v>27</v>
      </c>
      <c r="R229" s="11"/>
      <c r="S229" s="11">
        <v>1</v>
      </c>
      <c r="T229" s="380"/>
      <c r="U229" s="11" t="s">
        <v>38</v>
      </c>
      <c r="V229" s="16" t="s">
        <v>22</v>
      </c>
    </row>
    <row r="230" spans="1:22" hidden="1" x14ac:dyDescent="0.3">
      <c r="A230" s="10">
        <v>46213</v>
      </c>
      <c r="B230" s="11">
        <v>143152</v>
      </c>
      <c r="C230" s="11" t="s">
        <v>31</v>
      </c>
      <c r="D230" s="11" t="s">
        <v>126</v>
      </c>
      <c r="E230" s="11" t="s">
        <v>35</v>
      </c>
      <c r="F230" s="11" t="s">
        <v>35</v>
      </c>
      <c r="G230" s="12">
        <v>8</v>
      </c>
      <c r="H230" s="13">
        <v>176</v>
      </c>
      <c r="I230" s="14">
        <f>vendas2026[[#This Row],[Qtde]]*vendas2026[[#This Row],[VlrUnitário]]</f>
        <v>1408</v>
      </c>
      <c r="J230" s="390">
        <f>vendas2026[[#This Row],[VlrTotal]]</f>
        <v>1408</v>
      </c>
      <c r="K230" s="392">
        <v>0.01</v>
      </c>
      <c r="L230" s="15">
        <f>vendas2026[[#This Row],[%Comissão]]*0.25</f>
        <v>2.5000000000000001E-3</v>
      </c>
      <c r="M230" s="14" t="s">
        <v>26</v>
      </c>
      <c r="N230" s="23">
        <f>vendas2026[[#This Row],[VlrTotal]]*vendas2026[[#This Row],[%Comissão]]</f>
        <v>14.08</v>
      </c>
      <c r="O230" s="14">
        <f>vendas2026[[#This Row],[VlrTotal]]*vendas2026[[#This Row],[%ComissãoSupervisor]]</f>
        <v>3.52</v>
      </c>
      <c r="P230" s="11" t="s">
        <v>36</v>
      </c>
      <c r="Q230" s="11" t="s">
        <v>37</v>
      </c>
      <c r="R230" s="11"/>
      <c r="S230" s="11">
        <v>1</v>
      </c>
      <c r="T230" s="380"/>
      <c r="U230" s="11" t="s">
        <v>38</v>
      </c>
      <c r="V230" s="16" t="s">
        <v>31</v>
      </c>
    </row>
    <row r="231" spans="1:22" hidden="1" x14ac:dyDescent="0.3">
      <c r="A231" s="10">
        <v>46213</v>
      </c>
      <c r="B231" s="11">
        <v>145196</v>
      </c>
      <c r="C231" s="11" t="s">
        <v>31</v>
      </c>
      <c r="D231" s="11" t="s">
        <v>87</v>
      </c>
      <c r="E231" s="11" t="s">
        <v>35</v>
      </c>
      <c r="F231" s="11" t="s">
        <v>35</v>
      </c>
      <c r="G231" s="12">
        <v>27</v>
      </c>
      <c r="H231" s="13">
        <v>176</v>
      </c>
      <c r="I231" s="14">
        <f>vendas2026[[#This Row],[Qtde]]*vendas2026[[#This Row],[VlrUnitário]]</f>
        <v>4752</v>
      </c>
      <c r="J231" s="390">
        <f>vendas2026[[#This Row],[VlrTotal]]</f>
        <v>4752</v>
      </c>
      <c r="K231" s="392">
        <v>0.01</v>
      </c>
      <c r="L231" s="15">
        <f>vendas2026[[#This Row],[%Comissão]]*0.25</f>
        <v>2.5000000000000001E-3</v>
      </c>
      <c r="M231" s="14" t="s">
        <v>26</v>
      </c>
      <c r="N231" s="23">
        <f>vendas2026[[#This Row],[VlrTotal]]*vendas2026[[#This Row],[%Comissão]]</f>
        <v>47.52</v>
      </c>
      <c r="O231" s="14">
        <f>vendas2026[[#This Row],[VlrTotal]]*vendas2026[[#This Row],[%ComissãoSupervisor]]</f>
        <v>11.88</v>
      </c>
      <c r="P231" s="11" t="s">
        <v>36</v>
      </c>
      <c r="Q231" s="11" t="s">
        <v>37</v>
      </c>
      <c r="R231" s="11"/>
      <c r="S231" s="11">
        <v>1</v>
      </c>
      <c r="T231" s="380"/>
      <c r="U231" s="11" t="s">
        <v>38</v>
      </c>
      <c r="V231" s="16" t="s">
        <v>31</v>
      </c>
    </row>
    <row r="232" spans="1:22" hidden="1" x14ac:dyDescent="0.3">
      <c r="A232" s="10">
        <v>46213</v>
      </c>
      <c r="B232" s="11">
        <v>144248</v>
      </c>
      <c r="C232" s="11" t="s">
        <v>31</v>
      </c>
      <c r="D232" s="11" t="s">
        <v>79</v>
      </c>
      <c r="E232" s="11" t="s">
        <v>35</v>
      </c>
      <c r="F232" s="11" t="s">
        <v>35</v>
      </c>
      <c r="G232" s="12">
        <v>400</v>
      </c>
      <c r="H232" s="13">
        <v>125</v>
      </c>
      <c r="I232" s="14">
        <f>vendas2026[[#This Row],[Qtde]]*vendas2026[[#This Row],[VlrUnitário]]</f>
        <v>50000</v>
      </c>
      <c r="J232" s="390">
        <f>vendas2026[[#This Row],[VlrTotal]]</f>
        <v>50000</v>
      </c>
      <c r="K232" s="392">
        <v>2.8E-3</v>
      </c>
      <c r="L232" s="15">
        <f>vendas2026[[#This Row],[%Comissão]]*0.25</f>
        <v>6.9999999999999999E-4</v>
      </c>
      <c r="M232" s="14" t="s">
        <v>26</v>
      </c>
      <c r="N232" s="23">
        <f>vendas2026[[#This Row],[VlrTotal]]*vendas2026[[#This Row],[%Comissão]]</f>
        <v>140</v>
      </c>
      <c r="O232" s="14">
        <f>vendas2026[[#This Row],[VlrTotal]]*vendas2026[[#This Row],[%ComissãoSupervisor]]</f>
        <v>35</v>
      </c>
      <c r="P232" s="11" t="s">
        <v>36</v>
      </c>
      <c r="Q232" s="11" t="s">
        <v>37</v>
      </c>
      <c r="R232" s="11"/>
      <c r="S232" s="11">
        <v>6</v>
      </c>
      <c r="T232" s="380"/>
      <c r="U232" s="11" t="s">
        <v>38</v>
      </c>
      <c r="V232" s="16" t="s">
        <v>31</v>
      </c>
    </row>
    <row r="233" spans="1:22" hidden="1" x14ac:dyDescent="0.3">
      <c r="A233" s="10">
        <v>46213</v>
      </c>
      <c r="B233" s="11">
        <v>144524</v>
      </c>
      <c r="C233" s="11" t="s">
        <v>31</v>
      </c>
      <c r="D233" s="11" t="s">
        <v>79</v>
      </c>
      <c r="E233" s="11" t="s">
        <v>35</v>
      </c>
      <c r="F233" s="11" t="s">
        <v>35</v>
      </c>
      <c r="G233" s="12">
        <v>8</v>
      </c>
      <c r="H233" s="13">
        <v>176</v>
      </c>
      <c r="I233" s="14">
        <f>vendas2026[[#This Row],[Qtde]]*vendas2026[[#This Row],[VlrUnitário]]</f>
        <v>1408</v>
      </c>
      <c r="J233" s="390">
        <f>vendas2026[[#This Row],[VlrTotal]]</f>
        <v>1408</v>
      </c>
      <c r="K233" s="392">
        <v>0.01</v>
      </c>
      <c r="L233" s="15">
        <f>vendas2026[[#This Row],[%Comissão]]*0.25</f>
        <v>2.5000000000000001E-3</v>
      </c>
      <c r="M233" s="14" t="s">
        <v>26</v>
      </c>
      <c r="N233" s="23">
        <f>vendas2026[[#This Row],[VlrTotal]]*vendas2026[[#This Row],[%Comissão]]</f>
        <v>14.08</v>
      </c>
      <c r="O233" s="14">
        <f>vendas2026[[#This Row],[VlrTotal]]*vendas2026[[#This Row],[%ComissãoSupervisor]]</f>
        <v>3.52</v>
      </c>
      <c r="P233" s="11" t="s">
        <v>36</v>
      </c>
      <c r="Q233" s="11" t="s">
        <v>37</v>
      </c>
      <c r="R233" s="11"/>
      <c r="S233" s="11">
        <v>1</v>
      </c>
      <c r="T233" s="380"/>
      <c r="U233" s="11" t="s">
        <v>38</v>
      </c>
      <c r="V233" s="16" t="s">
        <v>31</v>
      </c>
    </row>
    <row r="234" spans="1:22" hidden="1" x14ac:dyDescent="0.3">
      <c r="A234" s="10">
        <v>46213</v>
      </c>
      <c r="B234" s="11">
        <v>145782</v>
      </c>
      <c r="C234" s="11" t="s">
        <v>31</v>
      </c>
      <c r="D234" s="11" t="s">
        <v>65</v>
      </c>
      <c r="E234" s="11" t="s">
        <v>35</v>
      </c>
      <c r="F234" s="11" t="s">
        <v>35</v>
      </c>
      <c r="G234" s="12">
        <v>2</v>
      </c>
      <c r="H234" s="13">
        <v>176</v>
      </c>
      <c r="I234" s="14">
        <f>vendas2026[[#This Row],[Qtde]]*vendas2026[[#This Row],[VlrUnitário]]</f>
        <v>352</v>
      </c>
      <c r="J234" s="390">
        <f>vendas2026[[#This Row],[VlrTotal]]</f>
        <v>352</v>
      </c>
      <c r="K234" s="392">
        <v>0.01</v>
      </c>
      <c r="L234" s="15">
        <f>vendas2026[[#This Row],[%Comissão]]*0.25</f>
        <v>2.5000000000000001E-3</v>
      </c>
      <c r="M234" s="14" t="s">
        <v>26</v>
      </c>
      <c r="N234" s="23">
        <f>vendas2026[[#This Row],[VlrTotal]]*vendas2026[[#This Row],[%Comissão]]</f>
        <v>3.52</v>
      </c>
      <c r="O234" s="14">
        <f>vendas2026[[#This Row],[VlrTotal]]*vendas2026[[#This Row],[%ComissãoSupervisor]]</f>
        <v>0.88</v>
      </c>
      <c r="P234" s="11" t="s">
        <v>36</v>
      </c>
      <c r="Q234" s="11" t="s">
        <v>37</v>
      </c>
      <c r="R234" s="11"/>
      <c r="S234" s="11">
        <v>1</v>
      </c>
      <c r="T234" s="380"/>
      <c r="U234" s="11" t="s">
        <v>38</v>
      </c>
      <c r="V234" s="16" t="s">
        <v>31</v>
      </c>
    </row>
    <row r="235" spans="1:22" hidden="1" x14ac:dyDescent="0.3">
      <c r="A235" s="10">
        <v>46213</v>
      </c>
      <c r="B235" s="11">
        <v>143483</v>
      </c>
      <c r="C235" s="11" t="s">
        <v>31</v>
      </c>
      <c r="D235" s="11" t="s">
        <v>661</v>
      </c>
      <c r="E235" s="11" t="s">
        <v>35</v>
      </c>
      <c r="F235" s="11" t="s">
        <v>35</v>
      </c>
      <c r="G235" s="12">
        <v>4</v>
      </c>
      <c r="H235" s="13">
        <v>176</v>
      </c>
      <c r="I235" s="14">
        <f>vendas2026[[#This Row],[Qtde]]*vendas2026[[#This Row],[VlrUnitário]]</f>
        <v>704</v>
      </c>
      <c r="J235" s="390">
        <f>vendas2026[[#This Row],[VlrTotal]]</f>
        <v>704</v>
      </c>
      <c r="K235" s="392">
        <v>0.01</v>
      </c>
      <c r="L235" s="15">
        <f>vendas2026[[#This Row],[%Comissão]]*0.25</f>
        <v>2.5000000000000001E-3</v>
      </c>
      <c r="M235" s="14" t="s">
        <v>26</v>
      </c>
      <c r="N235" s="23">
        <f>vendas2026[[#This Row],[VlrTotal]]*vendas2026[[#This Row],[%Comissão]]</f>
        <v>7.04</v>
      </c>
      <c r="O235" s="14">
        <f>vendas2026[[#This Row],[VlrTotal]]*vendas2026[[#This Row],[%ComissãoSupervisor]]</f>
        <v>1.76</v>
      </c>
      <c r="P235" s="11" t="s">
        <v>36</v>
      </c>
      <c r="Q235" s="11" t="s">
        <v>37</v>
      </c>
      <c r="R235" s="11"/>
      <c r="S235" s="11">
        <v>1</v>
      </c>
      <c r="T235" s="380"/>
      <c r="U235" s="11" t="s">
        <v>38</v>
      </c>
      <c r="V235" s="16" t="s">
        <v>31</v>
      </c>
    </row>
    <row r="236" spans="1:22" hidden="1" x14ac:dyDescent="0.3">
      <c r="A236" s="10">
        <v>46213</v>
      </c>
      <c r="B236" s="11">
        <v>146299</v>
      </c>
      <c r="C236" s="11" t="s">
        <v>31</v>
      </c>
      <c r="D236" s="11" t="s">
        <v>661</v>
      </c>
      <c r="E236" s="11" t="s">
        <v>35</v>
      </c>
      <c r="F236" s="11" t="s">
        <v>35</v>
      </c>
      <c r="G236" s="12">
        <v>14</v>
      </c>
      <c r="H236" s="13">
        <v>176</v>
      </c>
      <c r="I236" s="14">
        <f>vendas2026[[#This Row],[Qtde]]*vendas2026[[#This Row],[VlrUnitário]]</f>
        <v>2464</v>
      </c>
      <c r="J236" s="390">
        <f>vendas2026[[#This Row],[VlrTotal]]</f>
        <v>2464</v>
      </c>
      <c r="K236" s="392">
        <v>0.01</v>
      </c>
      <c r="L236" s="15">
        <f>vendas2026[[#This Row],[%Comissão]]*0.25</f>
        <v>2.5000000000000001E-3</v>
      </c>
      <c r="M236" s="14" t="s">
        <v>26</v>
      </c>
      <c r="N236" s="23">
        <f>vendas2026[[#This Row],[VlrTotal]]*vendas2026[[#This Row],[%Comissão]]</f>
        <v>24.64</v>
      </c>
      <c r="O236" s="14">
        <f>vendas2026[[#This Row],[VlrTotal]]*vendas2026[[#This Row],[%ComissãoSupervisor]]</f>
        <v>6.16</v>
      </c>
      <c r="P236" s="11" t="s">
        <v>36</v>
      </c>
      <c r="Q236" s="11" t="s">
        <v>37</v>
      </c>
      <c r="R236" s="11"/>
      <c r="S236" s="11">
        <v>3</v>
      </c>
      <c r="T236" s="380"/>
      <c r="U236" s="11" t="s">
        <v>38</v>
      </c>
      <c r="V236" s="16" t="s">
        <v>31</v>
      </c>
    </row>
    <row r="237" spans="1:22" hidden="1" x14ac:dyDescent="0.3">
      <c r="A237" s="10">
        <v>46213</v>
      </c>
      <c r="B237" s="11">
        <v>141602</v>
      </c>
      <c r="C237" s="11" t="s">
        <v>31</v>
      </c>
      <c r="D237" s="11" t="s">
        <v>610</v>
      </c>
      <c r="E237" s="11" t="s">
        <v>35</v>
      </c>
      <c r="F237" s="11" t="s">
        <v>35</v>
      </c>
      <c r="G237" s="12">
        <v>52</v>
      </c>
      <c r="H237" s="13">
        <v>176</v>
      </c>
      <c r="I237" s="14">
        <f>vendas2026[[#This Row],[Qtde]]*vendas2026[[#This Row],[VlrUnitário]]</f>
        <v>9152</v>
      </c>
      <c r="J237" s="390">
        <f>vendas2026[[#This Row],[VlrTotal]]</f>
        <v>9152</v>
      </c>
      <c r="K237" s="392">
        <v>0.01</v>
      </c>
      <c r="L237" s="15">
        <f>vendas2026[[#This Row],[%Comissão]]*0.25</f>
        <v>2.5000000000000001E-3</v>
      </c>
      <c r="M237" s="14" t="s">
        <v>26</v>
      </c>
      <c r="N237" s="23">
        <f>vendas2026[[#This Row],[VlrTotal]]*vendas2026[[#This Row],[%Comissão]]</f>
        <v>91.52</v>
      </c>
      <c r="O237" s="14">
        <f>vendas2026[[#This Row],[VlrTotal]]*vendas2026[[#This Row],[%ComissãoSupervisor]]</f>
        <v>22.88</v>
      </c>
      <c r="P237" s="11" t="s">
        <v>36</v>
      </c>
      <c r="Q237" s="11" t="s">
        <v>37</v>
      </c>
      <c r="R237" s="11"/>
      <c r="S237" s="11">
        <v>3</v>
      </c>
      <c r="T237" s="380"/>
      <c r="U237" s="11" t="s">
        <v>38</v>
      </c>
      <c r="V237" s="16" t="s">
        <v>31</v>
      </c>
    </row>
    <row r="238" spans="1:22" hidden="1" x14ac:dyDescent="0.3">
      <c r="A238" s="10">
        <v>46213</v>
      </c>
      <c r="B238" s="11">
        <v>145581</v>
      </c>
      <c r="C238" s="11" t="s">
        <v>31</v>
      </c>
      <c r="D238" s="11" t="s">
        <v>610</v>
      </c>
      <c r="E238" s="11" t="s">
        <v>35</v>
      </c>
      <c r="F238" s="11" t="s">
        <v>35</v>
      </c>
      <c r="G238" s="12">
        <v>6</v>
      </c>
      <c r="H238" s="13">
        <v>176</v>
      </c>
      <c r="I238" s="14">
        <f>vendas2026[[#This Row],[Qtde]]*vendas2026[[#This Row],[VlrUnitário]]</f>
        <v>1056</v>
      </c>
      <c r="J238" s="390">
        <f>vendas2026[[#This Row],[VlrTotal]]</f>
        <v>1056</v>
      </c>
      <c r="K238" s="392">
        <v>0.01</v>
      </c>
      <c r="L238" s="15">
        <f>vendas2026[[#This Row],[%Comissão]]*0.25</f>
        <v>2.5000000000000001E-3</v>
      </c>
      <c r="M238" s="14" t="s">
        <v>26</v>
      </c>
      <c r="N238" s="23">
        <f>vendas2026[[#This Row],[VlrTotal]]*vendas2026[[#This Row],[%Comissão]]</f>
        <v>10.56</v>
      </c>
      <c r="O238" s="14">
        <f>vendas2026[[#This Row],[VlrTotal]]*vendas2026[[#This Row],[%ComissãoSupervisor]]</f>
        <v>2.64</v>
      </c>
      <c r="P238" s="11" t="s">
        <v>36</v>
      </c>
      <c r="Q238" s="11" t="s">
        <v>37</v>
      </c>
      <c r="R238" s="11"/>
      <c r="S238" s="11">
        <v>3</v>
      </c>
      <c r="T238" s="380"/>
      <c r="U238" s="11" t="s">
        <v>38</v>
      </c>
      <c r="V238" s="16" t="s">
        <v>31</v>
      </c>
    </row>
    <row r="239" spans="1:22" hidden="1" x14ac:dyDescent="0.3">
      <c r="A239" s="10">
        <v>46213</v>
      </c>
      <c r="B239" s="11">
        <v>146363</v>
      </c>
      <c r="C239" s="11" t="s">
        <v>31</v>
      </c>
      <c r="D239" s="11" t="s">
        <v>610</v>
      </c>
      <c r="E239" s="11" t="s">
        <v>35</v>
      </c>
      <c r="F239" s="11" t="s">
        <v>35</v>
      </c>
      <c r="G239" s="12">
        <v>28</v>
      </c>
      <c r="H239" s="13">
        <v>176</v>
      </c>
      <c r="I239" s="14">
        <f>vendas2026[[#This Row],[Qtde]]*vendas2026[[#This Row],[VlrUnitário]]</f>
        <v>4928</v>
      </c>
      <c r="J239" s="390">
        <f>vendas2026[[#This Row],[VlrTotal]]</f>
        <v>4928</v>
      </c>
      <c r="K239" s="392">
        <v>0.01</v>
      </c>
      <c r="L239" s="15">
        <f>vendas2026[[#This Row],[%Comissão]]*0.25</f>
        <v>2.5000000000000001E-3</v>
      </c>
      <c r="M239" s="14" t="s">
        <v>26</v>
      </c>
      <c r="N239" s="23">
        <f>vendas2026[[#This Row],[VlrTotal]]*vendas2026[[#This Row],[%Comissão]]</f>
        <v>49.28</v>
      </c>
      <c r="O239" s="14">
        <f>vendas2026[[#This Row],[VlrTotal]]*vendas2026[[#This Row],[%ComissãoSupervisor]]</f>
        <v>12.32</v>
      </c>
      <c r="P239" s="11" t="s">
        <v>36</v>
      </c>
      <c r="Q239" s="11" t="s">
        <v>37</v>
      </c>
      <c r="R239" s="11"/>
      <c r="S239" s="11">
        <v>3</v>
      </c>
      <c r="T239" s="380"/>
      <c r="U239" s="11" t="s">
        <v>38</v>
      </c>
      <c r="V239" s="16" t="s">
        <v>31</v>
      </c>
    </row>
    <row r="240" spans="1:22" hidden="1" x14ac:dyDescent="0.3">
      <c r="A240" s="10">
        <v>46213</v>
      </c>
      <c r="B240" s="11">
        <v>144564</v>
      </c>
      <c r="C240" s="11" t="s">
        <v>31</v>
      </c>
      <c r="D240" s="11" t="s">
        <v>76</v>
      </c>
      <c r="E240" s="11" t="s">
        <v>35</v>
      </c>
      <c r="F240" s="11" t="s">
        <v>35</v>
      </c>
      <c r="G240" s="12">
        <v>32</v>
      </c>
      <c r="H240" s="13">
        <v>176</v>
      </c>
      <c r="I240" s="14">
        <f>vendas2026[[#This Row],[Qtde]]*vendas2026[[#This Row],[VlrUnitário]]</f>
        <v>5632</v>
      </c>
      <c r="J240" s="390">
        <f>vendas2026[[#This Row],[VlrTotal]]</f>
        <v>5632</v>
      </c>
      <c r="K240" s="392">
        <v>0.01</v>
      </c>
      <c r="L240" s="15">
        <f>vendas2026[[#This Row],[%Comissão]]*0.25</f>
        <v>2.5000000000000001E-3</v>
      </c>
      <c r="M240" s="14" t="s">
        <v>26</v>
      </c>
      <c r="N240" s="23">
        <f>vendas2026[[#This Row],[VlrTotal]]*vendas2026[[#This Row],[%Comissão]]</f>
        <v>56.32</v>
      </c>
      <c r="O240" s="14">
        <f>vendas2026[[#This Row],[VlrTotal]]*vendas2026[[#This Row],[%ComissãoSupervisor]]</f>
        <v>14.08</v>
      </c>
      <c r="P240" s="11" t="s">
        <v>36</v>
      </c>
      <c r="Q240" s="11" t="s">
        <v>37</v>
      </c>
      <c r="R240" s="11"/>
      <c r="S240" s="11">
        <v>3</v>
      </c>
      <c r="T240" s="380"/>
      <c r="U240" s="11" t="s">
        <v>38</v>
      </c>
      <c r="V240" s="16" t="s">
        <v>31</v>
      </c>
    </row>
    <row r="241" spans="1:22" hidden="1" x14ac:dyDescent="0.3">
      <c r="A241" s="10">
        <v>46213</v>
      </c>
      <c r="B241" s="11">
        <v>145049</v>
      </c>
      <c r="C241" s="11" t="s">
        <v>31</v>
      </c>
      <c r="D241" s="11" t="s">
        <v>635</v>
      </c>
      <c r="E241" s="11" t="s">
        <v>35</v>
      </c>
      <c r="F241" s="11" t="s">
        <v>35</v>
      </c>
      <c r="G241" s="12">
        <v>4</v>
      </c>
      <c r="H241" s="13">
        <v>176</v>
      </c>
      <c r="I241" s="14">
        <f>vendas2026[[#This Row],[Qtde]]*vendas2026[[#This Row],[VlrUnitário]]</f>
        <v>704</v>
      </c>
      <c r="J241" s="390">
        <f>vendas2026[[#This Row],[VlrTotal]]</f>
        <v>704</v>
      </c>
      <c r="K241" s="392">
        <v>0.01</v>
      </c>
      <c r="L241" s="15">
        <f>vendas2026[[#This Row],[%Comissão]]*0.25</f>
        <v>2.5000000000000001E-3</v>
      </c>
      <c r="M241" s="14" t="s">
        <v>26</v>
      </c>
      <c r="N241" s="23">
        <f>vendas2026[[#This Row],[VlrTotal]]*vendas2026[[#This Row],[%Comissão]]</f>
        <v>7.04</v>
      </c>
      <c r="O241" s="14">
        <f>vendas2026[[#This Row],[VlrTotal]]*vendas2026[[#This Row],[%ComissãoSupervisor]]</f>
        <v>1.76</v>
      </c>
      <c r="P241" s="11" t="s">
        <v>36</v>
      </c>
      <c r="Q241" s="11" t="s">
        <v>37</v>
      </c>
      <c r="R241" s="11"/>
      <c r="S241" s="11">
        <v>1</v>
      </c>
      <c r="T241" s="380"/>
      <c r="U241" s="11" t="s">
        <v>38</v>
      </c>
      <c r="V241" s="16" t="s">
        <v>31</v>
      </c>
    </row>
    <row r="242" spans="1:22" hidden="1" x14ac:dyDescent="0.3">
      <c r="A242" s="10">
        <v>46219</v>
      </c>
      <c r="B242" s="11">
        <v>145337</v>
      </c>
      <c r="C242" s="11" t="s">
        <v>31</v>
      </c>
      <c r="D242" s="11" t="s">
        <v>93</v>
      </c>
      <c r="E242" s="11" t="s">
        <v>24</v>
      </c>
      <c r="F242" s="11" t="s">
        <v>25</v>
      </c>
      <c r="G242" s="12">
        <v>80</v>
      </c>
      <c r="H242" s="13">
        <v>175</v>
      </c>
      <c r="I242" s="14">
        <f>vendas2026[[#This Row],[Qtde]]*vendas2026[[#This Row],[VlrUnitário]]</f>
        <v>14000</v>
      </c>
      <c r="J242" s="390">
        <f>(vendas2026[[#This Row],[VlrTotal]]*0.2)+vendas2026[[#This Row],[VlrTotal]]</f>
        <v>16800</v>
      </c>
      <c r="K242" s="392">
        <v>5.8900000000000001E-2</v>
      </c>
      <c r="L242" s="15">
        <f>vendas2026[[#This Row],[%Comissão]]*0.25</f>
        <v>1.4725E-2</v>
      </c>
      <c r="M242" s="14" t="s">
        <v>26</v>
      </c>
      <c r="N242" s="23">
        <f>vendas2026[[#This Row],[VlrTotal]]*vendas2026[[#This Row],[%Comissão]]</f>
        <v>824.6</v>
      </c>
      <c r="O242" s="14">
        <f>vendas2026[[#This Row],[VlrTotal]]*vendas2026[[#This Row],[%ComissãoSupervisor]]</f>
        <v>206.15</v>
      </c>
      <c r="P242" s="11" t="s">
        <v>36</v>
      </c>
      <c r="Q242" s="11" t="s">
        <v>37</v>
      </c>
      <c r="R242" s="11"/>
      <c r="S242" s="11">
        <v>6</v>
      </c>
      <c r="T242" s="380"/>
      <c r="U242" s="11" t="s">
        <v>38</v>
      </c>
      <c r="V242" s="16" t="s">
        <v>31</v>
      </c>
    </row>
    <row r="243" spans="1:22" hidden="1" x14ac:dyDescent="0.3">
      <c r="A243" s="10">
        <v>46219</v>
      </c>
      <c r="B243" s="11">
        <v>146167</v>
      </c>
      <c r="C243" s="11" t="s">
        <v>44</v>
      </c>
      <c r="D243" s="11" t="s">
        <v>649</v>
      </c>
      <c r="E243" s="11" t="s">
        <v>24</v>
      </c>
      <c r="F243" s="11" t="s">
        <v>25</v>
      </c>
      <c r="G243" s="12">
        <v>16</v>
      </c>
      <c r="H243" s="13">
        <v>180.2</v>
      </c>
      <c r="I243" s="14">
        <f>vendas2026[[#This Row],[Qtde]]*vendas2026[[#This Row],[VlrUnitário]]</f>
        <v>2883.2</v>
      </c>
      <c r="J243" s="390">
        <f>(vendas2026[[#This Row],[VlrTotal]]*0.2)+vendas2026[[#This Row],[VlrTotal]]</f>
        <v>3459.8399999999997</v>
      </c>
      <c r="K243" s="392">
        <v>7.0000000000000007E-2</v>
      </c>
      <c r="L243" s="15">
        <f>vendas2026[[#This Row],[%Comissão]]*0.25</f>
        <v>1.7500000000000002E-2</v>
      </c>
      <c r="M243" s="14" t="s">
        <v>26</v>
      </c>
      <c r="N243" s="23">
        <f>vendas2026[[#This Row],[VlrTotal]]*vendas2026[[#This Row],[%Comissão]]</f>
        <v>201.82400000000001</v>
      </c>
      <c r="O243" s="14">
        <f>vendas2026[[#This Row],[VlrTotal]]*vendas2026[[#This Row],[%ComissãoSupervisor]]</f>
        <v>50.456000000000003</v>
      </c>
      <c r="P243" s="11" t="s">
        <v>36</v>
      </c>
      <c r="Q243" s="11" t="s">
        <v>37</v>
      </c>
      <c r="R243" s="11"/>
      <c r="S243" s="11">
        <v>3</v>
      </c>
      <c r="T243" s="380"/>
      <c r="U243" s="11" t="s">
        <v>38</v>
      </c>
      <c r="V243" s="16" t="s">
        <v>44</v>
      </c>
    </row>
    <row r="244" spans="1:22" hidden="1" x14ac:dyDescent="0.3">
      <c r="A244" s="10">
        <v>46223</v>
      </c>
      <c r="B244" s="11">
        <v>146831</v>
      </c>
      <c r="C244" s="11" t="s">
        <v>22</v>
      </c>
      <c r="D244" s="11" t="s">
        <v>6562</v>
      </c>
      <c r="E244" s="11" t="s">
        <v>69</v>
      </c>
      <c r="F244" s="11" t="s">
        <v>41</v>
      </c>
      <c r="G244" s="12">
        <v>1</v>
      </c>
      <c r="H244" s="13">
        <v>12000</v>
      </c>
      <c r="I244" s="14">
        <f>vendas2026[[#This Row],[Qtde]]*vendas2026[[#This Row],[VlrUnitário]]</f>
        <v>12000</v>
      </c>
      <c r="J244" s="390">
        <f>vendas2026[[#This Row],[VlrTotal]]</f>
        <v>12000</v>
      </c>
      <c r="K244" s="392">
        <v>7.0000000000000007E-2</v>
      </c>
      <c r="L244" s="15">
        <v>0</v>
      </c>
      <c r="M244" s="14" t="s">
        <v>26</v>
      </c>
      <c r="N244" s="23">
        <f>vendas2026[[#This Row],[VlrTotal]]*vendas2026[[#This Row],[%Comissão]]</f>
        <v>840.00000000000011</v>
      </c>
      <c r="O244" s="14">
        <f>vendas2026[[#This Row],[VlrTotal]]*vendas2026[[#This Row],[%ComissãoSupervisor]]</f>
        <v>0</v>
      </c>
      <c r="P244" s="11" t="s">
        <v>27</v>
      </c>
      <c r="Q244" s="11" t="s">
        <v>27</v>
      </c>
      <c r="R244" s="11"/>
      <c r="S244" s="11">
        <v>6</v>
      </c>
      <c r="T244" s="380">
        <v>46223</v>
      </c>
      <c r="U244" s="11" t="s">
        <v>28</v>
      </c>
      <c r="V244" s="16" t="s">
        <v>22</v>
      </c>
    </row>
    <row r="245" spans="1:22" hidden="1" x14ac:dyDescent="0.3">
      <c r="A245" s="10">
        <v>46223</v>
      </c>
      <c r="B245" s="11">
        <v>146831</v>
      </c>
      <c r="C245" s="11" t="s">
        <v>22</v>
      </c>
      <c r="D245" s="11" t="s">
        <v>6562</v>
      </c>
      <c r="E245" s="11" t="s">
        <v>69</v>
      </c>
      <c r="F245" s="11" t="s">
        <v>30</v>
      </c>
      <c r="G245" s="12">
        <v>1</v>
      </c>
      <c r="H245" s="13">
        <v>1700</v>
      </c>
      <c r="I245" s="14">
        <f>vendas2026[[#This Row],[Qtde]]*vendas2026[[#This Row],[VlrUnitário]]</f>
        <v>1700</v>
      </c>
      <c r="J245" s="390">
        <f>vendas2026[[#This Row],[VlrTotal]]</f>
        <v>1700</v>
      </c>
      <c r="K245" s="392">
        <v>1</v>
      </c>
      <c r="L245" s="15">
        <v>0</v>
      </c>
      <c r="M245" s="14" t="s">
        <v>26</v>
      </c>
      <c r="N245" s="23">
        <f>vendas2026[[#This Row],[VlrTotal]]*vendas2026[[#This Row],[%Comissão]]</f>
        <v>1700</v>
      </c>
      <c r="O245" s="14">
        <f>vendas2026[[#This Row],[VlrTotal]]*vendas2026[[#This Row],[%ComissãoSupervisor]]</f>
        <v>0</v>
      </c>
      <c r="P245" s="11" t="s">
        <v>27</v>
      </c>
      <c r="Q245" s="11" t="s">
        <v>27</v>
      </c>
      <c r="R245" s="11"/>
      <c r="S245" s="11">
        <v>1</v>
      </c>
      <c r="T245" s="380">
        <v>46223</v>
      </c>
      <c r="U245" s="11" t="s">
        <v>28</v>
      </c>
      <c r="V245" s="16" t="s">
        <v>22</v>
      </c>
    </row>
    <row r="246" spans="1:22" hidden="1" x14ac:dyDescent="0.3">
      <c r="A246" s="10">
        <v>46223</v>
      </c>
      <c r="B246" s="11">
        <v>146558</v>
      </c>
      <c r="C246" s="11" t="s">
        <v>22</v>
      </c>
      <c r="D246" s="11" t="s">
        <v>6563</v>
      </c>
      <c r="E246" s="11" t="s">
        <v>24</v>
      </c>
      <c r="F246" s="11" t="s">
        <v>25</v>
      </c>
      <c r="G246" s="12">
        <v>4</v>
      </c>
      <c r="H246" s="13">
        <v>170</v>
      </c>
      <c r="I246" s="14">
        <f>vendas2026[[#This Row],[Qtde]]*vendas2026[[#This Row],[VlrUnitário]]</f>
        <v>680</v>
      </c>
      <c r="J246" s="390">
        <f>vendas2026[[#This Row],[VlrTotal]]</f>
        <v>680</v>
      </c>
      <c r="K246" s="392">
        <v>7.0000000000000007E-2</v>
      </c>
      <c r="L246" s="15">
        <v>0</v>
      </c>
      <c r="M246" s="14" t="s">
        <v>26</v>
      </c>
      <c r="N246" s="23">
        <f>vendas2026[[#This Row],[VlrTotal]]*vendas2026[[#This Row],[%Comissão]]</f>
        <v>47.6</v>
      </c>
      <c r="O246" s="14">
        <f>vendas2026[[#This Row],[VlrTotal]]*vendas2026[[#This Row],[%ComissãoSupervisor]]</f>
        <v>0</v>
      </c>
      <c r="P246" s="11" t="s">
        <v>36</v>
      </c>
      <c r="Q246" s="11" t="s">
        <v>37</v>
      </c>
      <c r="R246" s="11"/>
      <c r="S246" s="11">
        <v>2</v>
      </c>
      <c r="T246" s="380"/>
      <c r="U246" s="11" t="s">
        <v>38</v>
      </c>
      <c r="V246" s="16" t="s">
        <v>22</v>
      </c>
    </row>
    <row r="247" spans="1:22" hidden="1" x14ac:dyDescent="0.3">
      <c r="A247" s="10">
        <v>46240</v>
      </c>
      <c r="B247" s="11">
        <v>147158</v>
      </c>
      <c r="C247" s="11" t="s">
        <v>31</v>
      </c>
      <c r="D247" s="11" t="s">
        <v>6564</v>
      </c>
      <c r="E247" s="11" t="s">
        <v>63</v>
      </c>
      <c r="F247" s="11" t="s">
        <v>30</v>
      </c>
      <c r="G247" s="12">
        <v>1</v>
      </c>
      <c r="H247" s="13">
        <v>10143</v>
      </c>
      <c r="I247" s="14">
        <f>vendas2026[[#This Row],[Qtde]]*vendas2026[[#This Row],[VlrUnitário]]</f>
        <v>10143</v>
      </c>
      <c r="J247" s="390">
        <f>vendas2026[[#This Row],[VlrTotal]]</f>
        <v>10143</v>
      </c>
      <c r="K247" s="392">
        <v>1</v>
      </c>
      <c r="L247" s="15">
        <f>vendas2026[[#This Row],[%Comissão]]*0.25</f>
        <v>0.25</v>
      </c>
      <c r="M247" s="14" t="s">
        <v>46</v>
      </c>
      <c r="N247" s="23">
        <f>vendas2026[[#This Row],[VlrTotal]]*vendas2026[[#This Row],[%Comissão]]</f>
        <v>10143</v>
      </c>
      <c r="O247" s="14">
        <f>vendas2026[[#This Row],[VlrTotal]]*vendas2026[[#This Row],[%ComissãoSupervisor]]</f>
        <v>2535.75</v>
      </c>
      <c r="P247" s="11" t="s">
        <v>27</v>
      </c>
      <c r="Q247" s="11" t="s">
        <v>27</v>
      </c>
      <c r="R247" s="11"/>
      <c r="S247" s="11">
        <v>1</v>
      </c>
      <c r="T247" s="380"/>
      <c r="U247" s="11" t="s">
        <v>147</v>
      </c>
      <c r="V247" s="16" t="s">
        <v>31</v>
      </c>
    </row>
    <row r="248" spans="1:22" hidden="1" x14ac:dyDescent="0.3">
      <c r="A248" s="10">
        <v>46240</v>
      </c>
      <c r="B248" s="11">
        <v>143255</v>
      </c>
      <c r="C248" s="11" t="s">
        <v>44</v>
      </c>
      <c r="D248" s="11" t="s">
        <v>137</v>
      </c>
      <c r="E248" s="11" t="s">
        <v>56</v>
      </c>
      <c r="F248" s="11" t="s">
        <v>30</v>
      </c>
      <c r="G248" s="12">
        <v>1</v>
      </c>
      <c r="H248" s="13">
        <v>250</v>
      </c>
      <c r="I248" s="14">
        <f>vendas2026[[#This Row],[Qtde]]*vendas2026[[#This Row],[VlrUnitário]]</f>
        <v>250</v>
      </c>
      <c r="J248" s="390">
        <f>(vendas2026[[#This Row],[VlrTotal]]*0.2)+vendas2026[[#This Row],[VlrTotal]]</f>
        <v>300</v>
      </c>
      <c r="K248" s="392">
        <v>1</v>
      </c>
      <c r="L248" s="15">
        <f>vendas2026[[#This Row],[%Comissão]]*0.25</f>
        <v>0.25</v>
      </c>
      <c r="M248" s="14" t="s">
        <v>26</v>
      </c>
      <c r="N248" s="23">
        <f>vendas2026[[#This Row],[VlrTotal]]*vendas2026[[#This Row],[%Comissão]]</f>
        <v>250</v>
      </c>
      <c r="O248" s="14">
        <f>vendas2026[[#This Row],[VlrTotal]]*vendas2026[[#This Row],[%ComissãoSupervisor]]</f>
        <v>62.5</v>
      </c>
      <c r="P248" s="11" t="s">
        <v>27</v>
      </c>
      <c r="Q248" s="11" t="s">
        <v>27</v>
      </c>
      <c r="R248" s="11"/>
      <c r="S248" s="11">
        <v>1</v>
      </c>
      <c r="T248" s="380"/>
      <c r="U248" s="11" t="s">
        <v>28</v>
      </c>
      <c r="V248" s="16" t="s">
        <v>44</v>
      </c>
    </row>
    <row r="249" spans="1:22" hidden="1" x14ac:dyDescent="0.3">
      <c r="A249" s="10">
        <v>46240</v>
      </c>
      <c r="B249" s="11">
        <v>118061</v>
      </c>
      <c r="C249" s="11" t="s">
        <v>44</v>
      </c>
      <c r="D249" s="11" t="s">
        <v>140</v>
      </c>
      <c r="E249" s="11" t="s">
        <v>24</v>
      </c>
      <c r="F249" s="11" t="s">
        <v>25</v>
      </c>
      <c r="G249" s="12">
        <v>278</v>
      </c>
      <c r="H249" s="13">
        <v>180.04</v>
      </c>
      <c r="I249" s="14">
        <f>vendas2026[[#This Row],[Qtde]]*vendas2026[[#This Row],[VlrUnitário]]</f>
        <v>50051.119999999995</v>
      </c>
      <c r="J249" s="390">
        <f>vendas2026[[#This Row],[VlrTotal]]</f>
        <v>50051.119999999995</v>
      </c>
      <c r="K249" s="392">
        <v>7.0000000000000007E-2</v>
      </c>
      <c r="L249" s="15">
        <f>vendas2026[[#This Row],[%Comissão]]*0.25</f>
        <v>1.7500000000000002E-2</v>
      </c>
      <c r="M249" s="14" t="s">
        <v>46</v>
      </c>
      <c r="N249" s="23">
        <f>vendas2026[[#This Row],[VlrTotal]]*vendas2026[[#This Row],[%Comissão]]</f>
        <v>3503.5783999999999</v>
      </c>
      <c r="O249" s="14">
        <f>vendas2026[[#This Row],[VlrTotal]]*vendas2026[[#This Row],[%ComissãoSupervisor]]</f>
        <v>875.89459999999997</v>
      </c>
      <c r="P249" s="11" t="s">
        <v>36</v>
      </c>
      <c r="Q249" s="11" t="s">
        <v>37</v>
      </c>
      <c r="R249" s="11"/>
      <c r="S249" s="11">
        <v>1</v>
      </c>
      <c r="T249" s="380"/>
      <c r="U249" s="11" t="s">
        <v>38</v>
      </c>
      <c r="V249" s="16" t="s">
        <v>44</v>
      </c>
    </row>
    <row r="250" spans="1:22" hidden="1" x14ac:dyDescent="0.3">
      <c r="A250" s="10">
        <v>46240</v>
      </c>
      <c r="B250" s="11">
        <v>147022</v>
      </c>
      <c r="C250" s="11" t="s">
        <v>44</v>
      </c>
      <c r="D250" s="11" t="s">
        <v>140</v>
      </c>
      <c r="E250" s="11" t="s">
        <v>54</v>
      </c>
      <c r="F250" s="11" t="s">
        <v>30</v>
      </c>
      <c r="G250" s="12">
        <v>1</v>
      </c>
      <c r="H250" s="13">
        <v>148</v>
      </c>
      <c r="I250" s="14">
        <f>vendas2026[[#This Row],[Qtde]]*vendas2026[[#This Row],[VlrUnitário]]</f>
        <v>148</v>
      </c>
      <c r="J250" s="390">
        <f>vendas2026[[#This Row],[VlrTotal]]</f>
        <v>148</v>
      </c>
      <c r="K250" s="392">
        <v>1</v>
      </c>
      <c r="L250" s="15">
        <f>vendas2026[[#This Row],[%Comissão]]*0.25</f>
        <v>0.25</v>
      </c>
      <c r="M250" s="14" t="s">
        <v>46</v>
      </c>
      <c r="N250" s="23">
        <f>vendas2026[[#This Row],[VlrTotal]]*vendas2026[[#This Row],[%Comissão]]</f>
        <v>148</v>
      </c>
      <c r="O250" s="14">
        <f>vendas2026[[#This Row],[VlrTotal]]*vendas2026[[#This Row],[%ComissãoSupervisor]]</f>
        <v>37</v>
      </c>
      <c r="P250" s="11" t="s">
        <v>27</v>
      </c>
      <c r="Q250" s="11" t="s">
        <v>27</v>
      </c>
      <c r="R250" s="11"/>
      <c r="S250" s="11">
        <v>1</v>
      </c>
      <c r="T250" s="380"/>
      <c r="U250" s="11" t="s">
        <v>28</v>
      </c>
      <c r="V250" s="16" t="s">
        <v>44</v>
      </c>
    </row>
    <row r="251" spans="1:22" hidden="1" x14ac:dyDescent="0.3">
      <c r="A251" s="10">
        <v>46240</v>
      </c>
      <c r="B251" s="11">
        <v>120505</v>
      </c>
      <c r="C251" s="11" t="s">
        <v>44</v>
      </c>
      <c r="D251" s="11" t="s">
        <v>627</v>
      </c>
      <c r="E251" s="11" t="s">
        <v>24</v>
      </c>
      <c r="F251" s="11" t="s">
        <v>25</v>
      </c>
      <c r="G251" s="12">
        <v>212</v>
      </c>
      <c r="H251" s="13">
        <v>171.72</v>
      </c>
      <c r="I251" s="14">
        <f>vendas2026[[#This Row],[Qtde]]*vendas2026[[#This Row],[VlrUnitário]]</f>
        <v>36404.639999999999</v>
      </c>
      <c r="J251" s="390">
        <f>vendas2026[[#This Row],[VlrTotal]]</f>
        <v>36404.639999999999</v>
      </c>
      <c r="K251" s="392">
        <v>7.0000000000000007E-2</v>
      </c>
      <c r="L251" s="15">
        <f>vendas2026[[#This Row],[%Comissão]]*0.25</f>
        <v>1.7500000000000002E-2</v>
      </c>
      <c r="M251" s="14" t="s">
        <v>46</v>
      </c>
      <c r="N251" s="23">
        <f>vendas2026[[#This Row],[VlrTotal]]*vendas2026[[#This Row],[%Comissão]]</f>
        <v>2548.3248000000003</v>
      </c>
      <c r="O251" s="14">
        <f>vendas2026[[#This Row],[VlrTotal]]*vendas2026[[#This Row],[%ComissãoSupervisor]]</f>
        <v>637.08120000000008</v>
      </c>
      <c r="P251" s="11" t="s">
        <v>36</v>
      </c>
      <c r="Q251" s="11" t="s">
        <v>37</v>
      </c>
      <c r="R251" s="11"/>
      <c r="S251" s="11">
        <v>12</v>
      </c>
      <c r="T251" s="380"/>
      <c r="U251" s="11" t="s">
        <v>38</v>
      </c>
      <c r="V251" s="16" t="s">
        <v>44</v>
      </c>
    </row>
    <row r="252" spans="1:22" x14ac:dyDescent="0.3">
      <c r="A252" s="10">
        <v>46245</v>
      </c>
      <c r="B252" s="11">
        <v>130175</v>
      </c>
      <c r="C252" s="11" t="s">
        <v>31</v>
      </c>
      <c r="D252" s="11" t="s">
        <v>141</v>
      </c>
      <c r="E252" s="11" t="s">
        <v>24</v>
      </c>
      <c r="F252" s="11" t="s">
        <v>25</v>
      </c>
      <c r="G252" s="12">
        <v>5</v>
      </c>
      <c r="H252" s="13">
        <v>180</v>
      </c>
      <c r="I252" s="14">
        <f>vendas2026[[#This Row],[Qtde]]*vendas2026[[#This Row],[VlrUnitário]]</f>
        <v>900</v>
      </c>
      <c r="J252" s="390">
        <f>vendas2026[[#This Row],[VlrTotal]]</f>
        <v>900</v>
      </c>
      <c r="K252" s="392">
        <v>7.0000000000000007E-2</v>
      </c>
      <c r="L252" s="15">
        <f>vendas2026[[#This Row],[%Comissão]]*0.25</f>
        <v>1.7500000000000002E-2</v>
      </c>
      <c r="M252" s="14" t="s">
        <v>26</v>
      </c>
      <c r="N252" s="23">
        <f>vendas2026[[#This Row],[VlrTotal]]*vendas2026[[#This Row],[%Comissão]]</f>
        <v>63.000000000000007</v>
      </c>
      <c r="O252" s="14">
        <f>vendas2026[[#This Row],[VlrTotal]]*vendas2026[[#This Row],[%ComissãoSupervisor]]</f>
        <v>15.750000000000002</v>
      </c>
      <c r="P252" s="11" t="s">
        <v>36</v>
      </c>
      <c r="Q252" s="11" t="s">
        <v>37</v>
      </c>
      <c r="R252" s="11"/>
      <c r="S252" s="11">
        <v>1</v>
      </c>
      <c r="T252" s="380"/>
      <c r="U252" s="11" t="s">
        <v>38</v>
      </c>
      <c r="V252" s="16" t="s">
        <v>31</v>
      </c>
    </row>
    <row r="253" spans="1:22" x14ac:dyDescent="0.3">
      <c r="A253" s="10">
        <v>46245</v>
      </c>
      <c r="B253" s="11">
        <v>147239</v>
      </c>
      <c r="C253" s="11" t="s">
        <v>31</v>
      </c>
      <c r="D253" s="11" t="s">
        <v>136</v>
      </c>
      <c r="E253" s="11" t="s">
        <v>24</v>
      </c>
      <c r="F253" s="11" t="s">
        <v>25</v>
      </c>
      <c r="G253" s="12">
        <v>20</v>
      </c>
      <c r="H253" s="13">
        <v>210</v>
      </c>
      <c r="I253" s="14">
        <f>vendas2026[[#This Row],[Qtde]]*vendas2026[[#This Row],[VlrUnitário]]</f>
        <v>4200</v>
      </c>
      <c r="J253" s="390">
        <f>(vendas2026[[#This Row],[VlrTotal]]*0.2)+vendas2026[[#This Row],[VlrTotal]]</f>
        <v>5040</v>
      </c>
      <c r="K253" s="392">
        <v>7.0000000000000007E-2</v>
      </c>
      <c r="L253" s="15">
        <f>vendas2026[[#This Row],[%Comissão]]*0.25</f>
        <v>1.7500000000000002E-2</v>
      </c>
      <c r="M253" s="14" t="s">
        <v>26</v>
      </c>
      <c r="N253" s="23">
        <f>vendas2026[[#This Row],[VlrTotal]]*vendas2026[[#This Row],[%Comissão]]</f>
        <v>294</v>
      </c>
      <c r="O253" s="14">
        <f>vendas2026[[#This Row],[VlrTotal]]*vendas2026[[#This Row],[%ComissãoSupervisor]]</f>
        <v>73.5</v>
      </c>
      <c r="P253" s="11" t="s">
        <v>36</v>
      </c>
      <c r="Q253" s="11" t="s">
        <v>37</v>
      </c>
      <c r="R253" s="11"/>
      <c r="S253" s="11">
        <v>3</v>
      </c>
      <c r="T253" s="380"/>
      <c r="U253" s="11" t="s">
        <v>38</v>
      </c>
      <c r="V253" s="16" t="s">
        <v>31</v>
      </c>
    </row>
    <row r="254" spans="1:22" x14ac:dyDescent="0.3">
      <c r="A254" s="10">
        <v>46245</v>
      </c>
      <c r="B254" s="11">
        <v>140964</v>
      </c>
      <c r="C254" s="11" t="s">
        <v>31</v>
      </c>
      <c r="D254" s="11" t="s">
        <v>120</v>
      </c>
      <c r="E254" s="11" t="s">
        <v>24</v>
      </c>
      <c r="F254" s="11" t="s">
        <v>25</v>
      </c>
      <c r="G254" s="12">
        <v>2</v>
      </c>
      <c r="H254" s="13">
        <v>210</v>
      </c>
      <c r="I254" s="14">
        <f>vendas2026[[#This Row],[Qtde]]*vendas2026[[#This Row],[VlrUnitário]]</f>
        <v>420</v>
      </c>
      <c r="J254" s="390">
        <f>(vendas2026[[#This Row],[VlrTotal]]*0.2)+vendas2026[[#This Row],[VlrTotal]]</f>
        <v>504</v>
      </c>
      <c r="K254" s="392">
        <v>7.0000000000000007E-2</v>
      </c>
      <c r="L254" s="15">
        <f>vendas2026[[#This Row],[%Comissão]]*0.25</f>
        <v>1.7500000000000002E-2</v>
      </c>
      <c r="M254" s="14" t="s">
        <v>26</v>
      </c>
      <c r="N254" s="23">
        <f>vendas2026[[#This Row],[VlrTotal]]*vendas2026[[#This Row],[%Comissão]]</f>
        <v>29.400000000000002</v>
      </c>
      <c r="O254" s="14">
        <f>vendas2026[[#This Row],[VlrTotal]]*vendas2026[[#This Row],[%ComissãoSupervisor]]</f>
        <v>7.3500000000000005</v>
      </c>
      <c r="P254" s="11" t="s">
        <v>36</v>
      </c>
      <c r="Q254" s="11" t="s">
        <v>37</v>
      </c>
      <c r="R254" s="11"/>
      <c r="S254" s="11">
        <v>1</v>
      </c>
      <c r="T254" s="380"/>
      <c r="U254" s="11" t="s">
        <v>38</v>
      </c>
      <c r="V254" s="16" t="s">
        <v>31</v>
      </c>
    </row>
    <row r="255" spans="1:22" x14ac:dyDescent="0.3">
      <c r="A255" s="10">
        <v>46245</v>
      </c>
      <c r="B255" s="11">
        <v>144636</v>
      </c>
      <c r="C255" s="11" t="s">
        <v>31</v>
      </c>
      <c r="D255" s="11" t="s">
        <v>146</v>
      </c>
      <c r="E255" s="11" t="s">
        <v>35</v>
      </c>
      <c r="F255" s="11" t="s">
        <v>35</v>
      </c>
      <c r="G255" s="12">
        <v>24</v>
      </c>
      <c r="H255" s="13">
        <v>176</v>
      </c>
      <c r="I255" s="14">
        <f>vendas2026[[#This Row],[Qtde]]*vendas2026[[#This Row],[VlrUnitário]]</f>
        <v>4224</v>
      </c>
      <c r="J255" s="390">
        <f>vendas2026[[#This Row],[VlrTotal]]</f>
        <v>4224</v>
      </c>
      <c r="K255" s="392">
        <v>0.01</v>
      </c>
      <c r="L255" s="15">
        <f>vendas2026[[#This Row],[%Comissão]]*0.25</f>
        <v>2.5000000000000001E-3</v>
      </c>
      <c r="M255" s="14" t="s">
        <v>26</v>
      </c>
      <c r="N255" s="23">
        <f>vendas2026[[#This Row],[VlrTotal]]*vendas2026[[#This Row],[%Comissão]]</f>
        <v>42.24</v>
      </c>
      <c r="O255" s="14">
        <f>vendas2026[[#This Row],[VlrTotal]]*vendas2026[[#This Row],[%ComissãoSupervisor]]</f>
        <v>10.56</v>
      </c>
      <c r="P255" s="11" t="s">
        <v>36</v>
      </c>
      <c r="Q255" s="11" t="s">
        <v>37</v>
      </c>
      <c r="R255" s="11"/>
      <c r="S255" s="11">
        <v>3</v>
      </c>
      <c r="T255" s="380"/>
      <c r="U255" s="11" t="s">
        <v>38</v>
      </c>
      <c r="V255" s="16" t="s">
        <v>31</v>
      </c>
    </row>
    <row r="256" spans="1:22" x14ac:dyDescent="0.3">
      <c r="A256" s="10">
        <v>46245</v>
      </c>
      <c r="B256" s="11">
        <v>146572</v>
      </c>
      <c r="C256" s="11" t="s">
        <v>31</v>
      </c>
      <c r="D256" s="11" t="s">
        <v>610</v>
      </c>
      <c r="E256" s="11" t="s">
        <v>35</v>
      </c>
      <c r="F256" s="11" t="s">
        <v>35</v>
      </c>
      <c r="G256" s="12">
        <v>32</v>
      </c>
      <c r="H256" s="13">
        <v>176</v>
      </c>
      <c r="I256" s="14">
        <f>vendas2026[[#This Row],[Qtde]]*vendas2026[[#This Row],[VlrUnitário]]</f>
        <v>5632</v>
      </c>
      <c r="J256" s="390">
        <f>vendas2026[[#This Row],[VlrTotal]]</f>
        <v>5632</v>
      </c>
      <c r="K256" s="392">
        <v>0.01</v>
      </c>
      <c r="L256" s="15">
        <f>vendas2026[[#This Row],[%Comissão]]*0.25</f>
        <v>2.5000000000000001E-3</v>
      </c>
      <c r="M256" s="14" t="s">
        <v>26</v>
      </c>
      <c r="N256" s="23">
        <f>vendas2026[[#This Row],[VlrTotal]]*vendas2026[[#This Row],[%Comissão]]</f>
        <v>56.32</v>
      </c>
      <c r="O256" s="14">
        <f>vendas2026[[#This Row],[VlrTotal]]*vendas2026[[#This Row],[%ComissãoSupervisor]]</f>
        <v>14.08</v>
      </c>
      <c r="P256" s="11" t="s">
        <v>36</v>
      </c>
      <c r="Q256" s="11" t="s">
        <v>37</v>
      </c>
      <c r="R256" s="11"/>
      <c r="S256" s="11">
        <v>3</v>
      </c>
      <c r="T256" s="380"/>
      <c r="U256" s="11" t="s">
        <v>38</v>
      </c>
      <c r="V256" s="16" t="s">
        <v>31</v>
      </c>
    </row>
    <row r="257" spans="1:22" hidden="1" x14ac:dyDescent="0.3">
      <c r="A257" s="10">
        <v>46246</v>
      </c>
      <c r="B257" s="11">
        <v>145552</v>
      </c>
      <c r="C257" s="11" t="s">
        <v>22</v>
      </c>
      <c r="D257" s="11" t="s">
        <v>6561</v>
      </c>
      <c r="E257" s="11" t="s">
        <v>102</v>
      </c>
      <c r="F257" s="11" t="s">
        <v>41</v>
      </c>
      <c r="G257" s="12">
        <v>1</v>
      </c>
      <c r="H257" s="13">
        <v>1600</v>
      </c>
      <c r="I257" s="14">
        <f>vendas2026[[#This Row],[Qtde]]*vendas2026[[#This Row],[VlrUnitário]]</f>
        <v>1600</v>
      </c>
      <c r="J257" s="390">
        <f>vendas2026[[#This Row],[VlrTotal]]</f>
        <v>1600</v>
      </c>
      <c r="K257" s="392">
        <v>0.25</v>
      </c>
      <c r="L257" s="15">
        <v>0</v>
      </c>
      <c r="M257" s="14" t="s">
        <v>46</v>
      </c>
      <c r="N257" s="23">
        <f>vendas2026[[#This Row],[VlrTotal]]*vendas2026[[#This Row],[%Comissão]]</f>
        <v>400</v>
      </c>
      <c r="O257" s="14">
        <f>vendas2026[[#This Row],[VlrTotal]]*vendas2026[[#This Row],[%ComissãoSupervisor]]</f>
        <v>0</v>
      </c>
      <c r="P257" s="11" t="s">
        <v>27</v>
      </c>
      <c r="Q257" s="11" t="s">
        <v>27</v>
      </c>
      <c r="R257" s="11"/>
      <c r="S257" s="11">
        <v>10</v>
      </c>
      <c r="T257" s="380"/>
      <c r="U257" s="11" t="s">
        <v>147</v>
      </c>
      <c r="V257" s="16" t="s">
        <v>22</v>
      </c>
    </row>
    <row r="258" spans="1:22" hidden="1" x14ac:dyDescent="0.3">
      <c r="A258" s="10">
        <v>46246</v>
      </c>
      <c r="B258" s="11">
        <v>145552</v>
      </c>
      <c r="C258" s="11" t="s">
        <v>22</v>
      </c>
      <c r="D258" s="11" t="s">
        <v>6561</v>
      </c>
      <c r="E258" s="11" t="s">
        <v>102</v>
      </c>
      <c r="F258" s="11" t="s">
        <v>30</v>
      </c>
      <c r="G258" s="12">
        <v>1</v>
      </c>
      <c r="H258" s="13">
        <v>3145.54</v>
      </c>
      <c r="I258" s="14">
        <f>vendas2026[[#This Row],[Qtde]]*vendas2026[[#This Row],[VlrUnitário]]</f>
        <v>3145.54</v>
      </c>
      <c r="J258" s="390">
        <f>vendas2026[[#This Row],[VlrTotal]]</f>
        <v>3145.54</v>
      </c>
      <c r="K258" s="392">
        <v>1</v>
      </c>
      <c r="L258" s="15">
        <v>0</v>
      </c>
      <c r="M258" s="14" t="s">
        <v>46</v>
      </c>
      <c r="N258" s="23">
        <f>vendas2026[[#This Row],[VlrTotal]]*vendas2026[[#This Row],[%Comissão]]</f>
        <v>3145.54</v>
      </c>
      <c r="O258" s="14">
        <f>vendas2026[[#This Row],[VlrTotal]]*vendas2026[[#This Row],[%ComissãoSupervisor]]</f>
        <v>0</v>
      </c>
      <c r="P258" s="11" t="s">
        <v>27</v>
      </c>
      <c r="Q258" s="11" t="s">
        <v>27</v>
      </c>
      <c r="R258" s="11"/>
      <c r="S258" s="11">
        <v>1</v>
      </c>
      <c r="T258" s="380"/>
      <c r="U258" s="11" t="s">
        <v>147</v>
      </c>
      <c r="V258" s="16" t="s">
        <v>22</v>
      </c>
    </row>
    <row r="259" spans="1:22" hidden="1" x14ac:dyDescent="0.3">
      <c r="A259" s="10">
        <v>46246</v>
      </c>
      <c r="B259" s="11">
        <v>145552</v>
      </c>
      <c r="C259" s="11" t="s">
        <v>22</v>
      </c>
      <c r="D259" s="11" t="s">
        <v>6561</v>
      </c>
      <c r="E259" s="11" t="s">
        <v>63</v>
      </c>
      <c r="F259" s="11" t="s">
        <v>41</v>
      </c>
      <c r="G259" s="12">
        <v>1</v>
      </c>
      <c r="H259" s="13">
        <v>6900</v>
      </c>
      <c r="I259" s="14">
        <f>vendas2026[[#This Row],[Qtde]]*vendas2026[[#This Row],[VlrUnitário]]</f>
        <v>6900</v>
      </c>
      <c r="J259" s="390">
        <f>vendas2026[[#This Row],[VlrTotal]]</f>
        <v>6900</v>
      </c>
      <c r="K259" s="392">
        <v>0.25</v>
      </c>
      <c r="L259" s="15">
        <v>0</v>
      </c>
      <c r="M259" s="14" t="s">
        <v>46</v>
      </c>
      <c r="N259" s="23">
        <f>vendas2026[[#This Row],[VlrTotal]]*vendas2026[[#This Row],[%Comissão]]</f>
        <v>1725</v>
      </c>
      <c r="O259" s="14">
        <f>vendas2026[[#This Row],[VlrTotal]]*vendas2026[[#This Row],[%ComissãoSupervisor]]</f>
        <v>0</v>
      </c>
      <c r="P259" s="11" t="s">
        <v>27</v>
      </c>
      <c r="Q259" s="11" t="s">
        <v>27</v>
      </c>
      <c r="R259" s="11"/>
      <c r="S259" s="11">
        <v>10</v>
      </c>
      <c r="T259" s="380"/>
      <c r="U259" s="11" t="s">
        <v>147</v>
      </c>
      <c r="V259" s="16" t="s">
        <v>22</v>
      </c>
    </row>
    <row r="260" spans="1:22" hidden="1" x14ac:dyDescent="0.3">
      <c r="A260" s="10">
        <v>46246</v>
      </c>
      <c r="B260" s="11">
        <v>145552</v>
      </c>
      <c r="C260" s="11" t="s">
        <v>22</v>
      </c>
      <c r="D260" s="11" t="s">
        <v>6561</v>
      </c>
      <c r="E260" s="11" t="s">
        <v>63</v>
      </c>
      <c r="F260" s="11" t="s">
        <v>25</v>
      </c>
      <c r="G260" s="12">
        <v>24</v>
      </c>
      <c r="H260" s="13">
        <v>180</v>
      </c>
      <c r="I260" s="14">
        <f>vendas2026[[#This Row],[Qtde]]*vendas2026[[#This Row],[VlrUnitário]]</f>
        <v>4320</v>
      </c>
      <c r="J260" s="390">
        <f>vendas2026[[#This Row],[VlrTotal]]</f>
        <v>4320</v>
      </c>
      <c r="K260" s="392">
        <v>7.0000000000000007E-2</v>
      </c>
      <c r="L260" s="15">
        <v>0</v>
      </c>
      <c r="M260" s="14" t="s">
        <v>46</v>
      </c>
      <c r="N260" s="23">
        <f>vendas2026[[#This Row],[VlrTotal]]*vendas2026[[#This Row],[%Comissão]]</f>
        <v>302.40000000000003</v>
      </c>
      <c r="O260" s="14">
        <f>vendas2026[[#This Row],[VlrTotal]]*vendas2026[[#This Row],[%ComissãoSupervisor]]</f>
        <v>0</v>
      </c>
      <c r="P260" s="11" t="s">
        <v>27</v>
      </c>
      <c r="Q260" s="11" t="s">
        <v>27</v>
      </c>
      <c r="R260" s="11"/>
      <c r="S260" s="11">
        <v>10</v>
      </c>
      <c r="T260" s="380"/>
      <c r="U260" s="11" t="s">
        <v>147</v>
      </c>
      <c r="V260" s="16" t="s">
        <v>22</v>
      </c>
    </row>
    <row r="261" spans="1:22" hidden="1" x14ac:dyDescent="0.3">
      <c r="A261" s="10">
        <v>46246</v>
      </c>
      <c r="B261" s="11">
        <v>145552</v>
      </c>
      <c r="C261" s="393" t="s">
        <v>22</v>
      </c>
      <c r="D261" s="11" t="s">
        <v>6561</v>
      </c>
      <c r="E261" s="11" t="s">
        <v>63</v>
      </c>
      <c r="F261" s="11" t="s">
        <v>30</v>
      </c>
      <c r="G261" s="12">
        <v>15</v>
      </c>
      <c r="H261" s="13">
        <v>115</v>
      </c>
      <c r="I261" s="14">
        <f>vendas2026[[#This Row],[Qtde]]*vendas2026[[#This Row],[VlrUnitário]]</f>
        <v>1725</v>
      </c>
      <c r="J261" s="390">
        <f>vendas2026[[#This Row],[VlrTotal]]</f>
        <v>1725</v>
      </c>
      <c r="K261" s="392">
        <v>1</v>
      </c>
      <c r="L261" s="15">
        <v>0</v>
      </c>
      <c r="M261" s="14" t="s">
        <v>46</v>
      </c>
      <c r="N261" s="23">
        <f>vendas2026[[#This Row],[VlrTotal]]*vendas2026[[#This Row],[%Comissão]]</f>
        <v>1725</v>
      </c>
      <c r="O261" s="14">
        <f>vendas2026[[#This Row],[VlrTotal]]*vendas2026[[#This Row],[%ComissãoSupervisor]]</f>
        <v>0</v>
      </c>
      <c r="P261" s="11" t="s">
        <v>27</v>
      </c>
      <c r="Q261" s="11" t="s">
        <v>27</v>
      </c>
      <c r="R261" s="11"/>
      <c r="S261" s="11">
        <v>1</v>
      </c>
      <c r="T261" s="380"/>
      <c r="U261" s="11" t="s">
        <v>147</v>
      </c>
      <c r="V261" s="16" t="s">
        <v>22</v>
      </c>
    </row>
    <row r="262" spans="1:22" hidden="1" x14ac:dyDescent="0.3">
      <c r="A262" s="10">
        <v>46246</v>
      </c>
      <c r="B262" s="11">
        <v>145552</v>
      </c>
      <c r="C262" s="11" t="s">
        <v>22</v>
      </c>
      <c r="D262" s="11" t="s">
        <v>6561</v>
      </c>
      <c r="E262" s="11" t="s">
        <v>47</v>
      </c>
      <c r="F262" s="11" t="s">
        <v>41</v>
      </c>
      <c r="G262" s="12">
        <v>1</v>
      </c>
      <c r="H262" s="13">
        <v>12402.9</v>
      </c>
      <c r="I262" s="14">
        <f>vendas2026[[#This Row],[Qtde]]*vendas2026[[#This Row],[VlrUnitário]]</f>
        <v>12402.9</v>
      </c>
      <c r="J262" s="390">
        <f>vendas2026[[#This Row],[VlrTotal]]</f>
        <v>12402.9</v>
      </c>
      <c r="K262" s="392">
        <v>0.25</v>
      </c>
      <c r="L262" s="15">
        <v>0</v>
      </c>
      <c r="M262" s="14" t="s">
        <v>46</v>
      </c>
      <c r="N262" s="23">
        <f>vendas2026[[#This Row],[VlrTotal]]*vendas2026[[#This Row],[%Comissão]]</f>
        <v>3100.7249999999999</v>
      </c>
      <c r="O262" s="14">
        <f>vendas2026[[#This Row],[VlrTotal]]*vendas2026[[#This Row],[%ComissãoSupervisor]]</f>
        <v>0</v>
      </c>
      <c r="P262" s="11" t="s">
        <v>27</v>
      </c>
      <c r="Q262" s="11" t="s">
        <v>27</v>
      </c>
      <c r="R262" s="11"/>
      <c r="S262" s="11">
        <v>10</v>
      </c>
      <c r="T262" s="380"/>
      <c r="U262" s="11" t="s">
        <v>147</v>
      </c>
      <c r="V262" s="16" t="s">
        <v>22</v>
      </c>
    </row>
    <row r="263" spans="1:22" hidden="1" x14ac:dyDescent="0.3">
      <c r="A263" s="10">
        <v>46246</v>
      </c>
      <c r="B263" s="11">
        <v>145552</v>
      </c>
      <c r="C263" s="11" t="s">
        <v>22</v>
      </c>
      <c r="D263" s="11" t="s">
        <v>6561</v>
      </c>
      <c r="E263" s="11" t="s">
        <v>47</v>
      </c>
      <c r="F263" s="11" t="s">
        <v>25</v>
      </c>
      <c r="G263" s="12">
        <v>410</v>
      </c>
      <c r="H263" s="13">
        <v>180</v>
      </c>
      <c r="I263" s="14">
        <f>vendas2026[[#This Row],[Qtde]]*vendas2026[[#This Row],[VlrUnitário]]</f>
        <v>73800</v>
      </c>
      <c r="J263" s="390">
        <f>vendas2026[[#This Row],[VlrTotal]]</f>
        <v>73800</v>
      </c>
      <c r="K263" s="392">
        <v>7.0000000000000007E-2</v>
      </c>
      <c r="L263" s="15">
        <v>0</v>
      </c>
      <c r="M263" s="14" t="s">
        <v>46</v>
      </c>
      <c r="N263" s="23">
        <f>vendas2026[[#This Row],[VlrTotal]]*vendas2026[[#This Row],[%Comissão]]</f>
        <v>5166.0000000000009</v>
      </c>
      <c r="O263" s="14">
        <f>vendas2026[[#This Row],[VlrTotal]]*vendas2026[[#This Row],[%ComissãoSupervisor]]</f>
        <v>0</v>
      </c>
      <c r="P263" s="11" t="s">
        <v>27</v>
      </c>
      <c r="Q263" s="11" t="s">
        <v>27</v>
      </c>
      <c r="R263" s="11"/>
      <c r="S263" s="11">
        <v>10</v>
      </c>
      <c r="T263" s="380"/>
      <c r="U263" s="11" t="s">
        <v>147</v>
      </c>
      <c r="V263" s="16" t="s">
        <v>22</v>
      </c>
    </row>
    <row r="264" spans="1:22" hidden="1" x14ac:dyDescent="0.3">
      <c r="A264" s="10">
        <v>46246</v>
      </c>
      <c r="B264" s="11">
        <v>145552</v>
      </c>
      <c r="C264" s="11" t="s">
        <v>22</v>
      </c>
      <c r="D264" s="11" t="s">
        <v>6561</v>
      </c>
      <c r="E264" s="11" t="s">
        <v>47</v>
      </c>
      <c r="F264" s="11" t="s">
        <v>30</v>
      </c>
      <c r="G264" s="12">
        <v>12</v>
      </c>
      <c r="H264" s="13">
        <v>275.62</v>
      </c>
      <c r="I264" s="14">
        <f>vendas2026[[#This Row],[Qtde]]*vendas2026[[#This Row],[VlrUnitário]]</f>
        <v>3307.44</v>
      </c>
      <c r="J264" s="390">
        <f>vendas2026[[#This Row],[VlrTotal]]</f>
        <v>3307.44</v>
      </c>
      <c r="K264" s="392">
        <v>1</v>
      </c>
      <c r="L264" s="15">
        <v>0</v>
      </c>
      <c r="M264" s="14" t="s">
        <v>46</v>
      </c>
      <c r="N264" s="23">
        <f>vendas2026[[#This Row],[VlrTotal]]*vendas2026[[#This Row],[%Comissão]]</f>
        <v>3307.44</v>
      </c>
      <c r="O264" s="14">
        <f>vendas2026[[#This Row],[VlrTotal]]*vendas2026[[#This Row],[%ComissãoSupervisor]]</f>
        <v>0</v>
      </c>
      <c r="P264" s="11" t="s">
        <v>27</v>
      </c>
      <c r="Q264" s="11" t="s">
        <v>27</v>
      </c>
      <c r="R264" s="11"/>
      <c r="S264" s="11">
        <v>1</v>
      </c>
      <c r="T264" s="380"/>
      <c r="U264" s="11" t="s">
        <v>147</v>
      </c>
      <c r="V264" s="16" t="s">
        <v>22</v>
      </c>
    </row>
    <row r="265" spans="1:22" hidden="1" x14ac:dyDescent="0.3">
      <c r="A265" s="10">
        <v>46246</v>
      </c>
      <c r="B265" s="11">
        <v>145552</v>
      </c>
      <c r="C265" s="11" t="s">
        <v>22</v>
      </c>
      <c r="D265" s="11" t="s">
        <v>6561</v>
      </c>
      <c r="E265" s="11" t="s">
        <v>54</v>
      </c>
      <c r="F265" s="11" t="s">
        <v>30</v>
      </c>
      <c r="G265" s="12">
        <v>6</v>
      </c>
      <c r="H265" s="13">
        <v>142.56</v>
      </c>
      <c r="I265" s="14">
        <f>vendas2026[[#This Row],[Qtde]]*vendas2026[[#This Row],[VlrUnitário]]</f>
        <v>855.36</v>
      </c>
      <c r="J265" s="390">
        <f>vendas2026[[#This Row],[VlrTotal]]</f>
        <v>855.36</v>
      </c>
      <c r="K265" s="392">
        <v>1</v>
      </c>
      <c r="L265" s="15">
        <v>0</v>
      </c>
      <c r="M265" s="14" t="s">
        <v>46</v>
      </c>
      <c r="N265" s="23">
        <f>vendas2026[[#This Row],[VlrTotal]]*vendas2026[[#This Row],[%Comissão]]</f>
        <v>855.36</v>
      </c>
      <c r="O265" s="14">
        <f>vendas2026[[#This Row],[VlrTotal]]*vendas2026[[#This Row],[%ComissãoSupervisor]]</f>
        <v>0</v>
      </c>
      <c r="P265" s="11" t="s">
        <v>27</v>
      </c>
      <c r="Q265" s="11" t="s">
        <v>27</v>
      </c>
      <c r="R265" s="11"/>
      <c r="S265" s="11">
        <v>1</v>
      </c>
      <c r="T265" s="380"/>
      <c r="U265" s="11" t="s">
        <v>147</v>
      </c>
      <c r="V265" s="16" t="s">
        <v>22</v>
      </c>
    </row>
    <row r="266" spans="1:22" hidden="1" x14ac:dyDescent="0.3">
      <c r="A266" s="10">
        <v>46246</v>
      </c>
      <c r="B266" s="11">
        <v>145552</v>
      </c>
      <c r="C266" s="11" t="s">
        <v>22</v>
      </c>
      <c r="D266" s="11" t="s">
        <v>6561</v>
      </c>
      <c r="E266" s="11" t="s">
        <v>578</v>
      </c>
      <c r="F266" s="11" t="s">
        <v>30</v>
      </c>
      <c r="G266" s="12">
        <v>3</v>
      </c>
      <c r="H266" s="13">
        <v>280</v>
      </c>
      <c r="I266" s="14">
        <f>vendas2026[[#This Row],[Qtde]]*vendas2026[[#This Row],[VlrUnitário]]</f>
        <v>840</v>
      </c>
      <c r="J266" s="390">
        <f>vendas2026[[#This Row],[VlrTotal]]</f>
        <v>840</v>
      </c>
      <c r="K266" s="392">
        <v>1</v>
      </c>
      <c r="L266" s="15">
        <v>0</v>
      </c>
      <c r="M266" s="14" t="s">
        <v>46</v>
      </c>
      <c r="N266" s="23">
        <f>vendas2026[[#This Row],[VlrTotal]]*vendas2026[[#This Row],[%Comissão]]</f>
        <v>840</v>
      </c>
      <c r="O266" s="14">
        <f>vendas2026[[#This Row],[VlrTotal]]*vendas2026[[#This Row],[%ComissãoSupervisor]]</f>
        <v>0</v>
      </c>
      <c r="P266" s="11" t="s">
        <v>27</v>
      </c>
      <c r="Q266" s="11" t="s">
        <v>27</v>
      </c>
      <c r="R266" s="11"/>
      <c r="S266" s="11">
        <v>1</v>
      </c>
      <c r="T266" s="380"/>
      <c r="U266" s="11" t="s">
        <v>147</v>
      </c>
      <c r="V266" s="16" t="s">
        <v>22</v>
      </c>
    </row>
    <row r="267" spans="1:22" ht="13.95" customHeight="1" x14ac:dyDescent="0.3">
      <c r="A267" s="76" t="s">
        <v>150</v>
      </c>
      <c r="B267" s="21"/>
      <c r="C267" s="21"/>
      <c r="D267" s="11"/>
      <c r="E267" s="21"/>
      <c r="F267" s="21"/>
      <c r="G267" s="22">
        <f>SUBTOTAL(109,vendas2026[Qtde])</f>
        <v>83</v>
      </c>
      <c r="H267" s="21"/>
      <c r="I267" s="23">
        <f>SUBTOTAL(109,vendas2026[VlrTotal])</f>
        <v>15376</v>
      </c>
      <c r="J267" s="23">
        <f>SUBTOTAL(109,vendas2026[Vlr Meta])</f>
        <v>16300</v>
      </c>
      <c r="K267" s="21"/>
      <c r="L267" s="21"/>
      <c r="M267" s="21"/>
      <c r="N267" s="23">
        <f>SUBTOTAL(109,vendas2026[[ComissãoVendedor ]])</f>
        <v>484.96</v>
      </c>
      <c r="O267" s="23">
        <f>SUBTOTAL(109,vendas2026[ComissãoSupervisor])</f>
        <v>121.24</v>
      </c>
      <c r="P267" s="21"/>
      <c r="Q267" s="21"/>
      <c r="R267" s="21"/>
      <c r="S267" s="21"/>
      <c r="T267" s="381"/>
      <c r="U267" s="21"/>
      <c r="V267" s="75">
        <f>SUBTOTAL(103,vendas2026[SDR_RESPONSÁVEL])</f>
        <v>5</v>
      </c>
    </row>
    <row r="269" spans="1:22" x14ac:dyDescent="0.3">
      <c r="H269" s="196"/>
    </row>
  </sheetData>
  <pageMargins left="0.511811024" right="0.511811024" top="0.78740157499999996" bottom="0.78740157499999996" header="0.31496062000000002" footer="0.31496062000000002"/>
  <ignoredErrors>
    <ignoredError sqref="J248"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abSelected="1" workbookViewId="0">
      <selection activeCell="C20" sqref="C20"/>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86455.76</v>
      </c>
      <c r="D4" s="83">
        <f>C4/B4</f>
        <v>0.96061955555555545</v>
      </c>
    </row>
    <row r="5" spans="1:6" ht="15.6" customHeight="1" thickTop="1" thickBot="1" x14ac:dyDescent="0.35">
      <c r="A5" s="80" t="s">
        <v>160</v>
      </c>
      <c r="B5" s="81">
        <v>10000</v>
      </c>
      <c r="C5" s="82">
        <v>448</v>
      </c>
      <c r="D5" s="83">
        <f>C5/B5</f>
        <v>4.48E-2</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16300</v>
      </c>
      <c r="D8" s="83">
        <f>C8/B8</f>
        <v>0.18111111111111111</v>
      </c>
    </row>
    <row r="9" spans="1:6" ht="15.6" customHeight="1" thickTop="1" thickBot="1" x14ac:dyDescent="0.35">
      <c r="A9" s="80" t="s">
        <v>160</v>
      </c>
      <c r="B9" s="81">
        <v>9500</v>
      </c>
      <c r="C9" s="82">
        <v>10143</v>
      </c>
      <c r="D9" s="83">
        <f>C9/B9</f>
        <v>1.0676842105263158</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99022.9</v>
      </c>
      <c r="D13" s="83">
        <f>C13/B13</f>
        <v>1.1002544444444444</v>
      </c>
    </row>
    <row r="14" spans="1:6" ht="15.6" customHeight="1" thickTop="1" thickBot="1" x14ac:dyDescent="0.35">
      <c r="A14" s="80" t="s">
        <v>160</v>
      </c>
      <c r="B14" s="81">
        <v>10000</v>
      </c>
      <c r="C14" s="82">
        <v>9873.34</v>
      </c>
      <c r="D14" s="83">
        <f>C14/B14</f>
        <v>0.98733400000000004</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7500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201778.65999999997</v>
      </c>
      <c r="D24" s="86">
        <f>C24/B24</f>
        <v>0.56049627777777766</v>
      </c>
    </row>
    <row r="25" spans="1:6" ht="15.6" customHeight="1" thickTop="1" thickBot="1" x14ac:dyDescent="0.35">
      <c r="A25" s="84" t="s">
        <v>165</v>
      </c>
      <c r="B25" s="87">
        <f>B9+B14+B18+B5</f>
        <v>37000</v>
      </c>
      <c r="C25" s="87">
        <f>C5+C9+C14+C18</f>
        <v>20464.34</v>
      </c>
      <c r="D25" s="88">
        <f>C25/B25</f>
        <v>0.55309027027027025</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201778.65999999997</v>
      </c>
      <c r="D28" s="86">
        <f>C28/B28</f>
        <v>0.56049627777777766</v>
      </c>
    </row>
    <row r="29" spans="1:6" ht="15.6" customHeight="1" thickTop="1" thickBot="1" x14ac:dyDescent="0.35">
      <c r="A29" s="80" t="s">
        <v>160</v>
      </c>
      <c r="B29" s="85">
        <f>B25</f>
        <v>37000</v>
      </c>
      <c r="C29" s="89">
        <f>C9+C14+C18+C5</f>
        <v>20464.34</v>
      </c>
      <c r="D29" s="86">
        <f>C29/B29</f>
        <v>0.55309027027027025</v>
      </c>
    </row>
    <row r="30" spans="1:6" ht="15" customHeight="1"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opLeftCell="M1" zoomScale="90" zoomScaleNormal="90" workbookViewId="0">
      <pane xSplit="3" ySplit="1" topLeftCell="P50" activePane="bottomRight" state="frozen"/>
      <selection activeCell="M1" sqref="M1"/>
      <selection pane="topRight" activeCell="P1" sqref="P1"/>
      <selection pane="bottomLeft" activeCell="M2" sqref="M2"/>
      <selection pane="bottomRight" activeCell="R78" sqref="R78"/>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91">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17</v>
      </c>
      <c r="R58" s="377">
        <v>12</v>
      </c>
      <c r="S58" s="53">
        <v>720</v>
      </c>
      <c r="T58" s="53">
        <v>2880</v>
      </c>
      <c r="U58" s="53">
        <v>112904</v>
      </c>
      <c r="V58" s="376">
        <v>150</v>
      </c>
      <c r="W58">
        <v>15</v>
      </c>
      <c r="X58">
        <v>12</v>
      </c>
      <c r="Y58" s="236">
        <v>9</v>
      </c>
      <c r="Z58" s="236">
        <v>36</v>
      </c>
      <c r="AA58" s="54">
        <v>90000</v>
      </c>
      <c r="AB58" s="391">
        <f>metas[[#This Row],[Meta Individual]]/9000</f>
        <v>0.08</v>
      </c>
      <c r="AC58" s="391">
        <f>metas[[#This Row],[Meta Equipe]]/36000/4</f>
        <v>0.02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14</v>
      </c>
      <c r="R59" s="377">
        <v>15</v>
      </c>
      <c r="S59" s="53">
        <v>0</v>
      </c>
      <c r="T59" s="53">
        <f>T58</f>
        <v>2880</v>
      </c>
      <c r="U59" s="53">
        <v>7042.9</v>
      </c>
      <c r="V59" s="376">
        <v>150</v>
      </c>
      <c r="W59">
        <v>15</v>
      </c>
      <c r="X59">
        <v>12</v>
      </c>
      <c r="Y59" s="236">
        <v>10</v>
      </c>
      <c r="Z59" s="236">
        <v>36</v>
      </c>
      <c r="AA59" s="54">
        <v>90000</v>
      </c>
      <c r="AB59" s="391">
        <f>metas[[#This Row],[Meta Individual]]/10000</f>
        <v>0</v>
      </c>
      <c r="AC59" s="391">
        <f>metas[[#This Row],[Meta Equipe]]/36000/4</f>
        <v>0.02</v>
      </c>
    </row>
    <row r="60" spans="1:29" x14ac:dyDescent="0.3">
      <c r="M60" s="238">
        <v>2026</v>
      </c>
      <c r="N60" s="52">
        <v>46204</v>
      </c>
      <c r="O60" s="32" t="s">
        <v>22</v>
      </c>
      <c r="P60" s="32"/>
      <c r="Q60" s="377">
        <v>0</v>
      </c>
      <c r="R60" s="377">
        <v>0</v>
      </c>
      <c r="S60" s="53">
        <v>2160</v>
      </c>
      <c r="T60" s="53">
        <f>T59</f>
        <v>2880</v>
      </c>
      <c r="U60" s="53">
        <v>12680</v>
      </c>
      <c r="V60" s="376">
        <v>150</v>
      </c>
      <c r="W60">
        <v>15</v>
      </c>
      <c r="X60">
        <v>12</v>
      </c>
      <c r="Y60" s="236">
        <v>10</v>
      </c>
      <c r="Z60" s="236">
        <v>36</v>
      </c>
      <c r="AA60" s="54">
        <v>90000</v>
      </c>
      <c r="AB60" s="391">
        <f>metas[[#This Row],[Meta Individual]]/10000</f>
        <v>0.216</v>
      </c>
      <c r="AC60" s="391">
        <f>metas[[#This Row],[Meta Equipe]]/36000/4</f>
        <v>0.02</v>
      </c>
    </row>
    <row r="61" spans="1:29" x14ac:dyDescent="0.3">
      <c r="A61" s="47" t="s">
        <v>197</v>
      </c>
      <c r="B61" s="47"/>
      <c r="C61" s="47"/>
      <c r="D61" s="47"/>
      <c r="E61" s="47"/>
      <c r="F61" s="47"/>
      <c r="G61" s="47"/>
      <c r="H61" s="47"/>
      <c r="I61" s="47"/>
      <c r="J61" s="47"/>
      <c r="K61" s="47"/>
      <c r="L61" s="47"/>
      <c r="M61" s="238">
        <v>2026</v>
      </c>
      <c r="N61" s="52">
        <v>46204</v>
      </c>
      <c r="O61" t="s">
        <v>142</v>
      </c>
      <c r="P61" s="32"/>
      <c r="Q61" s="377">
        <v>7</v>
      </c>
      <c r="R61" s="377">
        <v>11</v>
      </c>
      <c r="S61" s="53">
        <f>'Metas Quadro'!C18</f>
        <v>0</v>
      </c>
      <c r="T61" s="53">
        <f>T60</f>
        <v>2880</v>
      </c>
      <c r="U61" s="53">
        <f>'Metas Quadro'!C17</f>
        <v>0</v>
      </c>
      <c r="V61" s="376">
        <v>150</v>
      </c>
      <c r="W61">
        <v>15</v>
      </c>
      <c r="X61">
        <v>12</v>
      </c>
      <c r="Y61" s="236">
        <v>7</v>
      </c>
      <c r="Z61" s="236">
        <v>36</v>
      </c>
      <c r="AA61" s="54">
        <v>63000</v>
      </c>
      <c r="AB61" s="391">
        <f>metas[[#This Row],[Meta Individual]]/7000</f>
        <v>0</v>
      </c>
      <c r="AC61" s="391">
        <f>metas[[#This Row],[Meta Equipe]]/36000/4</f>
        <v>0.02</v>
      </c>
    </row>
    <row r="62" spans="1:29" x14ac:dyDescent="0.3">
      <c r="A62" s="47" t="s">
        <v>183</v>
      </c>
      <c r="B62" s="47"/>
      <c r="C62" s="47"/>
      <c r="D62" s="47"/>
      <c r="E62" s="47"/>
      <c r="F62" s="47"/>
      <c r="G62" s="47"/>
      <c r="H62" s="47"/>
      <c r="I62" s="47"/>
      <c r="J62" s="47"/>
      <c r="K62" s="47"/>
      <c r="L62" s="47"/>
      <c r="M62" s="238">
        <v>2026</v>
      </c>
      <c r="N62" s="52">
        <v>46235</v>
      </c>
      <c r="O62" s="52" t="s">
        <v>31</v>
      </c>
      <c r="P62" s="32"/>
      <c r="Q62" s="32">
        <v>11</v>
      </c>
      <c r="R62" s="32">
        <v>6</v>
      </c>
      <c r="S62" s="53">
        <f>'Metas Quadro'!C9</f>
        <v>10143</v>
      </c>
      <c r="T62" s="53">
        <f>'Metas Quadro'!C25</f>
        <v>20464.34</v>
      </c>
      <c r="U62" s="53">
        <f>'Metas Quadro'!C8</f>
        <v>16300</v>
      </c>
      <c r="V62" s="376">
        <v>150</v>
      </c>
      <c r="W62">
        <v>15</v>
      </c>
      <c r="X62">
        <v>12</v>
      </c>
      <c r="Y62" s="236">
        <v>9.5</v>
      </c>
      <c r="Z62" s="236">
        <v>37</v>
      </c>
      <c r="AA62" s="54">
        <v>90000</v>
      </c>
      <c r="AB62" s="391">
        <f>metas[[#This Row],[Meta Individual]]/9500</f>
        <v>1.0676842105263158</v>
      </c>
      <c r="AC62" s="391">
        <f>metas[[#This Row],[Meta Equipe]]/36000/4</f>
        <v>0.14211347222222223</v>
      </c>
    </row>
    <row r="63" spans="1:29" x14ac:dyDescent="0.3">
      <c r="A63" s="47" t="s">
        <v>185</v>
      </c>
      <c r="B63" s="47"/>
      <c r="C63" s="47"/>
      <c r="D63" s="47"/>
      <c r="E63" s="47" t="s">
        <v>186</v>
      </c>
      <c r="F63" s="47"/>
      <c r="G63" s="47"/>
      <c r="H63" s="47"/>
      <c r="I63" s="47" t="s">
        <v>187</v>
      </c>
      <c r="J63" s="47"/>
      <c r="K63" s="47"/>
      <c r="L63" s="47"/>
      <c r="M63" s="238">
        <v>2026</v>
      </c>
      <c r="N63" s="52">
        <v>46235</v>
      </c>
      <c r="O63" s="32" t="s">
        <v>44</v>
      </c>
      <c r="P63" s="32"/>
      <c r="Q63" s="32">
        <v>1</v>
      </c>
      <c r="R63" s="32">
        <v>0</v>
      </c>
      <c r="S63" s="53">
        <f>'Metas Quadro'!C5</f>
        <v>448</v>
      </c>
      <c r="T63" s="53">
        <f>T62</f>
        <v>20464.34</v>
      </c>
      <c r="U63" s="53">
        <f>'Metas Quadro'!C4</f>
        <v>86455.76</v>
      </c>
      <c r="V63" s="376">
        <v>150</v>
      </c>
      <c r="W63">
        <v>15</v>
      </c>
      <c r="X63">
        <v>12</v>
      </c>
      <c r="Y63" s="236">
        <v>10</v>
      </c>
      <c r="Z63" s="236">
        <v>37</v>
      </c>
      <c r="AA63" s="54">
        <v>90000</v>
      </c>
      <c r="AB63" s="391">
        <f>metas[[#This Row],[Meta Individual]]/10000</f>
        <v>4.48E-2</v>
      </c>
      <c r="AC63" s="391">
        <f>metas[[#This Row],[Meta Equipe]]/36000/4</f>
        <v>0.14211347222222223</v>
      </c>
    </row>
    <row r="64" spans="1:29" x14ac:dyDescent="0.3">
      <c r="A64" s="47"/>
      <c r="B64" s="47" t="s">
        <v>156</v>
      </c>
      <c r="C64" s="47" t="s">
        <v>188</v>
      </c>
      <c r="D64" s="47" t="s">
        <v>158</v>
      </c>
      <c r="E64" s="47"/>
      <c r="F64" s="47" t="s">
        <v>156</v>
      </c>
      <c r="G64" s="47" t="s">
        <v>188</v>
      </c>
      <c r="H64" s="47" t="s">
        <v>158</v>
      </c>
      <c r="I64" s="47"/>
      <c r="J64" s="47" t="s">
        <v>156</v>
      </c>
      <c r="K64" s="47" t="s">
        <v>188</v>
      </c>
      <c r="L64" s="47" t="s">
        <v>158</v>
      </c>
      <c r="M64" s="238">
        <v>2026</v>
      </c>
      <c r="N64" s="52">
        <v>46235</v>
      </c>
      <c r="O64" s="32" t="s">
        <v>22</v>
      </c>
      <c r="P64" s="32"/>
      <c r="Q64" s="32">
        <v>1</v>
      </c>
      <c r="R64" s="32">
        <v>1</v>
      </c>
      <c r="S64" s="53">
        <f>'Metas Quadro'!C14</f>
        <v>9873.34</v>
      </c>
      <c r="T64" s="53">
        <f>T63</f>
        <v>20464.34</v>
      </c>
      <c r="U64" s="53">
        <f>'Metas Quadro'!C13</f>
        <v>99022.9</v>
      </c>
      <c r="V64" s="376">
        <v>150</v>
      </c>
      <c r="W64">
        <v>15</v>
      </c>
      <c r="X64">
        <v>12</v>
      </c>
      <c r="Y64" s="236">
        <v>10</v>
      </c>
      <c r="Z64" s="236">
        <v>37</v>
      </c>
      <c r="AA64" s="54">
        <v>90000</v>
      </c>
      <c r="AB64" s="391">
        <f>metas[[#This Row],[Meta Individual]]/metas[[#This Row],[OB Individual]]</f>
        <v>987.33400000000006</v>
      </c>
      <c r="AC64" s="391">
        <f>metas[[#This Row],[Meta Equipe]]/36000/4</f>
        <v>0.14211347222222223</v>
      </c>
    </row>
    <row r="65" spans="1:29" x14ac:dyDescent="0.3">
      <c r="A65" t="s">
        <v>189</v>
      </c>
      <c r="B65">
        <v>15</v>
      </c>
      <c r="C65">
        <v>22</v>
      </c>
      <c r="D65">
        <v>1.466666666666667</v>
      </c>
      <c r="E65" t="s">
        <v>189</v>
      </c>
      <c r="F65">
        <v>15</v>
      </c>
      <c r="G65">
        <v>17</v>
      </c>
      <c r="H65">
        <v>1.1333333333333331</v>
      </c>
      <c r="I65" t="s">
        <v>189</v>
      </c>
      <c r="J65">
        <v>15</v>
      </c>
      <c r="K65">
        <v>2</v>
      </c>
      <c r="L65">
        <v>0.1333333333333333</v>
      </c>
      <c r="M65" s="238">
        <v>2026</v>
      </c>
      <c r="N65" s="52">
        <v>46235</v>
      </c>
      <c r="O65" t="s">
        <v>142</v>
      </c>
      <c r="P65" s="32"/>
      <c r="Q65" s="32">
        <v>4</v>
      </c>
      <c r="R65" s="32">
        <v>0</v>
      </c>
      <c r="S65" s="53">
        <f>'Metas Quadro'!C18</f>
        <v>0</v>
      </c>
      <c r="T65" s="53">
        <f>T64</f>
        <v>20464.34</v>
      </c>
      <c r="U65" s="53">
        <f>'Metas Quadro'!C17</f>
        <v>0</v>
      </c>
      <c r="V65" s="376">
        <v>150</v>
      </c>
      <c r="W65">
        <v>15</v>
      </c>
      <c r="X65">
        <v>12</v>
      </c>
      <c r="Y65" s="236">
        <v>7.5</v>
      </c>
      <c r="Z65" s="236">
        <v>37</v>
      </c>
      <c r="AA65" s="54">
        <v>67500</v>
      </c>
      <c r="AB65" s="391">
        <f>metas[[#This Row],[Meta Individual]]/metas[[#This Row],[OB Individual]]</f>
        <v>0</v>
      </c>
      <c r="AC65" s="391">
        <f>metas[[#This Row],[Meta Equipe]]/36000/4</f>
        <v>0.14211347222222223</v>
      </c>
    </row>
    <row r="66" spans="1:29" x14ac:dyDescent="0.3">
      <c r="A66" t="s">
        <v>190</v>
      </c>
      <c r="B66">
        <v>12</v>
      </c>
      <c r="C66">
        <v>14</v>
      </c>
      <c r="D66">
        <v>1.166666666666667</v>
      </c>
      <c r="E66" t="s">
        <v>190</v>
      </c>
      <c r="F66">
        <v>12</v>
      </c>
      <c r="G66">
        <v>12</v>
      </c>
      <c r="H66">
        <v>1</v>
      </c>
      <c r="I66" t="s">
        <v>190</v>
      </c>
      <c r="J66">
        <v>12</v>
      </c>
      <c r="K66">
        <v>1</v>
      </c>
      <c r="L66">
        <v>8.3333333333333329E-2</v>
      </c>
    </row>
    <row r="67" spans="1:29" x14ac:dyDescent="0.3">
      <c r="A67" t="s">
        <v>173</v>
      </c>
      <c r="B67">
        <v>10000</v>
      </c>
      <c r="C67">
        <v>1733.34</v>
      </c>
      <c r="D67">
        <v>0.17333399999999999</v>
      </c>
      <c r="E67" t="s">
        <v>173</v>
      </c>
      <c r="F67">
        <v>10000</v>
      </c>
      <c r="G67">
        <v>142.56</v>
      </c>
      <c r="H67">
        <v>1.4256E-2</v>
      </c>
      <c r="I67" t="s">
        <v>173</v>
      </c>
      <c r="J67">
        <v>10000</v>
      </c>
      <c r="K67">
        <v>10000</v>
      </c>
      <c r="L67">
        <v>1</v>
      </c>
    </row>
    <row r="68" spans="1:29"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29"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29" x14ac:dyDescent="0.3">
      <c r="A71" s="47" t="s">
        <v>198</v>
      </c>
      <c r="B71" s="47"/>
      <c r="C71" s="47"/>
      <c r="D71" s="47"/>
      <c r="E71" s="47"/>
      <c r="F71" s="47"/>
      <c r="G71" s="47"/>
      <c r="H71" s="47"/>
      <c r="I71" s="47"/>
      <c r="J71" s="47"/>
      <c r="K71" s="47"/>
      <c r="L71" s="47"/>
    </row>
    <row r="72" spans="1:29" x14ac:dyDescent="0.3">
      <c r="A72" s="47" t="s">
        <v>183</v>
      </c>
      <c r="B72" s="47"/>
      <c r="C72" s="47"/>
      <c r="D72" s="47"/>
      <c r="E72" s="47"/>
      <c r="F72" s="47"/>
      <c r="G72" s="47"/>
      <c r="H72" s="47"/>
      <c r="I72" s="47"/>
      <c r="J72" s="47"/>
      <c r="K72" s="47"/>
      <c r="L72" s="47"/>
    </row>
    <row r="73" spans="1:29" x14ac:dyDescent="0.3">
      <c r="A73" s="47" t="s">
        <v>185</v>
      </c>
      <c r="B73" s="47"/>
      <c r="C73" s="47"/>
      <c r="D73" s="47"/>
      <c r="E73" s="47" t="s">
        <v>186</v>
      </c>
      <c r="F73" s="47"/>
      <c r="G73" s="47"/>
      <c r="H73" s="47"/>
      <c r="I73" s="47" t="s">
        <v>187</v>
      </c>
      <c r="J73" s="47"/>
      <c r="K73" s="47"/>
      <c r="L73" s="47"/>
    </row>
    <row r="74" spans="1:29" x14ac:dyDescent="0.3">
      <c r="A74" s="47"/>
      <c r="B74" s="47" t="s">
        <v>156</v>
      </c>
      <c r="C74" s="47" t="s">
        <v>188</v>
      </c>
      <c r="D74" s="47" t="s">
        <v>158</v>
      </c>
      <c r="E74" s="47"/>
      <c r="F74" s="47" t="s">
        <v>156</v>
      </c>
      <c r="G74" s="47" t="s">
        <v>188</v>
      </c>
      <c r="H74" s="47" t="s">
        <v>158</v>
      </c>
      <c r="I74" s="47"/>
      <c r="J74" s="47" t="s">
        <v>156</v>
      </c>
      <c r="K74" s="47" t="s">
        <v>188</v>
      </c>
      <c r="L74" s="47" t="s">
        <v>158</v>
      </c>
    </row>
    <row r="75" spans="1:29" x14ac:dyDescent="0.3">
      <c r="A75" t="s">
        <v>189</v>
      </c>
      <c r="B75">
        <v>15</v>
      </c>
      <c r="C75">
        <v>25</v>
      </c>
      <c r="D75">
        <v>1.666666666666667</v>
      </c>
      <c r="E75" t="s">
        <v>189</v>
      </c>
      <c r="F75">
        <v>15</v>
      </c>
      <c r="G75">
        <v>16</v>
      </c>
      <c r="H75">
        <v>1.0666666666666671</v>
      </c>
      <c r="I75" t="s">
        <v>189</v>
      </c>
      <c r="J75">
        <v>15</v>
      </c>
      <c r="K75">
        <v>8</v>
      </c>
      <c r="L75">
        <v>0.53333333333333333</v>
      </c>
    </row>
    <row r="76" spans="1:29" x14ac:dyDescent="0.3">
      <c r="A76" t="s">
        <v>190</v>
      </c>
      <c r="B76">
        <v>12</v>
      </c>
      <c r="C76">
        <v>17</v>
      </c>
      <c r="D76">
        <v>1.416666666666667</v>
      </c>
      <c r="E76" t="s">
        <v>190</v>
      </c>
      <c r="F76">
        <v>12</v>
      </c>
      <c r="G76">
        <v>13</v>
      </c>
      <c r="H76">
        <v>1.083333333333333</v>
      </c>
      <c r="I76" t="s">
        <v>190</v>
      </c>
      <c r="J76">
        <v>12</v>
      </c>
      <c r="K76">
        <v>8</v>
      </c>
      <c r="L76">
        <v>0.66666666666666663</v>
      </c>
    </row>
    <row r="77" spans="1:29" x14ac:dyDescent="0.3">
      <c r="A77" t="s">
        <v>173</v>
      </c>
      <c r="B77">
        <v>10000</v>
      </c>
      <c r="C77">
        <v>1667.4</v>
      </c>
      <c r="D77">
        <v>0.16674</v>
      </c>
      <c r="E77" t="s">
        <v>173</v>
      </c>
      <c r="F77">
        <v>10000</v>
      </c>
      <c r="G77">
        <v>5551.4</v>
      </c>
      <c r="H77">
        <v>0.55513999999999997</v>
      </c>
      <c r="I77" t="s">
        <v>173</v>
      </c>
      <c r="J77">
        <v>10000</v>
      </c>
      <c r="K77">
        <v>7361.47</v>
      </c>
      <c r="L77">
        <v>0.736147</v>
      </c>
    </row>
    <row r="78" spans="1:29"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29"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ignoredErrors>
    <ignoredError sqref="AB2:AB65" calculatedColumn="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19"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4" t="s">
        <v>203</v>
      </c>
      <c r="E18" s="395"/>
      <c r="F18" s="395"/>
      <c r="H18" s="394" t="s">
        <v>204</v>
      </c>
      <c r="I18" s="395"/>
      <c r="J18" s="395"/>
      <c r="N18" s="394" t="s">
        <v>205</v>
      </c>
      <c r="O18" s="395"/>
      <c r="Q18" s="394" t="s">
        <v>206</v>
      </c>
      <c r="R18" s="395"/>
      <c r="T18" s="394" t="s">
        <v>207</v>
      </c>
      <c r="U18" s="395"/>
      <c r="W18" s="394" t="s">
        <v>208</v>
      </c>
      <c r="X18" s="395"/>
      <c r="AA18" s="394" t="s">
        <v>209</v>
      </c>
      <c r="AB18" s="395"/>
      <c r="AD18" s="394" t="s">
        <v>210</v>
      </c>
      <c r="AE18" s="395"/>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4" t="s">
        <v>245</v>
      </c>
      <c r="O1330" s="395"/>
      <c r="Q1330" s="394" t="s">
        <v>246</v>
      </c>
      <c r="R1330" s="395"/>
      <c r="T1330" s="394" t="s">
        <v>247</v>
      </c>
      <c r="U1330" s="395"/>
      <c r="W1330" s="394" t="s">
        <v>248</v>
      </c>
      <c r="X1330" s="395"/>
      <c r="AA1330" s="394" t="s">
        <v>245</v>
      </c>
      <c r="AB1330" s="395"/>
      <c r="AD1330" s="394" t="s">
        <v>247</v>
      </c>
      <c r="AE1330" s="395"/>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DE1" workbookViewId="0">
      <selection activeCell="DQ18" sqref="DQ18"/>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6" t="s">
        <v>185</v>
      </c>
      <c r="B5" s="395"/>
      <c r="C5" s="395"/>
      <c r="D5" s="395"/>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6" t="s">
        <v>185</v>
      </c>
      <c r="AZ5" s="395"/>
      <c r="BA5" s="395"/>
      <c r="BB5" s="395"/>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7" t="s">
        <v>185</v>
      </c>
      <c r="CX5" s="395"/>
      <c r="CY5" s="395"/>
      <c r="CZ5" s="395"/>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12"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8" t="s">
        <v>185</v>
      </c>
      <c r="D67" s="404"/>
      <c r="E67" s="404"/>
      <c r="F67" s="404"/>
      <c r="G67" s="409" t="s">
        <v>186</v>
      </c>
      <c r="H67" s="404"/>
      <c r="I67" s="404"/>
      <c r="J67" s="404"/>
      <c r="K67" s="403" t="s">
        <v>187</v>
      </c>
      <c r="L67" s="404"/>
      <c r="M67" s="404"/>
      <c r="N67" s="404"/>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11" t="s">
        <v>513</v>
      </c>
      <c r="D75" s="404"/>
      <c r="E75" s="404"/>
      <c r="F75" s="404"/>
      <c r="G75" s="404"/>
      <c r="H75" s="404"/>
      <c r="I75" s="404"/>
      <c r="J75" s="404"/>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7" t="s">
        <v>520</v>
      </c>
      <c r="D84" s="404"/>
      <c r="E84" s="404"/>
      <c r="F84" s="404"/>
      <c r="G84" s="404"/>
      <c r="H84" s="404"/>
      <c r="I84" s="404"/>
      <c r="J84" s="404"/>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400" t="str">
        <f>IF(J71&lt;100%,"NÃO BATEU","CUMPRIU")</f>
        <v>CUMPRIU</v>
      </c>
      <c r="J87" s="400"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2"/>
      <c r="J88" s="402"/>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400" t="str">
        <f>IF(F71&lt;100%,"NÃO BATEU","CUMPRIU")</f>
        <v>NÃO BATEU</v>
      </c>
      <c r="J92" s="400"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01"/>
      <c r="J93" s="401"/>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2"/>
      <c r="J94" s="402"/>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400" t="str">
        <f>IF(N71&lt;100%,"NÃO BATEU","CUMPRIU")</f>
        <v>CUMPRIU</v>
      </c>
      <c r="J98" s="400"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01"/>
      <c r="J99" s="401"/>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01"/>
      <c r="J100" s="401"/>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2"/>
      <c r="J101" s="402"/>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12" t="s">
        <v>538</v>
      </c>
      <c r="E109" s="413"/>
      <c r="F109" s="414"/>
    </row>
    <row r="110" spans="4:14" ht="15.6" customHeight="1" x14ac:dyDescent="0.3">
      <c r="D110" s="168" t="s">
        <v>2</v>
      </c>
      <c r="E110" s="410" t="s">
        <v>539</v>
      </c>
      <c r="F110" s="406"/>
    </row>
    <row r="111" spans="4:14" ht="15.6" customHeight="1" x14ac:dyDescent="0.3">
      <c r="D111" s="169" t="s">
        <v>540</v>
      </c>
      <c r="E111" s="405">
        <f>M89</f>
        <v>4404.8160753828961</v>
      </c>
      <c r="F111" s="406"/>
    </row>
    <row r="112" spans="4:14" ht="15.6" customHeight="1" x14ac:dyDescent="0.3">
      <c r="D112" s="169" t="s">
        <v>541</v>
      </c>
      <c r="E112" s="405">
        <f>M95</f>
        <v>252.24243775806644</v>
      </c>
      <c r="F112" s="406"/>
    </row>
    <row r="113" spans="4:10" ht="16.2" customHeight="1" thickBot="1" x14ac:dyDescent="0.35">
      <c r="D113" s="170" t="s">
        <v>22</v>
      </c>
      <c r="E113" s="398">
        <f>N102</f>
        <v>27673.744486859039</v>
      </c>
      <c r="F113" s="399"/>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K67:N67"/>
    <mergeCell ref="E111:F111"/>
    <mergeCell ref="E112:F112"/>
    <mergeCell ref="J87:J88"/>
    <mergeCell ref="C84:J84"/>
    <mergeCell ref="C67:F67"/>
    <mergeCell ref="G67:J67"/>
    <mergeCell ref="E110:F110"/>
    <mergeCell ref="C75:J75"/>
    <mergeCell ref="D109:F109"/>
    <mergeCell ref="J98:J101"/>
    <mergeCell ref="E113:F113"/>
    <mergeCell ref="I92:I94"/>
    <mergeCell ref="J92:J94"/>
    <mergeCell ref="I87:I88"/>
    <mergeCell ref="I98:I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workbookViewId="0">
      <selection activeCell="D58" sqref="D58"/>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8" t="s">
        <v>185</v>
      </c>
      <c r="D44" s="395"/>
      <c r="E44" s="395"/>
      <c r="F44" s="395"/>
      <c r="G44" s="409" t="s">
        <v>186</v>
      </c>
      <c r="H44" s="395"/>
      <c r="I44" s="395"/>
      <c r="J44" s="395"/>
      <c r="K44" s="403" t="s">
        <v>187</v>
      </c>
      <c r="L44" s="395"/>
      <c r="M44" s="395"/>
      <c r="N44" s="395"/>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11" t="s">
        <v>513</v>
      </c>
      <c r="D52" s="395"/>
      <c r="E52" s="395"/>
      <c r="F52" s="395"/>
      <c r="G52" s="395"/>
      <c r="H52" s="395"/>
      <c r="I52" s="395"/>
      <c r="J52" s="395"/>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7" t="s">
        <v>520</v>
      </c>
      <c r="D61" s="395"/>
      <c r="E61" s="395"/>
      <c r="F61" s="395"/>
      <c r="G61" s="395"/>
      <c r="H61" s="395"/>
      <c r="I61" s="395"/>
      <c r="J61" s="395"/>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400" t="str">
        <f>IF(J48&lt;100%,"NÃO BATEU","CUMPRIU")</f>
        <v>NÃO BATEU</v>
      </c>
      <c r="J64" s="400"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2"/>
      <c r="J65" s="402"/>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400" t="str">
        <f>IF(F48&lt;100%,"NÃO BATEU","CUMPRIU")</f>
        <v>NÃO BATEU</v>
      </c>
      <c r="J69" s="400"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01"/>
      <c r="J70" s="401"/>
      <c r="K70" s="140">
        <f>E70/E84</f>
        <v>0.15412710508006758</v>
      </c>
      <c r="L70" s="141">
        <f>K70*G84</f>
        <v>0</v>
      </c>
    </row>
    <row r="71" spans="4:14" x14ac:dyDescent="0.3">
      <c r="D71" s="138" t="s">
        <v>35</v>
      </c>
      <c r="E71" s="149">
        <v>6054.41</v>
      </c>
      <c r="F71" s="150">
        <v>57.69</v>
      </c>
      <c r="G71" s="151">
        <v>0</v>
      </c>
      <c r="H71" s="139">
        <f>F71*0.1</f>
        <v>5.7690000000000001</v>
      </c>
      <c r="I71" s="402"/>
      <c r="J71" s="402"/>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400" t="str">
        <f>IF(N48&lt;100%,"NÃO BATEU","CUMPRIU")</f>
        <v>CUMPRIU</v>
      </c>
      <c r="J75" s="400"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01"/>
      <c r="J76" s="401"/>
      <c r="K76" s="140">
        <f>E76/E84</f>
        <v>0.59256640120275605</v>
      </c>
      <c r="L76" s="155">
        <f>K76*G84</f>
        <v>0</v>
      </c>
      <c r="M76" s="156">
        <f>H72*0.25</f>
        <v>-147.44825</v>
      </c>
      <c r="N76" s="157">
        <v>1783.18</v>
      </c>
    </row>
    <row r="77" spans="4:14" x14ac:dyDescent="0.3">
      <c r="D77" s="138" t="s">
        <v>35</v>
      </c>
      <c r="E77" s="139">
        <v>0</v>
      </c>
      <c r="F77" s="139">
        <v>0</v>
      </c>
      <c r="G77" s="139">
        <f>F77*0.1</f>
        <v>0</v>
      </c>
      <c r="H77" s="141">
        <v>0</v>
      </c>
      <c r="I77" s="401"/>
      <c r="J77" s="401"/>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2"/>
      <c r="J78" s="402"/>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12" t="s">
        <v>538</v>
      </c>
      <c r="E86" s="413"/>
      <c r="F86" s="414"/>
    </row>
    <row r="87" spans="4:7" ht="15.6" customHeight="1" x14ac:dyDescent="0.3">
      <c r="D87" s="168" t="s">
        <v>2</v>
      </c>
      <c r="E87" s="410" t="s">
        <v>539</v>
      </c>
      <c r="F87" s="406"/>
    </row>
    <row r="88" spans="4:7" ht="15.6" customHeight="1" x14ac:dyDescent="0.3">
      <c r="D88" s="169" t="s">
        <v>540</v>
      </c>
      <c r="E88" s="415">
        <f>M66</f>
        <v>-1052.5550000000001</v>
      </c>
      <c r="F88" s="406"/>
    </row>
    <row r="89" spans="4:7" ht="15.6" customHeight="1" x14ac:dyDescent="0.3">
      <c r="D89" s="169" t="s">
        <v>541</v>
      </c>
      <c r="E89" s="415">
        <f>M72</f>
        <v>-589.79300000000001</v>
      </c>
      <c r="F89" s="406"/>
    </row>
    <row r="90" spans="4:7" ht="16.2" customHeight="1" thickBot="1" x14ac:dyDescent="0.35">
      <c r="D90" s="170" t="s">
        <v>22</v>
      </c>
      <c r="E90" s="398">
        <f>N79</f>
        <v>5417.1939999999995</v>
      </c>
      <c r="F90" s="399"/>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E90:F90"/>
    <mergeCell ref="I69:I71"/>
    <mergeCell ref="J69:J71"/>
    <mergeCell ref="I64:I65"/>
    <mergeCell ref="E89:F89"/>
    <mergeCell ref="J64:J65"/>
    <mergeCell ref="D86:F86"/>
    <mergeCell ref="E88:F88"/>
    <mergeCell ref="G44:J44"/>
    <mergeCell ref="K44:N44"/>
    <mergeCell ref="I75:I78"/>
    <mergeCell ref="E87:F87"/>
    <mergeCell ref="J75:J78"/>
    <mergeCell ref="C52:J52"/>
    <mergeCell ref="C61:J61"/>
    <mergeCell ref="C44:F44"/>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workbookViewId="0">
      <selection activeCell="D10" sqref="D10"/>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6" t="s">
        <v>548</v>
      </c>
      <c r="G2" s="395"/>
      <c r="I2" s="416" t="s">
        <v>549</v>
      </c>
      <c r="J2" s="395"/>
      <c r="K2" s="395"/>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6" t="s">
        <v>557</v>
      </c>
      <c r="G192" s="395"/>
      <c r="H192" s="395"/>
    </row>
    <row r="193" spans="2:12" x14ac:dyDescent="0.3">
      <c r="B193" s="416" t="s">
        <v>558</v>
      </c>
      <c r="C193" s="395"/>
      <c r="D193" s="395"/>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7" t="s">
        <v>568</v>
      </c>
      <c r="C3" s="395"/>
      <c r="D3" s="395"/>
      <c r="G3" s="417" t="s">
        <v>569</v>
      </c>
      <c r="H3" s="395"/>
      <c r="I3" s="395"/>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24"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20">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1"/>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1"/>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2"/>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8" t="s">
        <v>723</v>
      </c>
      <c r="AB894" s="419"/>
      <c r="AC894" s="419"/>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37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2026-08-12T18:47:06Z</dcterms:modified>
</cp:coreProperties>
</file>